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docProps/core.xml" ContentType="application/vnd.openxmlformats-package.core-properties+xml"/>
  <Override PartName="/_rels/.rels" ContentType="application/vnd.openxmlformats-package.relationships+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workbookPr date1904="false"/>
  <bookViews>
    <workbookView activeTab="0" showHorizontalScroll="true" showVerticalScroll="true" showSheetTabs="true"/>
  </bookViews>
  <sheets>
    <sheet name="Stavební rozpočet" sheetId="1" r:id="rId1"/>
    <sheet name="Krycí list rozpočtu" sheetId="2" r:id="rId2"/>
    <sheet name="VORN" sheetId="3" r:id="rId3"/>
  </sheets>
  <definedNames>
    <definedName name="vorn_sum">VORN!$I$45</definedName>
  </definedNames>
  <calcPr refMode="A1"/>
</workbook>
</file>

<file path=xl/sharedStrings.xml><?xml version="1.0" encoding="utf-8"?>
<sst xmlns="http://schemas.openxmlformats.org/spreadsheetml/2006/main" count="681" uniqueCount="681">
  <si>
    <t>Slepý stavební rozpočet</t>
  </si>
  <si>
    <t>Název stavby:</t>
  </si>
  <si>
    <t>Stavební úprava parkoviště Ul. Kmochova</t>
  </si>
  <si>
    <t>Doba výstavby:</t>
  </si>
  <si>
    <t>215 dní</t>
  </si>
  <si>
    <t>Objednatel:</t>
  </si>
  <si>
    <t> </t>
  </si>
  <si>
    <t>Druh stavby:</t>
  </si>
  <si>
    <t xml:space="preserve"> </t>
  </si>
  <si>
    <t>Začátek výstavby:</t>
  </si>
  <si>
    <t>01.04.2024</t>
  </si>
  <si>
    <t>Projektant:</t>
  </si>
  <si>
    <t>Lokalita:</t>
  </si>
  <si>
    <t>Varnsdorf</t>
  </si>
  <si>
    <t>Konec výstavby:</t>
  </si>
  <si>
    <t>01.11.2024</t>
  </si>
  <si>
    <t>Zhotovitel:</t>
  </si>
  <si>
    <t>JKSO:</t>
  </si>
  <si>
    <t>Zpracováno dne:</t>
  </si>
  <si>
    <t>08.06.2023</t>
  </si>
  <si>
    <t>Zpracoval:</t>
  </si>
  <si>
    <t>Bc. Jan Hyliš</t>
  </si>
  <si>
    <t>Č</t>
  </si>
  <si>
    <t>Objekt</t>
  </si>
  <si>
    <t>Kód</t>
  </si>
  <si>
    <t>Zkrácený popis</t>
  </si>
  <si>
    <t>MJ</t>
  </si>
  <si>
    <t>Množství</t>
  </si>
  <si>
    <t>Cena/MJ</t>
  </si>
  <si>
    <t>Náklady (Kč)</t>
  </si>
  <si>
    <t>Cenová</t>
  </si>
  <si>
    <t>ISWORK</t>
  </si>
  <si>
    <t>GROUPCODE</t>
  </si>
  <si>
    <t>VATTAX</t>
  </si>
  <si>
    <t>Rozměry</t>
  </si>
  <si>
    <t>(Kč)</t>
  </si>
  <si>
    <t>Dodávka</t>
  </si>
  <si>
    <t>Montáž</t>
  </si>
  <si>
    <t>Celkem</t>
  </si>
  <si>
    <t>soustava</t>
  </si>
  <si>
    <t>Přesuny</t>
  </si>
  <si>
    <t>Typ skupiny</t>
  </si>
  <si>
    <t>HSV mat</t>
  </si>
  <si>
    <t>HSV prac</t>
  </si>
  <si>
    <t>PSV mat</t>
  </si>
  <si>
    <t>PSV prac</t>
  </si>
  <si>
    <t>Mont mat</t>
  </si>
  <si>
    <t>Mont prac</t>
  </si>
  <si>
    <t>Ostatní mat.</t>
  </si>
  <si>
    <t>MAT</t>
  </si>
  <si>
    <t>WORK</t>
  </si>
  <si>
    <t>CELK</t>
  </si>
  <si>
    <t/>
  </si>
  <si>
    <t>SO 300</t>
  </si>
  <si>
    <t>veřejné osvětlení</t>
  </si>
  <si>
    <t>17</t>
  </si>
  <si>
    <t>Konstrukce ze zemin</t>
  </si>
  <si>
    <t>1</t>
  </si>
  <si>
    <t>174100050RAB</t>
  </si>
  <si>
    <t>Zásyp jam,rýh a šachet štěrkopískem</t>
  </si>
  <si>
    <t>m3</t>
  </si>
  <si>
    <t>RTS I / 2025</t>
  </si>
  <si>
    <t>17_</t>
  </si>
  <si>
    <t>SO 300_1_</t>
  </si>
  <si>
    <t>SO 300_</t>
  </si>
  <si>
    <t>P</t>
  </si>
  <si>
    <t>H28</t>
  </si>
  <si>
    <t>Vedení elektrická a dráhy visuté</t>
  </si>
  <si>
    <t>2</t>
  </si>
  <si>
    <t>998289011R00</t>
  </si>
  <si>
    <t>Přesun hmot pro kabelovody jakéhokoliv rozsahu</t>
  </si>
  <si>
    <t>t</t>
  </si>
  <si>
    <t>5</t>
  </si>
  <si>
    <t>H28_</t>
  </si>
  <si>
    <t>SO 300_9_</t>
  </si>
  <si>
    <t>M21</t>
  </si>
  <si>
    <t>Elektromontáže</t>
  </si>
  <si>
    <t>3</t>
  </si>
  <si>
    <t>210500010RAD</t>
  </si>
  <si>
    <t>Venkovní osvětlení, stožár parkový</t>
  </si>
  <si>
    <t>kus</t>
  </si>
  <si>
    <t>M21_</t>
  </si>
  <si>
    <t>M22</t>
  </si>
  <si>
    <t>Montáže sdělovací a zabezpečovací techniky</t>
  </si>
  <si>
    <t>4</t>
  </si>
  <si>
    <t>229820021R00</t>
  </si>
  <si>
    <t>Demontáž osvětlení výměn</t>
  </si>
  <si>
    <t>M22_</t>
  </si>
  <si>
    <t>229830012R00</t>
  </si>
  <si>
    <t>Demontáž návěstního stožáru - 2 svítidla</t>
  </si>
  <si>
    <t>M46</t>
  </si>
  <si>
    <t>Zemní práce při montážích</t>
  </si>
  <si>
    <t>6</t>
  </si>
  <si>
    <t>460200624R00</t>
  </si>
  <si>
    <t>Výkop kabelové rýhy 65/60 cm  hor.4</t>
  </si>
  <si>
    <t>m</t>
  </si>
  <si>
    <t>M46_</t>
  </si>
  <si>
    <t>7</t>
  </si>
  <si>
    <t>460070544R00</t>
  </si>
  <si>
    <t>Jáma pro stožár výložníkový zapuštěný, hornina 4</t>
  </si>
  <si>
    <t>8</t>
  </si>
  <si>
    <t>460570404R00</t>
  </si>
  <si>
    <t>Zához rýhy 55/50 cm, hornina tř. 4, se zhutněním</t>
  </si>
  <si>
    <t>9</t>
  </si>
  <si>
    <t>460600001RT8</t>
  </si>
  <si>
    <t>Naložení a odvoz zeminy</t>
  </si>
  <si>
    <t>M65</t>
  </si>
  <si>
    <t>Elektroinstalace</t>
  </si>
  <si>
    <t>10</t>
  </si>
  <si>
    <t>650106121R00</t>
  </si>
  <si>
    <t>Montáž svítidla veřejného osvětlení na výložník</t>
  </si>
  <si>
    <t>M65_</t>
  </si>
  <si>
    <t>11</t>
  </si>
  <si>
    <t>650106313R00</t>
  </si>
  <si>
    <t>Montáž výložníku pro svítidlo 1 ramenný nad 35 kg</t>
  </si>
  <si>
    <t>12</t>
  </si>
  <si>
    <t>650106462R00</t>
  </si>
  <si>
    <t>Montáž elektrovýzbroje stožáru pro 2 okruhy</t>
  </si>
  <si>
    <t>M</t>
  </si>
  <si>
    <t>Ostatní materiál</t>
  </si>
  <si>
    <t>13</t>
  </si>
  <si>
    <t>673909992020</t>
  </si>
  <si>
    <t>Fólie výstražná šířka 20 cm červená síťovina</t>
  </si>
  <si>
    <t>RTS I / 2023</t>
  </si>
  <si>
    <t>0</t>
  </si>
  <si>
    <t>Z99999_</t>
  </si>
  <si>
    <t>SO 300_Z_</t>
  </si>
  <si>
    <t>RTS komentář:</t>
  </si>
  <si>
    <t xml:space="preserve">POLYNET typ 238/1 PP, balení á 100 </t>
  </si>
  <si>
    <t>14</t>
  </si>
  <si>
    <t>19140110</t>
  </si>
  <si>
    <t>Drát Zn 99,99%  D 2,0 mm</t>
  </si>
  <si>
    <t>kg</t>
  </si>
  <si>
    <t>jsou používány k aplikaci na kovové podklady pomocí metalizace z důvodu ochrany proti korozi.  Při výrobě drátu je používán zinek SHG nejvyšší čistoty (99,995%).</t>
  </si>
  <si>
    <t>15</t>
  </si>
  <si>
    <t>31677802</t>
  </si>
  <si>
    <t>Výložník F typ V 1F - 05  D 114</t>
  </si>
  <si>
    <t>povrchová úprava - žárový zinek oboustrann</t>
  </si>
  <si>
    <t>16</t>
  </si>
  <si>
    <t>348360182</t>
  </si>
  <si>
    <t>Svítidlo AQUA-70-LED-2500-4K, l = 935 mm</t>
  </si>
  <si>
    <t>AQUA-70-LED  Popis:  Prachotěsné svítidlo AQUA-70-LED s odolností proti tryskající vodě a ponoření do 20 m je určeno pro prostory v mycích linkách, přehradách, vodních nádrží, plaveckých bazénech a v chemickém průmyslu.  Díky konstrukci a silnostěnnému tělesu je svítidlo velmi mechanicky odolné.  Předřadník:  EP – elektronický 220 – 240 V / 50 Hz-60Hz AC, 176-280 V DC  Těleso: Trubka o vnějším průměru 70 mm a síle stěny 4 mm vyrobena z PC (polykarbonátu) ukončena těsnícími zátkami  Uchycení: Pomocí montážních třmenů (nejsou součástí svítidla) upevnění na strop či stěnu osvětlovaného prostoru  Připojení:  Šroubová konektorová svorkovnice, max. průřez vodičů 2,5 mm2  Kalkulovaná životnost – LED modulů: L80B10 ta30 – 70 000h L70B10 ta30 – 100 000</t>
  </si>
  <si>
    <t>589314102</t>
  </si>
  <si>
    <t>Beton C 16/20 - XC2 - Dmax 22 mm - S3 - struskoportlandský CEM II</t>
  </si>
  <si>
    <t xml:space="preserve">(CZ  F.1) - předpokládaná životnost 50 let XC2 - stupeň vlivu prostředí - koroze vlivem karbonizace - mokré, občas suché </t>
  </si>
  <si>
    <t>18</t>
  </si>
  <si>
    <t>341110800</t>
  </si>
  <si>
    <t>Kabel silový s Cu jádrem 750 V CYKY 4 x 25 mm2</t>
  </si>
  <si>
    <t>CYKY Instalační kabely  Použití: pro pevné uložení ve vnitřních a venkovních prostorách, v zemi, v betonu. Kabely jsou odolné proti UV záření a proti šíření plamene.  Konstrukce: 1. Měděné plné holé jádro 2. PVC izolace 3. Výplňový obal 4. PVC pláš</t>
  </si>
  <si>
    <t>19</t>
  </si>
  <si>
    <t>3457114710</t>
  </si>
  <si>
    <t>Trubka kabelová chránička KOPOFLEX KF 09200</t>
  </si>
  <si>
    <t>Elektroinstalační trubky  Je vhodný především pro mechanickou ochranu všech druhů energetických a telekomunikačních vedení.  Ochranné trubky mohou být též použity jako záložní ochranné trubky pro pozdější využití.  Pomocí distančních rozpěrek lze realizovat uložení ve více vrstvách.  Pro svou vysokou odolnost proti agresivním látkám má trubkový systém svoje opodstatnění i v chemickém průmyslu.  KOPOFLEX Vnější plášť trubky je vyroben z HDPE, vnitřní z LDPE. Tato kombinace umožňuje vysokou ohebnost.  Pro svoji vysokou ohebnost,při zachování pevnosti stěny je vhodný pro ochranu přípojek vody nebo plynu.  Technické specifikace Konstrukce dvojité stěny - uvnitř hladká trubka a zevně trubka korugovaná Trubkový systém splňuje pevnost v tlaku &gt;450 N a umožňuje práci v teplotním rozmezí -45 °C až +60 °C při zachování tvaru trubky. Stupeň krytí: IP 67 - při použití těsnících kroužků. Trubky se dodávají standardně v červené barvě. Na jednom konci trubky je nasunuta spojka, která umožňuje napojení trubek.  Utěsnění proti vniknutí prachu a písku.  Nasunutím dvou profilovaných těsnění na spojovanétrubky je možné zabránit zaplavení vodou.</t>
  </si>
  <si>
    <t>20</t>
  </si>
  <si>
    <t>286544015</t>
  </si>
  <si>
    <t>Elektrospojka d 63 mm PP-RCT</t>
  </si>
  <si>
    <t>ENA063PPRC</t>
  </si>
  <si>
    <t>VORN</t>
  </si>
  <si>
    <t>Vedlejší a ostatní rozpočtové náklady</t>
  </si>
  <si>
    <t>03VRN</t>
  </si>
  <si>
    <t>Zařízení staveniště</t>
  </si>
  <si>
    <t>21</t>
  </si>
  <si>
    <t>030001VRN</t>
  </si>
  <si>
    <t>Soubor</t>
  </si>
  <si>
    <t>99</t>
  </si>
  <si>
    <t>03VRN_</t>
  </si>
  <si>
    <t>SO 300_Â _</t>
  </si>
  <si>
    <t>04VRN</t>
  </si>
  <si>
    <t>Inženýrské činnosti</t>
  </si>
  <si>
    <t>22</t>
  </si>
  <si>
    <t>044002VRN</t>
  </si>
  <si>
    <t>Revize VO</t>
  </si>
  <si>
    <t>04VRN_</t>
  </si>
  <si>
    <t>07VRN</t>
  </si>
  <si>
    <t>Provozní vlivy</t>
  </si>
  <si>
    <t>23</t>
  </si>
  <si>
    <t>072002VRN</t>
  </si>
  <si>
    <t>Silniční provoz - DIO, DIR a dopravní značení</t>
  </si>
  <si>
    <t>07VRN_</t>
  </si>
  <si>
    <t>SO100</t>
  </si>
  <si>
    <t>komunikace</t>
  </si>
  <si>
    <t>Přípravné a přidružené práce</t>
  </si>
  <si>
    <t>24</t>
  </si>
  <si>
    <t>113201011RAA</t>
  </si>
  <si>
    <t>Vytrhání obrubníků silničních</t>
  </si>
  <si>
    <t>11_</t>
  </si>
  <si>
    <t>SO100_1_</t>
  </si>
  <si>
    <t>SO100_</t>
  </si>
  <si>
    <t>Položka obsahuje: - vytrhání obrubníků s vybouráním lože a s přemístěním hmot na vzdálenost do 3 m - naložení na dopravní prostředek - vodorovnou dopravu do 1 km  Položka neobsahuje poplatek za skládku</t>
  </si>
  <si>
    <t>Poznámka:</t>
  </si>
  <si>
    <t>vytrhání bet. obrub cesty</t>
  </si>
  <si>
    <t>25</t>
  </si>
  <si>
    <t>26</t>
  </si>
  <si>
    <t>111104312R00</t>
  </si>
  <si>
    <t>Pokosení trávníku lučního svah do 1:2, odvoz 20 km</t>
  </si>
  <si>
    <t>m2</t>
  </si>
  <si>
    <t>27</t>
  </si>
  <si>
    <t>113107222RAB</t>
  </si>
  <si>
    <t>Odstranění asfaltobetonové vozovky pl. nad 50 m2</t>
  </si>
  <si>
    <t>Položka obsahuje: skladba dle TP 170, D1-N-6-IV-PII: - řezání živičného krytu tl. 4 cm - odstranění asfaltbetonového krytu tl. 4 cm - řezání podkladního asfaltobetonu tl. 7 cm - odstranění podkladního asfaltobetonu tl. 7 cm - odstranění kameniva zpevněného cementem tl. 12 cm - odstranění štěrkodrti tl. 15 cm - nakládání suti - vodorovná doprava suti do 1 km  Položka neobsahuje poplatek za skládku</t>
  </si>
  <si>
    <t>28</t>
  </si>
  <si>
    <t>113107100RAE</t>
  </si>
  <si>
    <t>Odstranění betonové vozovky, kryt tl. 80 mm, plocha do 50 m2</t>
  </si>
  <si>
    <t>Položka obsahuje: - řezání betonového krytu - odstranění betonového krytu tl. 8 cm - odstranění kameniva zpevněného cementem tl. 12 cm - odstranění kameniva drceného tl. 10 cm  - nakládání suti - vodorovná doprava suti do 1 km  Položka neobsahuje poplatek za skládku</t>
  </si>
  <si>
    <t>Odkopávky a prokopávky</t>
  </si>
  <si>
    <t>29</t>
  </si>
  <si>
    <t>122301102R00</t>
  </si>
  <si>
    <t>Odkopávky nezapažené v hor. 4 do 1000 m3</t>
  </si>
  <si>
    <t>12_</t>
  </si>
  <si>
    <t>Povrchové úpravy terénu</t>
  </si>
  <si>
    <t>30</t>
  </si>
  <si>
    <t>181201102R00</t>
  </si>
  <si>
    <t>Úprava pláně v násypech v hor. 1-4, se zhutněním</t>
  </si>
  <si>
    <t>18_</t>
  </si>
  <si>
    <t>Úprava podloží a základové spáry</t>
  </si>
  <si>
    <t>31</t>
  </si>
  <si>
    <t>212750010RAD</t>
  </si>
  <si>
    <t>Trativody z drenážních trubek</t>
  </si>
  <si>
    <t>21_</t>
  </si>
  <si>
    <t>SO100_2_</t>
  </si>
  <si>
    <t>11.3.2005 provedena oprava normy - přidán přesun hmot</t>
  </si>
  <si>
    <t>56</t>
  </si>
  <si>
    <t>Podkladní vrstvy komunikací, letišť a ploch</t>
  </si>
  <si>
    <t>32</t>
  </si>
  <si>
    <t>564851111RT4</t>
  </si>
  <si>
    <t>Podklad ze štěrkodrti po zhutnění tloušťky 15 cm</t>
  </si>
  <si>
    <t>56_</t>
  </si>
  <si>
    <t>SO100_5_</t>
  </si>
  <si>
    <t>33</t>
  </si>
  <si>
    <t>57</t>
  </si>
  <si>
    <t>Kryty pozemních komunikací, letišť a ploch z kameniva nebo živičné</t>
  </si>
  <si>
    <t>34</t>
  </si>
  <si>
    <t>577132211RT2</t>
  </si>
  <si>
    <t>Beton asfalt. ACO 8, nebo ACO 11, nad 3 m, 4 cm</t>
  </si>
  <si>
    <t>57_</t>
  </si>
  <si>
    <t>35</t>
  </si>
  <si>
    <t>577113126RT2</t>
  </si>
  <si>
    <t>Beton asfalt. ACO 16 S modif.obrus. š.nad 3 m,7 cm</t>
  </si>
  <si>
    <t>36</t>
  </si>
  <si>
    <t>573231126R00</t>
  </si>
  <si>
    <t>Postřik spojovací z KAE, množství zbytkového asfaltu 0,6 kg/m2</t>
  </si>
  <si>
    <t>37</t>
  </si>
  <si>
    <t>573111115R00</t>
  </si>
  <si>
    <t>Postřik infiltrační s posypem, asfalt 2,5 kg/m2</t>
  </si>
  <si>
    <t>59</t>
  </si>
  <si>
    <t>Kryty pozemních komunikací, letišť a ploch dlážděných (předlažby)</t>
  </si>
  <si>
    <t>38</t>
  </si>
  <si>
    <t>591040024RA0</t>
  </si>
  <si>
    <t>Komunikace dlážděné D1-D-2-V-PIII</t>
  </si>
  <si>
    <t>59_</t>
  </si>
  <si>
    <t>V kalkulaci je použita dlažba přírodní BEST-BASE. Při použití jiného typu a výrobce dlažby, musí být cena upřesněna dle skutečnosti.  Skladba dle publikace vydané Ministerstvem dopravy České republiky pod č. TP 170  "Navrhování vozovek pozemních komunikací": dlažba  80 mm  L  40 mm SC C 5/6  190 mm MZ  200 mm Celkem  510 mm  Kalkulace včetně zemních prací.</t>
  </si>
  <si>
    <t>39</t>
  </si>
  <si>
    <t>591040216RA0</t>
  </si>
  <si>
    <t>Komunikace dlážděné D2-D-2-O-PIII</t>
  </si>
  <si>
    <t>V kalkulaci je použita dlažba přírodní BEST-BASE. Při použití jiného typu a výrobce dlažby, musí být cena upřesněna dle skutečnosti.  Skladba dle publikace vydané Ministerstvem dopravy České republiky pod č. TP 170  "Navrhování vozovek pozemních komunikací": dlažba  80 mm  L  40 mm MZ  250 mm Celkem  370 mm  Kalkulace včetně zemních prací.</t>
  </si>
  <si>
    <t>40</t>
  </si>
  <si>
    <t>591210011RA0</t>
  </si>
  <si>
    <t>Komunikace z kostky kamenné</t>
  </si>
  <si>
    <t xml:space="preserve">štěrkodrť  150 mm beton C 16/20  120 mm maltové lože  50 mm kostka  120 mm  Celkem  440 mm  Kalkulace včetně zemních prací. </t>
  </si>
  <si>
    <t>41</t>
  </si>
  <si>
    <t>591131111R00</t>
  </si>
  <si>
    <t>Kladení dlažby velké kostky,lože ze strus.tl.5 cm</t>
  </si>
  <si>
    <t>V položce jsou zakalkulovány i náklady na dodání hmot pro lože a na dodání téhož materiálu na výplň spár.V položce jsou zakalkulovány i náklady na dodání hmot pro lože a na dodání téhož materiálu na výplň spár. V položce nejsou zakalkulovány náklady na dodání dlažebních kostek, které se oceňuje ve specifikaci, ztratné se doporučuje ve výši 1%</t>
  </si>
  <si>
    <t>91</t>
  </si>
  <si>
    <t>Doplňující konstrukce a práce na pozemních komunikacích a zpevněných plochách</t>
  </si>
  <si>
    <t>42</t>
  </si>
  <si>
    <t>917862111RU3</t>
  </si>
  <si>
    <t>Osazení stojat. obrub.bet. s opěrou,lože z C 12/15</t>
  </si>
  <si>
    <t>91_</t>
  </si>
  <si>
    <t>SO100_9_</t>
  </si>
  <si>
    <t>43</t>
  </si>
  <si>
    <t>917862111RT5</t>
  </si>
  <si>
    <t>44</t>
  </si>
  <si>
    <t>917882123RT2</t>
  </si>
  <si>
    <t>Osazení sady náběh.zastávk.obrubníků, celkem 4 m</t>
  </si>
  <si>
    <t>sada</t>
  </si>
  <si>
    <t>Osazení a dodávka 4 kusů náběhových obrubníků dl. 1 m pro zastávky (2 ks levých, 2 ks pravých, celkem 4 m). Položka obsahuje jen náběžnou část zastávkového obrubníku. Přímá část se oceňuje položkou 917882111.R00, nebo RT2</t>
  </si>
  <si>
    <t>45</t>
  </si>
  <si>
    <t>917882111RT2</t>
  </si>
  <si>
    <t>Osazení obrubníku bet. zastávkového, lože C 12/15</t>
  </si>
  <si>
    <t>46</t>
  </si>
  <si>
    <t>919722111R00</t>
  </si>
  <si>
    <t>Dilatační spáry - řezání, spáry příčné š. 2 - 5 mm</t>
  </si>
  <si>
    <t>47</t>
  </si>
  <si>
    <t>919721211R00</t>
  </si>
  <si>
    <t>Dilatační spáry vkládané vyplněné asfalt. zálivkou</t>
  </si>
  <si>
    <t>Položka je určena i pro vkládané spáry podkladu z prostého betonu</t>
  </si>
  <si>
    <t>48</t>
  </si>
  <si>
    <t>914001121RT6</t>
  </si>
  <si>
    <t>Osazení svislé dopravní značky pl. do 1 m2 a sloupku, s dod. Al patky a beton. základu</t>
  </si>
  <si>
    <t>Výkop jamky s odhozem výkopku na vzdálenost do 3 m, betonový základ (s dodávkou betonu), dodávka a osazení kotevní hliníkové patky, dodávka a osazení sloupku, dodávka a osazení víčka ke sloupku, dodávka a osazení svislé dopravní značky plochy do 1 m2, upínací svorka. Včetně šroubů a krytek</t>
  </si>
  <si>
    <t>49</t>
  </si>
  <si>
    <t>915721121R00</t>
  </si>
  <si>
    <t>Vodorovné značení stopčar,zeber atd.plastem,nehluč</t>
  </si>
  <si>
    <t>Včetně posypu balotinou</t>
  </si>
  <si>
    <t>92</t>
  </si>
  <si>
    <t>Doplňující konstrukce a práce železniční</t>
  </si>
  <si>
    <t>50</t>
  </si>
  <si>
    <t>926923112R00</t>
  </si>
  <si>
    <t>Návěstidlo " označník "</t>
  </si>
  <si>
    <t>92_</t>
  </si>
  <si>
    <t>96</t>
  </si>
  <si>
    <t>Bourání konstrukcí</t>
  </si>
  <si>
    <t>51</t>
  </si>
  <si>
    <t>966006211R00</t>
  </si>
  <si>
    <t>Odstranění doprav. značky ze sloupů nebo konzolí</t>
  </si>
  <si>
    <t>96_</t>
  </si>
  <si>
    <t>H22</t>
  </si>
  <si>
    <t>Komunikace pozemní a letiště</t>
  </si>
  <si>
    <t>52</t>
  </si>
  <si>
    <t>998223011R00</t>
  </si>
  <si>
    <t>Přesun hmot, pozemní komunikace, kryt dlážděný</t>
  </si>
  <si>
    <t>H22_</t>
  </si>
  <si>
    <t>53</t>
  </si>
  <si>
    <t>460650013R00</t>
  </si>
  <si>
    <t>Podkladová vrstva ze štěrku tl. 10 cm</t>
  </si>
  <si>
    <t>S</t>
  </si>
  <si>
    <t>Přesuny sutí</t>
  </si>
  <si>
    <t>54</t>
  </si>
  <si>
    <t>979990261R00</t>
  </si>
  <si>
    <t>Poplatek za uložení asfaltové směsi obsahující dehet 170301 (N)</t>
  </si>
  <si>
    <t>S_</t>
  </si>
  <si>
    <t>Ceník AVE, provozovna Žďár nad Sázavou</t>
  </si>
  <si>
    <t>55</t>
  </si>
  <si>
    <t>979999973R00</t>
  </si>
  <si>
    <t>Poplatek za uložení, zemina a kamení, (skup.170504)</t>
  </si>
  <si>
    <t>Thermoservis - transport s.r.o. Roviny 4 643 00 Brno – Chrlice, ČR IČ: 269 12 643 DIČ: CZ 269 12 64</t>
  </si>
  <si>
    <t>979999982R00</t>
  </si>
  <si>
    <t>Poplatek za recyklaci betonu kusovost nad 1600 cm2 (skup.170101)</t>
  </si>
  <si>
    <t>skupina 17 01 01 z Katalogu odpadů  Thermoservis - transport s.r.o. Roviny 4 643 00 Brno – Chrlice, ČR IČ: 269 12 643 DIČ: CZ 269 12 64</t>
  </si>
  <si>
    <t>55149032</t>
  </si>
  <si>
    <t>Koš odpadkový nerezový SLZN 12 obsah 20 l</t>
  </si>
  <si>
    <t>SO100_Z_</t>
  </si>
  <si>
    <t xml:space="preserve">SLZN 12 - Nerezový koš 20 l </t>
  </si>
  <si>
    <t>58</t>
  </si>
  <si>
    <t>69370522</t>
  </si>
  <si>
    <t>Geotextilie MOKRUTEX HQ PP 500 g/m2 do 6 m</t>
  </si>
  <si>
    <t>dříve MOKRUTEX SPECIAL DS  Je vyroben ze 100% POP střiže. Plní funkci separační, ochrannou, zpevňovací, drenážní, filtrační Použití: při výstavbě silnic, dálnic, železnic, parkovišť, mostů, tunelů, místních komunikací, lesních cest, letištních ploch, benzinových čerpadel, zpevnění hrází, skládek NO, TKO a jejich sanac</t>
  </si>
  <si>
    <t>sorbční geotextilie pod parkovacími stáními</t>
  </si>
  <si>
    <t>69370518</t>
  </si>
  <si>
    <t>Geotextilie MOKRUTEX HQ PP 400 g/m2 do 6 m</t>
  </si>
  <si>
    <t>dříve MOKRUTEX SPECIAL DS  Je vyroben ze 100% POP střiže. Plní funkci separační, ochrannou, zpevňovací Použití: při výstavbě silnic, dálnic, železnic, parkovišť, mostů, tunelů, místních komunikací, lesních cest, letištních ploch, benzinových čerpadel, zpevnění hrází, skládek NO, TKO a jejich sanac</t>
  </si>
  <si>
    <t>01VRN</t>
  </si>
  <si>
    <t>Průzkumy, geodetické a projektové práce</t>
  </si>
  <si>
    <t>60</t>
  </si>
  <si>
    <t>Zastávkový přístřešek - autobusová zastávka</t>
  </si>
  <si>
    <t>01VRN_</t>
  </si>
  <si>
    <t>SO100_Â _</t>
  </si>
  <si>
    <t>61</t>
  </si>
  <si>
    <t>012002VRN</t>
  </si>
  <si>
    <t>Geodetické práce</t>
  </si>
  <si>
    <t>62</t>
  </si>
  <si>
    <t>010001VRN</t>
  </si>
  <si>
    <t>projektová dokumentace - skutečné provedení</t>
  </si>
  <si>
    <t>63</t>
  </si>
  <si>
    <t>zkoušky hutnící</t>
  </si>
  <si>
    <t>zkouška zemní pláně - kontrolní</t>
  </si>
  <si>
    <t>64</t>
  </si>
  <si>
    <t>projektová dokumentace - realizační</t>
  </si>
  <si>
    <t>65</t>
  </si>
  <si>
    <t>043002VRN</t>
  </si>
  <si>
    <t>Zkoušky - PAU</t>
  </si>
  <si>
    <t>66</t>
  </si>
  <si>
    <t>SO150</t>
  </si>
  <si>
    <t>likvidace povrchových vod</t>
  </si>
  <si>
    <t>Hloubené vykopávky</t>
  </si>
  <si>
    <t>67</t>
  </si>
  <si>
    <t>131201111R00</t>
  </si>
  <si>
    <t>Hloubení nezapaž. jam hor.3 do 100 m3, STROJNĚ</t>
  </si>
  <si>
    <t>13_</t>
  </si>
  <si>
    <t>SO150_1_</t>
  </si>
  <si>
    <t>SO150_</t>
  </si>
  <si>
    <t>Položka obsahuje hloubení jámy traktorbagrem,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</si>
  <si>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68</t>
  </si>
  <si>
    <t>131201119R00</t>
  </si>
  <si>
    <t>Příplatek za lepivost - hloubení nezap.jam v hor.3</t>
  </si>
  <si>
    <t>Do měrných jednotek se udává poměrné množství zeminy, které ulpí v nářadí a o které je snížen celkový výkon stroje</t>
  </si>
  <si>
    <t>69</t>
  </si>
  <si>
    <t>132201211R00</t>
  </si>
  <si>
    <t>Hloubení rýh š.do 200 cm hor.3 do 100 m3,STROJNĚ</t>
  </si>
  <si>
    <t>Položka obsahuje hloubení rýh traktorbagrem,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</si>
  <si>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70</t>
  </si>
  <si>
    <t>132201219R00</t>
  </si>
  <si>
    <t>Přípl.za lepivost,hloubení rýh 200cm,hor.3,STROJNĚ</t>
  </si>
  <si>
    <t>Roubení</t>
  </si>
  <si>
    <t>71</t>
  </si>
  <si>
    <t>151101201R00</t>
  </si>
  <si>
    <t>Pažení stěn výkopu - příložné - hloubky do 4 m</t>
  </si>
  <si>
    <t>15_</t>
  </si>
  <si>
    <t>Položka neobsahuje rozepření ani vzepření pažení. Odstranění pažení se oceňuje samostatně.</t>
  </si>
  <si>
    <t>72</t>
  </si>
  <si>
    <t>151101211R00</t>
  </si>
  <si>
    <t>Odstranění pažení stěn - příložné - hl. do 4 m</t>
  </si>
  <si>
    <t>73</t>
  </si>
  <si>
    <t>151101301R00</t>
  </si>
  <si>
    <t>Rozepření stěn pažení - příložné -  hl. do 4 m</t>
  </si>
  <si>
    <t>Odstranění rozepření stěn se oceňuje samostatně.</t>
  </si>
  <si>
    <t>74</t>
  </si>
  <si>
    <t>151101311R00</t>
  </si>
  <si>
    <t>Odstranění rozepření stěn - příložné - hl. do 4 m</t>
  </si>
  <si>
    <t>Přemístění výkopku</t>
  </si>
  <si>
    <t>75</t>
  </si>
  <si>
    <t>161101101R00</t>
  </si>
  <si>
    <t>Svislé přemístění výkopku z hor.1-4 do 2,5 m</t>
  </si>
  <si>
    <t>16_</t>
  </si>
  <si>
    <t xml:space="preserve">Platí pro hloubky výkopu od 1 do 2,5 m. Při hloubce do 1 m se svislé přemístění neoceňuje.  Tabulka pro určení podílu svislého přemístění výkopku. Číselná hodnota uvedená v tabulce udává procento z celkového objemu výkopávky, pro něž se oceňuje svislé přemístění výkopku.  a) hloubení jam objemu do 100 m3  100 %  objemu do 1000 m3  8 % objemu do 10000 m3  3 %  objemu nad 10000 m3  2 %  b) hloubení rýh š. do 60 cm bez ohledu na objem  100 %  c) hloubení rýh š. do 200 cm objemu do 100 m3  100 % objemu nad 100 m3  50 %  d) hloubení zářezů objemu do 1000 m3  neoceňuje se objemu do 10000 m3  neoceňuje se objemu nad 10000 m3  neoceňuje se  </t>
  </si>
  <si>
    <t>76</t>
  </si>
  <si>
    <t>161101102R00</t>
  </si>
  <si>
    <t>Svislé přemístění výkopku z hor.1-4 do 4,0 m</t>
  </si>
  <si>
    <t xml:space="preserve">Tabulka pro určení podílu svislého přemístění výkopku. Číselná hodnota uvedená v tabulce udává procento z celkového objemu vykopávky, pro něž se oceňuje svislé přemístění výkopku. Platí pro hloubky výkopu 2,5 - 4 m.  a) hloubení jam objemu do 100 m3  100 %  objemu do 1000 m3  16 % objemu do 10000 m3  7 %  objemu nad 10000 m3  3 %  b) hloubení rýh š. do 60 cm bez ohledu na objem  nepředpokládá se  c) hloubení rýh š. do 200 cm objemu do 100 m3  100 % objemu nad 100 m3  55 %  d) hloubení zářezů objemu do 1000 m3  neoceňuje se objemu do 10000 m3  neoceňuje se objemu nad 10000 m3  neoceňuje se  </t>
  </si>
  <si>
    <t>77</t>
  </si>
  <si>
    <t>162201102R00</t>
  </si>
  <si>
    <t>Vodorovné přemístění výkopku z hor.1-4 do 50 m</t>
  </si>
  <si>
    <t>78</t>
  </si>
  <si>
    <t>162701105R00</t>
  </si>
  <si>
    <t>Vodorovné přemístění výkopku z hor.1-4 do 10000 m</t>
  </si>
  <si>
    <t>79</t>
  </si>
  <si>
    <t>167101101R00</t>
  </si>
  <si>
    <t>Nakládání výkopku z hor. 1 ÷ 4 v množství do 100 m3</t>
  </si>
  <si>
    <t>80</t>
  </si>
  <si>
    <t>174101101IM</t>
  </si>
  <si>
    <t>Zásyp jam, rýh, šachet se zhutněním</t>
  </si>
  <si>
    <t>RTS II / 2024</t>
  </si>
  <si>
    <t>81</t>
  </si>
  <si>
    <t>174101102IM</t>
  </si>
  <si>
    <t>Zásyp ruční se zhutněním</t>
  </si>
  <si>
    <t>82</t>
  </si>
  <si>
    <t>175101101IM</t>
  </si>
  <si>
    <t>Obsyp potrubí bez prohození sypaniny</t>
  </si>
  <si>
    <t>Hloubení pro podzemní stěny, ražení a hloubení důlní</t>
  </si>
  <si>
    <t>83</t>
  </si>
  <si>
    <t>199000002IM</t>
  </si>
  <si>
    <t>Poplatek za skládku horniny 1- 4, č. dle katal. odpadů 17 05 04</t>
  </si>
  <si>
    <t>19_</t>
  </si>
  <si>
    <t>84</t>
  </si>
  <si>
    <t>213151111IM</t>
  </si>
  <si>
    <t>Montáž vsakovacího bloku nebo tunelu do V 450 l</t>
  </si>
  <si>
    <t>SO150_2_</t>
  </si>
  <si>
    <t>85</t>
  </si>
  <si>
    <t>213151121IM</t>
  </si>
  <si>
    <t>Obalení vsakovacích bloků geotextílií</t>
  </si>
  <si>
    <t>Základy</t>
  </si>
  <si>
    <t>86</t>
  </si>
  <si>
    <t>271531113IM</t>
  </si>
  <si>
    <t>Polštář základu z kameniva hr. drceného 16-32 mm</t>
  </si>
  <si>
    <t>27_</t>
  </si>
  <si>
    <t>87</t>
  </si>
  <si>
    <t>271531115IM</t>
  </si>
  <si>
    <t>Uložení polštáře z kameniva se zhutněním a urovnáním povrchu</t>
  </si>
  <si>
    <t>Zpevňování hornin a konstrukcí</t>
  </si>
  <si>
    <t>88</t>
  </si>
  <si>
    <t>28697122.ARpolIM</t>
  </si>
  <si>
    <t>Systémová revizní šachta k plastovým plokům pro 1 vrstvu bloků vč. těsnění a prodloužení 3 m</t>
  </si>
  <si>
    <t>28_</t>
  </si>
  <si>
    <t>Podkladní a vedlejší konstrukce (kromě vozovek a železničního svršku)</t>
  </si>
  <si>
    <t>89</t>
  </si>
  <si>
    <t>451572111IM</t>
  </si>
  <si>
    <t>Lože pod potrubí z kameniva těženého 0 - 4 mm</t>
  </si>
  <si>
    <t>45_</t>
  </si>
  <si>
    <t>SO150_4_</t>
  </si>
  <si>
    <t>90</t>
  </si>
  <si>
    <t>452112121IM</t>
  </si>
  <si>
    <t>Osazení beton. prstenců pod mříže, výšky do 200 mm</t>
  </si>
  <si>
    <t>452311141IM</t>
  </si>
  <si>
    <t>Desky podkladní pod potrubí z betonu C 16/20</t>
  </si>
  <si>
    <t>452351101IM</t>
  </si>
  <si>
    <t>Bednění desek nebo sedlových loží pod potrubí</t>
  </si>
  <si>
    <t>93</t>
  </si>
  <si>
    <t>5922405383RpolIM</t>
  </si>
  <si>
    <t>Dno šachtové betonové DN1000 bez kynety (kalová jímka)</t>
  </si>
  <si>
    <t>SO150_5_</t>
  </si>
  <si>
    <t>Potrubí z trub kameninových</t>
  </si>
  <si>
    <t>94</t>
  </si>
  <si>
    <t>831263195IM</t>
  </si>
  <si>
    <t>Příplatek za zřízení kanal. přípojky DN 100 - 300</t>
  </si>
  <si>
    <t>83_</t>
  </si>
  <si>
    <t>SO150_8_</t>
  </si>
  <si>
    <t>Potrubí z trub plastických, skleněných a čedičových</t>
  </si>
  <si>
    <t>95</t>
  </si>
  <si>
    <t>871313121IM</t>
  </si>
  <si>
    <t>Montáž trub kanaliz. z plastu, hrdlových, DN 150</t>
  </si>
  <si>
    <t>87_</t>
  </si>
  <si>
    <t>871353121IM</t>
  </si>
  <si>
    <t>Montáž trub kanaliz. z plastu, hrdlových, DN 200</t>
  </si>
  <si>
    <t>97</t>
  </si>
  <si>
    <t>877353123IM</t>
  </si>
  <si>
    <t>Montáž tvarovek jednoos. plast. gum.kroužek DN 200</t>
  </si>
  <si>
    <t>98</t>
  </si>
  <si>
    <t>Ostatní konstrukce a práce na trubním vedení</t>
  </si>
  <si>
    <t>892581111IM</t>
  </si>
  <si>
    <t>Zkouška těsnosti kanalizace DN do 300, vodou</t>
  </si>
  <si>
    <t>89_</t>
  </si>
  <si>
    <t>100</t>
  </si>
  <si>
    <t>892855114IM</t>
  </si>
  <si>
    <t>Kontrola kanalizace TV kamerou do 200 m</t>
  </si>
  <si>
    <t>101</t>
  </si>
  <si>
    <t>894421112IM</t>
  </si>
  <si>
    <t>Osazení betonových dílců šachet do 1,4 t skruže rovné, na kroužek, do 1,4 t</t>
  </si>
  <si>
    <t>102</t>
  </si>
  <si>
    <t>894422111IM</t>
  </si>
  <si>
    <t>Osazení betonových dílců šachet skruže přechodové, na kroužek</t>
  </si>
  <si>
    <t>103</t>
  </si>
  <si>
    <t>894423111IM</t>
  </si>
  <si>
    <t>Osazení betonových dílců šachet do 2,0 t šachtová dna, na kroužek, do 2,0 t</t>
  </si>
  <si>
    <t>104</t>
  </si>
  <si>
    <t>894431112IM</t>
  </si>
  <si>
    <t>Osazení plastové šachty z dílů prům.600 mm</t>
  </si>
  <si>
    <t>105</t>
  </si>
  <si>
    <t>894432112IM</t>
  </si>
  <si>
    <t>Osazení plastové šachty revizní prům.425 mm</t>
  </si>
  <si>
    <t>106</t>
  </si>
  <si>
    <t>895941111IM</t>
  </si>
  <si>
    <t>Zřízení vpusti uliční z dílců typ UV - 50 normální</t>
  </si>
  <si>
    <t>107</t>
  </si>
  <si>
    <t>899102111IM</t>
  </si>
  <si>
    <t>Osazení poklopu s rámem do 100 kg</t>
  </si>
  <si>
    <t>108</t>
  </si>
  <si>
    <t>899104111IM</t>
  </si>
  <si>
    <t>Osazení poklopu s rámem nad 150 kg</t>
  </si>
  <si>
    <t>109</t>
  </si>
  <si>
    <t>899211112IM</t>
  </si>
  <si>
    <t>Osazení mříží litinových s rámem do 100 kg</t>
  </si>
  <si>
    <t>110</t>
  </si>
  <si>
    <t>899623181IM</t>
  </si>
  <si>
    <t>Obetonování potrubí nebo zdiva stok betonem C30/37</t>
  </si>
  <si>
    <t>111</t>
  </si>
  <si>
    <t>899643111IM</t>
  </si>
  <si>
    <t>Bednění pro obetonování potrubí v otevřeném výkopu</t>
  </si>
  <si>
    <t>112</t>
  </si>
  <si>
    <t>899711122IM</t>
  </si>
  <si>
    <t>Fólie výstražná z PVC šedá, šířka 30 cm</t>
  </si>
  <si>
    <t>H27</t>
  </si>
  <si>
    <t>Vedení trubní dálková a přípojná</t>
  </si>
  <si>
    <t>113</t>
  </si>
  <si>
    <t>998276201IM</t>
  </si>
  <si>
    <t>Přesun hmot, trub.vedení plast. obsypaná kamenivem</t>
  </si>
  <si>
    <t>H27_</t>
  </si>
  <si>
    <t>SO150_9_</t>
  </si>
  <si>
    <t>114</t>
  </si>
  <si>
    <t>583425651IM</t>
  </si>
  <si>
    <t>Kamenivo drcené 8/16</t>
  </si>
  <si>
    <t>SO150_Z_</t>
  </si>
  <si>
    <t>115</t>
  </si>
  <si>
    <t>28697908IM</t>
  </si>
  <si>
    <t>Blok vsakovací PP 0,8 x 0,8 x 0,66 m vč. bočních mřížek</t>
  </si>
  <si>
    <t>116</t>
  </si>
  <si>
    <t>28697915IM</t>
  </si>
  <si>
    <t>Části spojovací vsakovacích bloků, 10 ks</t>
  </si>
  <si>
    <t>117</t>
  </si>
  <si>
    <t>583424851IM</t>
  </si>
  <si>
    <t>Kamenivo drcené 4/8</t>
  </si>
  <si>
    <t>118</t>
  </si>
  <si>
    <t>67390503IM</t>
  </si>
  <si>
    <t>Geotextilie netkaná 300 g/m2</t>
  </si>
  <si>
    <t>119</t>
  </si>
  <si>
    <t>59224347.AIM</t>
  </si>
  <si>
    <t>Prstenec šachtový vyrovnávací 63/6</t>
  </si>
  <si>
    <t>120</t>
  </si>
  <si>
    <t>59224348.AIM</t>
  </si>
  <si>
    <t>Prstenec šachtový vyrovnávací 1 63/8</t>
  </si>
  <si>
    <t>121</t>
  </si>
  <si>
    <t>28611151.AIM</t>
  </si>
  <si>
    <t>Trubka kanalizační  SN 4 PVC 160 x 4,0 x 1000 mm</t>
  </si>
  <si>
    <t>122</t>
  </si>
  <si>
    <t>28611263.AIM</t>
  </si>
  <si>
    <t>Trubka kanalizační SN 8 PVC 200x5,9x1000</t>
  </si>
  <si>
    <t>123</t>
  </si>
  <si>
    <t>28651664.AIM</t>
  </si>
  <si>
    <t>Koleno kanalizační  160/ 87° PVC</t>
  </si>
  <si>
    <t>124</t>
  </si>
  <si>
    <t>28651669.AIM</t>
  </si>
  <si>
    <t>Koleno kanalizační 200/ 87° PVC</t>
  </si>
  <si>
    <t>125</t>
  </si>
  <si>
    <t>286971402IM</t>
  </si>
  <si>
    <t>Roura šachtová PP korugovaná 425 x 1500 mm</t>
  </si>
  <si>
    <t>126</t>
  </si>
  <si>
    <t>286971412IM</t>
  </si>
  <si>
    <t>Roura šachtová teleskopická s těsněním bez hrdla 425 x 375 mm</t>
  </si>
  <si>
    <t>127</t>
  </si>
  <si>
    <t>28697160IM</t>
  </si>
  <si>
    <t>Těsnění EPDM DN 600 pro teleskop a betonový prstenec</t>
  </si>
  <si>
    <t>128</t>
  </si>
  <si>
    <t>286971676IM</t>
  </si>
  <si>
    <t>Dno šachtové PP výkyvné 425 typ T DN/OD 160 mm</t>
  </si>
  <si>
    <t>129</t>
  </si>
  <si>
    <t>286971680IM</t>
  </si>
  <si>
    <t>Dno šachtové PP výkyvné 425 průtočné 60° DN/OD 200 mm</t>
  </si>
  <si>
    <t>130</t>
  </si>
  <si>
    <t>55241713IM</t>
  </si>
  <si>
    <t>Poklop šachtový litina 600, D400</t>
  </si>
  <si>
    <t>131</t>
  </si>
  <si>
    <t>55243064.AIM</t>
  </si>
  <si>
    <t>Poklop šachtový litina DN 425, D400  kruhový do teleskopu</t>
  </si>
  <si>
    <t>132</t>
  </si>
  <si>
    <t>55243096IM</t>
  </si>
  <si>
    <t>Mříž vtoková D400 prohnutá 500 x 500 mm</t>
  </si>
  <si>
    <t>133</t>
  </si>
  <si>
    <t>55243347IM</t>
  </si>
  <si>
    <t>Poklop šachtový litina d 610 mm "D3" D400</t>
  </si>
  <si>
    <t>134</t>
  </si>
  <si>
    <t>55343910IM</t>
  </si>
  <si>
    <t>Koš kalový pro mříž 500 x 500 mm, pozink v. 600 mm</t>
  </si>
  <si>
    <t>135</t>
  </si>
  <si>
    <t>592239010IM</t>
  </si>
  <si>
    <t>Skruž s otvorem TBV 3A, DN 150</t>
  </si>
  <si>
    <t>136</t>
  </si>
  <si>
    <t>592239022IM</t>
  </si>
  <si>
    <t>Skruž uliční vpusti horní TBV 5D - 450/570</t>
  </si>
  <si>
    <t>137</t>
  </si>
  <si>
    <t>5922405392IM</t>
  </si>
  <si>
    <t>Skruž šachtová beton 1000 x 500</t>
  </si>
  <si>
    <t>138</t>
  </si>
  <si>
    <t>5922405395IM</t>
  </si>
  <si>
    <t>Konus šachtový beton 1000/600 x 625/120</t>
  </si>
  <si>
    <t>139</t>
  </si>
  <si>
    <t>59224301IM</t>
  </si>
  <si>
    <t>Prstenec vyrovnávací TBV-Q 10a/60 DN 390</t>
  </si>
  <si>
    <t>140</t>
  </si>
  <si>
    <t>59224322IM</t>
  </si>
  <si>
    <t>Díl uliční vpusti spodní TBV-Q 2a/300 s odkalištěm</t>
  </si>
  <si>
    <t>141</t>
  </si>
  <si>
    <t>59224373.AIM</t>
  </si>
  <si>
    <t>Těsnění elastomerové pro šachtové díly EMT DN 1000</t>
  </si>
  <si>
    <t>Celkem:</t>
  </si>
  <si>
    <t>Krycí list slepého rozpočtu</t>
  </si>
  <si>
    <t>IČO/DIČ:</t>
  </si>
  <si>
    <t>Položek:</t>
  </si>
  <si>
    <t>Datum:</t>
  </si>
  <si>
    <t>Rozpočtové náklady v Kč</t>
  </si>
  <si>
    <t>A</t>
  </si>
  <si>
    <t>Základní rozpočtové náklady</t>
  </si>
  <si>
    <t>B</t>
  </si>
  <si>
    <t>Doplňkové náklady</t>
  </si>
  <si>
    <t>C</t>
  </si>
  <si>
    <t>Náklady na umístění stavby (NUS)</t>
  </si>
  <si>
    <t>HSV</t>
  </si>
  <si>
    <t>Dodávky</t>
  </si>
  <si>
    <t>Práce přesčas</t>
  </si>
  <si>
    <t>Bez pevné podl.</t>
  </si>
  <si>
    <t>Mimostav. doprava</t>
  </si>
  <si>
    <t>PSV</t>
  </si>
  <si>
    <t>Kulturní památka</t>
  </si>
  <si>
    <t>Územní vlivy</t>
  </si>
  <si>
    <t>"M"</t>
  </si>
  <si>
    <t>Ostatní</t>
  </si>
  <si>
    <t>NUS z rozpočtu</t>
  </si>
  <si>
    <t>Přesun hmot a sutí</t>
  </si>
  <si>
    <t>ZRN celkem</t>
  </si>
  <si>
    <t>DN celkem</t>
  </si>
  <si>
    <t>NUS celkem</t>
  </si>
  <si>
    <t>DN celkem z obj.</t>
  </si>
  <si>
    <t>NUS celkem z obj.</t>
  </si>
  <si>
    <t>VORN celkem</t>
  </si>
  <si>
    <t>VORN celkem z obj.</t>
  </si>
  <si>
    <t>Základ 0%</t>
  </si>
  <si>
    <t>Základ 12%</t>
  </si>
  <si>
    <t>DPH 12%</t>
  </si>
  <si>
    <t>Celkem bez DPH</t>
  </si>
  <si>
    <t>Základ 21%</t>
  </si>
  <si>
    <t>DPH 21%</t>
  </si>
  <si>
    <t>Celkem včetně DPH</t>
  </si>
  <si>
    <t>Projektant</t>
  </si>
  <si>
    <t>Objednatel</t>
  </si>
  <si>
    <t>Zhotovitel</t>
  </si>
  <si>
    <t>Datum, razítko a podpis</t>
  </si>
  <si>
    <t>Vedlejší rozpočtové náklady VRN</t>
  </si>
  <si>
    <t>Doplňkové náklady DN</t>
  </si>
  <si>
    <t>Kč</t>
  </si>
  <si>
    <t>%</t>
  </si>
  <si>
    <t>Základna</t>
  </si>
  <si>
    <t>Celkem DN</t>
  </si>
  <si>
    <t>Celkem NUS</t>
  </si>
  <si>
    <t>Celkem VRN</t>
  </si>
  <si>
    <t>Vedlejší a ostatní rozpočtové náklady VORN</t>
  </si>
  <si>
    <t>Ostatní rozpočtové náklady (VORN)</t>
  </si>
  <si>
    <t>Příprava staveniště</t>
  </si>
  <si>
    <t>Finanční náklady</t>
  </si>
  <si>
    <t>Náklady na pracovníky</t>
  </si>
  <si>
    <t>Ostatní náklady</t>
  </si>
  <si>
    <t>Vlastní VORN</t>
  </si>
  <si>
    <t>Celkem VORN</t>
  </si>
</sst>
</file>

<file path=xl/styles.xml><?xml version="1.0" encoding="utf-8"?>
<styleSheet xmlns="http://schemas.openxmlformats.org/spreadsheetml/2006/main">
  <numFmts count="0"/>
  <fonts count="11">
    <font>
      <sz val="11"/>
      <name val="Calibri"/>
      <charset val="1"/>
    </font>
    <font>
      <color rgb="FF000000"/>
      <sz val="18"/>
      <name val="Arial"/>
      <charset val="238"/>
    </font>
    <font>
      <color rgb="FF000000"/>
      <sz val="10"/>
      <name val="Arial"/>
      <charset val="238"/>
      <b/>
    </font>
    <font>
      <color rgb="FF000000"/>
      <sz val="10"/>
      <name val="Arial"/>
      <charset val="238"/>
    </font>
    <font>
      <color rgb="FF000000"/>
      <sz val="10"/>
      <name val="Arial"/>
      <charset val="238"/>
      <i/>
    </font>
    <font>
      <color rgb="FF000000"/>
      <sz val="8"/>
      <name val="Arial"/>
      <charset val="238"/>
      <i/>
    </font>
    <font>
      <color rgb="FF000000"/>
      <sz val="18"/>
      <name val="Arial"/>
      <charset val="238"/>
      <b/>
    </font>
    <font>
      <color rgb="FF000000"/>
      <sz val="20"/>
      <name val="Arial"/>
      <charset val="238"/>
      <b/>
    </font>
    <font>
      <color rgb="FF000000"/>
      <sz val="11"/>
      <name val="Arial"/>
      <charset val="238"/>
      <b/>
    </font>
    <font>
      <color rgb="FF000000"/>
      <sz val="12"/>
      <name val="Arial"/>
      <charset val="238"/>
      <b/>
    </font>
    <font>
      <color rgb="FF000000"/>
      <sz val="12"/>
      <name val="Arial"/>
      <charset val="238"/>
    </font>
  </fonts>
  <fills count="3">
    <fill>
      <patternFill patternType="none"/>
    </fill>
    <fill>
      <patternFill patternType="gray125"/>
    </fill>
    <fill>
      <patternFill patternType="solid">
        <fgColor rgb="FFC0C0C0"/>
        <bgColor rgb="FFC0C0C0"/>
      </patternFill>
    </fill>
  </fills>
  <borders count="74">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s>
  <cellStyleXfs count="1">
    <xf borderId="0" fillId="0" fontId="0" numFmtId="0"/>
  </cellStyleXfs>
  <cellXfs count="144">
    <xf applyAlignment="true" applyBorder="true" applyFill="true" applyNumberFormat="true" applyFont="true" applyProtection="true" borderId="0" fillId="0" fontId="0" numFmtId="0" xfId="0">
      <alignment horizontal="general" vertical="bottom" textRotation="0" shrinkToFit="false" wrapText="false"/>
      <protection hidden="false" locked="true"/>
    </xf>
    <xf applyAlignment="true" applyBorder="true" applyFill="true" applyNumberFormat="true" applyFont="true" applyProtection="true" borderId="1" fillId="0" fontId="1" numFmtId="0" xfId="0">
      <alignment horizontal="center" vertical="center" textRotation="0" shrinkToFit="false" wrapText="false"/>
      <protection hidden="false" locked="true"/>
    </xf>
    <xf applyAlignment="true" applyBorder="true" applyFill="true" applyNumberFormat="true" applyFont="true" applyProtection="true" borderId="0" fillId="2" fontId="2" numFmtId="4" xfId="0">
      <alignment horizontal="right" vertical="center" textRotation="0" shrinkToFit="false" wrapText="false"/>
      <protection hidden="false" locked="true"/>
    </xf>
    <xf applyAlignment="true" applyBorder="true" applyFill="true" applyNumberFormat="true" applyFont="true" applyProtection="true" borderId="2" fillId="0" fontId="3" numFmtId="0" xfId="0">
      <alignment horizontal="left" vertical="center" textRotation="0" shrinkToFit="false" wrapText="true"/>
      <protection hidden="false" locked="true"/>
    </xf>
    <xf applyAlignment="true" applyBorder="true" applyFill="true" applyNumberFormat="true" applyFont="true" applyProtection="true" borderId="3" fillId="0" fontId="3" numFmtId="0" xfId="0">
      <alignment horizontal="left" vertical="center" textRotation="0" shrinkToFit="false" wrapText="false"/>
      <protection hidden="false" locked="true"/>
    </xf>
    <xf applyAlignment="true" applyBorder="true" applyFill="true" applyNumberFormat="true" applyFont="true" applyProtection="true" borderId="3" fillId="0" fontId="2" numFmtId="0" xfId="0">
      <alignment horizontal="left" vertical="center" textRotation="0" shrinkToFit="false" wrapText="true"/>
      <protection hidden="false" locked="true"/>
    </xf>
    <xf applyAlignment="true" applyBorder="true" applyFill="true" applyNumberFormat="true" applyFont="true" applyProtection="true" borderId="3" fillId="0" fontId="2" numFmtId="0" xfId="0">
      <alignment horizontal="left" vertical="center" textRotation="0" shrinkToFit="false" wrapText="false"/>
      <protection hidden="false" locked="true"/>
    </xf>
    <xf applyAlignment="true" applyBorder="true" applyFill="true" applyNumberFormat="true" applyFont="true" applyProtection="true" borderId="3" fillId="0" fontId="3" numFmtId="0" xfId="0">
      <alignment horizontal="left" vertical="center" textRotation="0" shrinkToFit="false" wrapText="true"/>
      <protection hidden="false" locked="true"/>
    </xf>
    <xf applyAlignment="true" applyBorder="true" applyFill="true" applyNumberFormat="true" applyFont="true" applyProtection="true" borderId="4" fillId="0" fontId="3" numFmtId="0" xfId="0">
      <alignment horizontal="left" vertical="center" textRotation="0" shrinkToFit="false" wrapText="false"/>
      <protection hidden="false" locked="true"/>
    </xf>
    <xf applyAlignment="true" applyBorder="true" applyFill="true" applyNumberFormat="true" applyFont="true" applyProtection="true" borderId="5" fillId="0" fontId="3" numFmtId="0" xfId="0">
      <alignment horizontal="left" vertical="center" textRotation="0" shrinkToFit="false" wrapText="false"/>
      <protection hidden="false" locked="true"/>
    </xf>
    <xf applyAlignment="true" applyBorder="true" applyFill="true" applyNumberFormat="true" applyFont="true" applyProtection="true" borderId="0" fillId="0" fontId="3" numFmtId="0" xfId="0">
      <alignment horizontal="left" vertical="center" textRotation="0" shrinkToFit="false" wrapText="false"/>
      <protection hidden="false" locked="true"/>
    </xf>
    <xf applyAlignment="true" applyBorder="true" applyFill="true" applyNumberFormat="true" applyFont="true" applyProtection="true" borderId="0" fillId="0" fontId="2" numFmtId="0" xfId="0">
      <alignment horizontal="left" vertical="center" textRotation="0" shrinkToFit="false" wrapText="false"/>
      <protection hidden="false" locked="true"/>
    </xf>
    <xf applyAlignment="true" applyBorder="true" applyFill="true" applyNumberFormat="true" applyFont="true" applyProtection="true" borderId="6" fillId="0" fontId="3" numFmtId="0" xfId="0">
      <alignment horizontal="left" vertical="center" textRotation="0" shrinkToFit="false" wrapText="false"/>
      <protection hidden="false" locked="true"/>
    </xf>
    <xf applyAlignment="true" applyBorder="true" applyFill="true" applyNumberFormat="true" applyFont="true" applyProtection="true" borderId="5" fillId="0" fontId="3" numFmtId="0" xfId="0">
      <alignment horizontal="left" vertical="center" textRotation="0" shrinkToFit="false" wrapText="true"/>
      <protection hidden="false" locked="true"/>
    </xf>
    <xf applyAlignment="true" applyBorder="true" applyFill="true" applyNumberFormat="true" applyFont="true" applyProtection="true" borderId="0" fillId="0" fontId="3" numFmtId="0" xfId="0">
      <alignment horizontal="left" vertical="center" textRotation="0" shrinkToFit="false" wrapText="true"/>
      <protection hidden="false" locked="true"/>
    </xf>
    <xf applyAlignment="true" applyBorder="true" applyFill="true" applyNumberFormat="true" applyFont="true" applyProtection="true" borderId="7" fillId="0" fontId="3" numFmtId="0" xfId="0">
      <alignment horizontal="left" vertical="center" textRotation="0" shrinkToFit="false" wrapText="false"/>
      <protection hidden="false" locked="true"/>
    </xf>
    <xf applyAlignment="true" applyBorder="true" applyFill="true" applyNumberFormat="true" applyFont="true" applyProtection="true" borderId="8" fillId="0" fontId="3" numFmtId="0" xfId="0">
      <alignment horizontal="left" vertical="center" textRotation="0" shrinkToFit="false" wrapText="false"/>
      <protection hidden="false" locked="true"/>
    </xf>
    <xf applyAlignment="true" applyBorder="true" applyFill="true" applyNumberFormat="true" applyFont="true" applyProtection="true" borderId="9" fillId="0" fontId="3" numFmtId="0" xfId="0">
      <alignment horizontal="left" vertical="center" textRotation="0" shrinkToFit="false" wrapText="false"/>
      <protection hidden="false" locked="true"/>
    </xf>
    <xf applyAlignment="true" applyBorder="true" applyFill="true" applyNumberFormat="true" applyFont="true" applyProtection="true" borderId="10" fillId="0" fontId="2" numFmtId="0" xfId="0">
      <alignment horizontal="left" vertical="center" textRotation="0" shrinkToFit="false" wrapText="false"/>
      <protection hidden="false" locked="true"/>
    </xf>
    <xf applyAlignment="true" applyBorder="true" applyFill="true" applyNumberFormat="true" applyFont="true" applyProtection="true" borderId="11" fillId="0" fontId="2" numFmtId="0" xfId="0">
      <alignment horizontal="left" vertical="center" textRotation="0" shrinkToFit="false" wrapText="false"/>
      <protection hidden="false" locked="true"/>
    </xf>
    <xf applyAlignment="true" applyBorder="true" applyFill="true" applyNumberFormat="true" applyFont="true" applyProtection="true" borderId="12" fillId="0" fontId="2" numFmtId="0" xfId="0">
      <alignment horizontal="left" vertical="center" textRotation="0" shrinkToFit="false" wrapText="false"/>
      <protection hidden="false" locked="true"/>
    </xf>
    <xf applyAlignment="true" applyBorder="true" applyFill="true" applyNumberFormat="true" applyFont="true" applyProtection="true" borderId="13" fillId="0" fontId="2" numFmtId="0" xfId="0">
      <alignment horizontal="left" vertical="center" textRotation="0" shrinkToFit="false" wrapText="false"/>
      <protection hidden="false" locked="true"/>
    </xf>
    <xf applyAlignment="true" applyBorder="true" applyFill="true" applyNumberFormat="true" applyFont="true" applyProtection="true" borderId="11" fillId="0" fontId="2" numFmtId="0" xfId="0">
      <alignment horizontal="center" vertical="center" textRotation="0" shrinkToFit="false" wrapText="false"/>
      <protection hidden="false" locked="true"/>
    </xf>
    <xf applyAlignment="true" applyBorder="true" applyFill="true" applyNumberFormat="true" applyFont="true" applyProtection="true" borderId="14" fillId="0" fontId="2" numFmtId="0" xfId="0">
      <alignment horizontal="center" vertical="center" textRotation="0" shrinkToFit="false" wrapText="false"/>
      <protection hidden="false" locked="true"/>
    </xf>
    <xf applyAlignment="true" applyBorder="true" applyFill="true" applyNumberFormat="true" applyFont="true" applyProtection="true" borderId="15" fillId="0" fontId="2" numFmtId="0" xfId="0">
      <alignment horizontal="center" vertical="center" textRotation="0" shrinkToFit="false" wrapText="false"/>
      <protection hidden="false" locked="true"/>
    </xf>
    <xf applyAlignment="true" applyBorder="true" applyFill="true" applyNumberFormat="true" applyFont="true" applyProtection="true" borderId="16" fillId="0" fontId="2" numFmtId="0" xfId="0">
      <alignment horizontal="center" vertical="center" textRotation="0" shrinkToFit="false" wrapText="false"/>
      <protection hidden="false" locked="true"/>
    </xf>
    <xf applyAlignment="true" applyBorder="true" applyFill="true" applyNumberFormat="true" applyFont="true" applyProtection="true" borderId="17" fillId="0" fontId="2" numFmtId="0" xfId="0">
      <alignment horizontal="center" vertical="center" textRotation="0" shrinkToFit="false" wrapText="false"/>
      <protection hidden="false" locked="true"/>
    </xf>
    <xf applyAlignment="true" applyBorder="true" applyFill="true" applyNumberFormat="true" applyFont="true" applyProtection="true" borderId="18" fillId="0" fontId="2" numFmtId="0" xfId="0">
      <alignment horizontal="center" vertical="center" textRotation="0" shrinkToFit="false" wrapText="false"/>
      <protection hidden="false" locked="true"/>
    </xf>
    <xf applyAlignment="true" applyBorder="true" applyFill="true" applyNumberFormat="true" applyFont="true" applyProtection="true" borderId="0" fillId="2" fontId="2" numFmtId="0" xfId="0">
      <alignment horizontal="right" vertical="center" textRotation="0" shrinkToFit="false" wrapText="false"/>
      <protection hidden="false" locked="true"/>
    </xf>
    <xf applyAlignment="true" applyBorder="true" applyFill="true" applyNumberFormat="true" applyFont="true" applyProtection="true" borderId="0" fillId="0" fontId="2" numFmtId="0" xfId="0">
      <alignment horizontal="right" vertical="center" textRotation="0" shrinkToFit="false" wrapText="false"/>
      <protection hidden="false" locked="true"/>
    </xf>
    <xf applyAlignment="true" applyBorder="true" applyFill="true" applyNumberFormat="true" applyFont="true" applyProtection="true" borderId="19" fillId="0" fontId="3" numFmtId="0" xfId="0">
      <alignment horizontal="left" vertical="center" textRotation="0" shrinkToFit="false" wrapText="false"/>
      <protection hidden="false" locked="true"/>
    </xf>
    <xf applyAlignment="true" applyBorder="true" applyFill="true" applyNumberFormat="true" applyFont="true" applyProtection="true" borderId="20" fillId="0" fontId="3" numFmtId="0" xfId="0">
      <alignment horizontal="left" vertical="center" textRotation="0" shrinkToFit="false" wrapText="false"/>
      <protection hidden="false" locked="true"/>
    </xf>
    <xf applyAlignment="true" applyBorder="true" applyFill="true" applyNumberFormat="true" applyFont="true" applyProtection="true" borderId="21" fillId="0" fontId="2" numFmtId="0" xfId="0">
      <alignment horizontal="left" vertical="center" textRotation="0" shrinkToFit="false" wrapText="false"/>
      <protection hidden="false" locked="true"/>
    </xf>
    <xf applyAlignment="true" applyBorder="true" applyFill="true" applyNumberFormat="true" applyFont="true" applyProtection="true" borderId="22" fillId="0" fontId="2" numFmtId="0" xfId="0">
      <alignment horizontal="left" vertical="center" textRotation="0" shrinkToFit="false" wrapText="false"/>
      <protection hidden="false" locked="true"/>
    </xf>
    <xf applyAlignment="true" applyBorder="true" applyFill="true" applyNumberFormat="true" applyFont="true" applyProtection="true" borderId="23" fillId="0" fontId="2" numFmtId="0" xfId="0">
      <alignment horizontal="center" vertical="center" textRotation="0" shrinkToFit="false" wrapText="false"/>
      <protection hidden="false" locked="true"/>
    </xf>
    <xf applyAlignment="true" applyBorder="true" applyFill="true" applyNumberFormat="true" applyFont="true" applyProtection="true" borderId="24" fillId="0" fontId="2" numFmtId="0" xfId="0">
      <alignment horizontal="center" vertical="center" textRotation="0" shrinkToFit="false" wrapText="false"/>
      <protection hidden="false" locked="true"/>
    </xf>
    <xf applyAlignment="true" applyBorder="true" applyFill="true" applyNumberFormat="true" applyFont="true" applyProtection="true" borderId="25" fillId="0" fontId="2" numFmtId="0" xfId="0">
      <alignment horizontal="center" vertical="center" textRotation="0" shrinkToFit="false" wrapText="false"/>
      <protection hidden="false" locked="true"/>
    </xf>
    <xf applyAlignment="true" applyBorder="true" applyFill="true" applyNumberFormat="true" applyFont="true" applyProtection="true" borderId="26" fillId="0" fontId="2" numFmtId="0" xfId="0">
      <alignment horizontal="center" vertical="center" textRotation="0" shrinkToFit="false" wrapText="false"/>
      <protection hidden="false" locked="true"/>
    </xf>
    <xf applyAlignment="true" applyBorder="true" applyFill="true" applyNumberFormat="true" applyFont="true" applyProtection="true" borderId="27" fillId="0" fontId="2" numFmtId="0" xfId="0">
      <alignment horizontal="center" vertical="center" textRotation="0" shrinkToFit="false" wrapText="false"/>
      <protection hidden="false" locked="true"/>
    </xf>
    <xf applyAlignment="true" applyBorder="true" applyFill="true" applyNumberFormat="true" applyFont="true" applyProtection="true" borderId="28" fillId="2" fontId="3" numFmtId="0" xfId="0">
      <alignment horizontal="left" vertical="center" textRotation="0" shrinkToFit="false" wrapText="false"/>
      <protection hidden="false" locked="true"/>
    </xf>
    <xf applyAlignment="true" applyBorder="true" applyFill="true" applyNumberFormat="true" applyFont="true" applyProtection="true" borderId="29" fillId="2" fontId="2" numFmtId="0" xfId="0">
      <alignment horizontal="left" vertical="center" textRotation="0" shrinkToFit="false" wrapText="false"/>
      <protection hidden="false" locked="true"/>
    </xf>
    <xf applyAlignment="true" applyBorder="true" applyFill="true" applyNumberFormat="true" applyFont="true" applyProtection="true" borderId="29" fillId="2" fontId="2" numFmtId="0" xfId="0">
      <alignment horizontal="left" vertical="center" textRotation="0" shrinkToFit="false" wrapText="true"/>
      <protection hidden="false" locked="true"/>
    </xf>
    <xf applyAlignment="true" applyBorder="true" applyFill="true" applyNumberFormat="true" applyFont="true" applyProtection="true" borderId="29" fillId="2" fontId="3" numFmtId="0" xfId="0">
      <alignment horizontal="left" vertical="center" textRotation="0" shrinkToFit="false" wrapText="false"/>
      <protection hidden="false" locked="true"/>
    </xf>
    <xf applyAlignment="true" applyBorder="true" applyFill="true" applyNumberFormat="true" applyFont="true" applyProtection="true" borderId="29" fillId="2" fontId="2" numFmtId="4" xfId="0">
      <alignment horizontal="right" vertical="center" textRotation="0" shrinkToFit="false" wrapText="false"/>
      <protection hidden="false" locked="true"/>
    </xf>
    <xf applyAlignment="true" applyBorder="true" applyFill="true" applyNumberFormat="true" applyFont="true" applyProtection="true" borderId="30" fillId="2" fontId="2" numFmtId="0" xfId="0">
      <alignment horizontal="right" vertical="center" textRotation="0" shrinkToFit="false" wrapText="false"/>
      <protection hidden="false" locked="true"/>
    </xf>
    <xf applyAlignment="true" applyBorder="true" applyFill="true" applyNumberFormat="true" applyFont="true" applyProtection="true" borderId="5" fillId="2" fontId="3" numFmtId="0" xfId="0">
      <alignment horizontal="left" vertical="center" textRotation="0" shrinkToFit="false" wrapText="false"/>
      <protection hidden="false" locked="true"/>
    </xf>
    <xf applyAlignment="true" applyBorder="true" applyFill="true" applyNumberFormat="true" applyFont="true" applyProtection="true" borderId="0" fillId="2" fontId="2" numFmtId="0" xfId="0">
      <alignment horizontal="left" vertical="center" textRotation="0" shrinkToFit="false" wrapText="false"/>
      <protection hidden="false" locked="true"/>
    </xf>
    <xf applyAlignment="true" applyBorder="true" applyFill="true" applyNumberFormat="true" applyFont="true" applyProtection="true" borderId="0" fillId="2" fontId="2" numFmtId="0" xfId="0">
      <alignment horizontal="left" vertical="center" textRotation="0" shrinkToFit="false" wrapText="true"/>
      <protection hidden="false" locked="true"/>
    </xf>
    <xf applyAlignment="true" applyBorder="true" applyFill="true" applyNumberFormat="true" applyFont="true" applyProtection="true" borderId="0" fillId="2" fontId="3" numFmtId="0" xfId="0">
      <alignment horizontal="left" vertical="center" textRotation="0" shrinkToFit="false" wrapText="false"/>
      <protection hidden="false" locked="true"/>
    </xf>
    <xf applyAlignment="true" applyBorder="true" applyFill="true" applyNumberFormat="true" applyFont="true" applyProtection="true" borderId="6" fillId="2" fontId="2" numFmtId="0" xfId="0">
      <alignment horizontal="right" vertical="center" textRotation="0" shrinkToFit="false" wrapText="false"/>
      <protection hidden="false" locked="true"/>
    </xf>
    <xf applyAlignment="true" applyBorder="true" applyFill="true" applyNumberFormat="true" applyFont="true" applyProtection="true" borderId="0" fillId="0" fontId="3" numFmtId="4" xfId="0">
      <alignment horizontal="right" vertical="center" textRotation="0" shrinkToFit="false" wrapText="false"/>
      <protection hidden="false" locked="true"/>
    </xf>
    <xf applyAlignment="true" applyBorder="true" applyFill="true" applyNumberFormat="true" applyFont="true" applyProtection="true" borderId="6" fillId="0" fontId="3" numFmtId="0" xfId="0">
      <alignment horizontal="right" vertical="center" textRotation="0" shrinkToFit="false" wrapText="false"/>
      <protection hidden="false" locked="true"/>
    </xf>
    <xf applyAlignment="true" applyBorder="true" applyFill="true" applyNumberFormat="true" applyFont="true" applyProtection="true" borderId="0" fillId="0" fontId="3" numFmtId="0" xfId="0">
      <alignment horizontal="right" vertical="center" textRotation="0" shrinkToFit="false" wrapText="false"/>
      <protection hidden="false" locked="true"/>
    </xf>
    <xf applyAlignment="true" applyBorder="true" applyFill="true" applyNumberFormat="true" applyFont="true" applyProtection="true" borderId="5" fillId="0" fontId="0" numFmtId="0" xfId="0">
      <alignment horizontal="general" vertical="bottom" textRotation="0" shrinkToFit="false" wrapText="false"/>
      <protection hidden="false" locked="true"/>
    </xf>
    <xf applyAlignment="true" applyBorder="true" applyFill="true" applyNumberFormat="true" applyFont="true" applyProtection="true" borderId="0" fillId="0" fontId="4" numFmtId="0" xfId="0">
      <alignment horizontal="right" vertical="center" textRotation="0" shrinkToFit="false" wrapText="false"/>
      <protection hidden="false" locked="true"/>
    </xf>
    <xf applyAlignment="true" applyBorder="true" applyFill="true" applyNumberFormat="true" applyFont="true" applyProtection="true" borderId="0" fillId="0" fontId="4" numFmtId="0" xfId="0">
      <alignment horizontal="left" vertical="center" textRotation="0" shrinkToFit="false" wrapText="true"/>
      <protection hidden="false" locked="true"/>
    </xf>
    <xf applyAlignment="true" applyBorder="true" applyFill="true" applyNumberFormat="true" applyFont="true" applyProtection="true" borderId="0" fillId="0" fontId="4" numFmtId="0" xfId="0">
      <alignment horizontal="left" vertical="center" textRotation="0" shrinkToFit="false" wrapText="false"/>
      <protection hidden="false" locked="true"/>
    </xf>
    <xf applyAlignment="true" applyBorder="true" applyFill="true" applyNumberFormat="true" applyFont="true" applyProtection="true" borderId="6" fillId="0" fontId="4" numFmtId="0" xfId="0">
      <alignment horizontal="left" vertical="center" textRotation="0" shrinkToFit="false" wrapText="false"/>
      <protection hidden="false" locked="true"/>
    </xf>
    <xf applyAlignment="true" applyBorder="true" applyFill="true" applyNumberFormat="true" applyFont="true" applyProtection="true" borderId="31" fillId="0" fontId="3" numFmtId="0" xfId="0">
      <alignment horizontal="left" vertical="center" textRotation="0" shrinkToFit="false" wrapText="false"/>
      <protection hidden="false" locked="true"/>
    </xf>
    <xf applyAlignment="true" applyBorder="true" applyFill="true" applyNumberFormat="true" applyFont="true" applyProtection="true" borderId="32" fillId="0" fontId="3" numFmtId="0" xfId="0">
      <alignment horizontal="left" vertical="center" textRotation="0" shrinkToFit="false" wrapText="false"/>
      <protection hidden="false" locked="true"/>
    </xf>
    <xf applyAlignment="true" applyBorder="true" applyFill="true" applyNumberFormat="true" applyFont="true" applyProtection="true" borderId="32" fillId="0" fontId="3" numFmtId="0" xfId="0">
      <alignment horizontal="left" vertical="center" textRotation="0" shrinkToFit="false" wrapText="true"/>
      <protection hidden="false" locked="true"/>
    </xf>
    <xf applyAlignment="true" applyBorder="true" applyFill="true" applyNumberFormat="true" applyFont="true" applyProtection="true" borderId="32" fillId="0" fontId="3" numFmtId="4" xfId="0">
      <alignment horizontal="right" vertical="center" textRotation="0" shrinkToFit="false" wrapText="false"/>
      <protection hidden="false" locked="true"/>
    </xf>
    <xf applyAlignment="true" applyBorder="true" applyFill="true" applyNumberFormat="true" applyFont="true" applyProtection="true" borderId="33" fillId="0" fontId="3" numFmtId="0" xfId="0">
      <alignment horizontal="right" vertical="center" textRotation="0" shrinkToFit="false" wrapText="false"/>
      <protection hidden="false" locked="true"/>
    </xf>
    <xf applyAlignment="true" applyBorder="true" applyFill="true" applyNumberFormat="true" applyFont="true" applyProtection="true" borderId="34" fillId="0" fontId="2" numFmtId="0" xfId="0">
      <alignment horizontal="left" vertical="center" textRotation="0" shrinkToFit="false" wrapText="false"/>
      <protection hidden="false" locked="true"/>
    </xf>
    <xf applyAlignment="true" applyBorder="true" applyFill="true" applyNumberFormat="true" applyFont="true" applyProtection="true" borderId="34" fillId="0" fontId="2" numFmtId="4" xfId="0">
      <alignment horizontal="right" vertical="center" textRotation="0" shrinkToFit="false" wrapText="false"/>
      <protection hidden="false" locked="true"/>
    </xf>
    <xf applyAlignment="true" applyBorder="true" applyFill="true" applyNumberFormat="true" applyFont="true" applyProtection="true" borderId="0" fillId="0" fontId="5" numFmtId="0" xfId="0">
      <alignment horizontal="left" vertical="center" textRotation="0" shrinkToFit="false" wrapText="false"/>
      <protection hidden="false" locked="true"/>
    </xf>
    <xf applyAlignment="true" applyBorder="true" applyFill="true" applyNumberFormat="true" applyFont="true" applyProtection="true" borderId="1" fillId="0" fontId="1" numFmtId="0" xfId="0">
      <alignment horizontal="center" vertical="center" textRotation="0" shrinkToFit="false" wrapText="true"/>
      <protection hidden="false" locked="true"/>
    </xf>
    <xf applyAlignment="true" applyBorder="true" applyFill="true" applyNumberFormat="true" applyFont="true" applyProtection="true" borderId="6" fillId="0" fontId="3" numFmtId="1" xfId="0">
      <alignment horizontal="left" vertical="center" textRotation="0" shrinkToFit="false" wrapText="false"/>
      <protection hidden="false" locked="true"/>
    </xf>
    <xf applyAlignment="true" applyBorder="true" applyFill="true" applyNumberFormat="true" applyFont="true" applyProtection="true" borderId="6" fillId="0" fontId="3" numFmtId="0" xfId="0">
      <alignment horizontal="left" vertical="center" textRotation="0" shrinkToFit="false" wrapText="true"/>
      <protection hidden="false" locked="true"/>
    </xf>
    <xf applyAlignment="true" applyBorder="true" applyFill="true" applyNumberFormat="true" applyFont="true" applyProtection="true" borderId="33" fillId="0" fontId="3" numFmtId="0" xfId="0">
      <alignment horizontal="left" vertical="center" textRotation="0" shrinkToFit="false" wrapText="false"/>
      <protection hidden="false" locked="true"/>
    </xf>
    <xf applyAlignment="true" applyBorder="true" applyFill="true" applyNumberFormat="true" applyFont="true" applyProtection="true" borderId="35" fillId="0" fontId="6" numFmtId="0" xfId="0">
      <alignment horizontal="center" vertical="center" textRotation="0" shrinkToFit="false" wrapText="false"/>
      <protection hidden="false" locked="true"/>
    </xf>
    <xf applyAlignment="true" applyBorder="true" applyFill="true" applyNumberFormat="true" applyFont="true" applyProtection="true" borderId="36" fillId="2" fontId="7" numFmtId="0" xfId="0">
      <alignment horizontal="center" vertical="center" textRotation="0" shrinkToFit="false" wrapText="false"/>
      <protection hidden="false" locked="true"/>
    </xf>
    <xf applyAlignment="true" applyBorder="true" applyFill="true" applyNumberFormat="true" applyFont="true" applyProtection="true" borderId="37" fillId="0" fontId="8" numFmtId="0" xfId="0">
      <alignment horizontal="left" vertical="center" textRotation="0" shrinkToFit="false" wrapText="false"/>
      <protection hidden="false" locked="true"/>
    </xf>
    <xf applyAlignment="true" applyBorder="true" applyFill="true" applyNumberFormat="true" applyFont="true" applyProtection="true" borderId="38" fillId="0" fontId="8" numFmtId="0" xfId="0">
      <alignment horizontal="left" vertical="center" textRotation="0" shrinkToFit="false" wrapText="false"/>
      <protection hidden="false" locked="true"/>
    </xf>
    <xf applyAlignment="true" applyBorder="true" applyFill="true" applyNumberFormat="true" applyFont="true" applyProtection="true" borderId="39" fillId="2" fontId="7" numFmtId="0" xfId="0">
      <alignment horizontal="center" vertical="center" textRotation="0" shrinkToFit="false" wrapText="false"/>
      <protection hidden="false" locked="true"/>
    </xf>
    <xf applyAlignment="true" applyBorder="true" applyFill="true" applyNumberFormat="true" applyFont="true" applyProtection="true" borderId="40" fillId="0" fontId="9" numFmtId="0" xfId="0">
      <alignment horizontal="left" vertical="center" textRotation="0" shrinkToFit="false" wrapText="false"/>
      <protection hidden="false" locked="true"/>
    </xf>
    <xf applyAlignment="true" applyBorder="true" applyFill="true" applyNumberFormat="true" applyFont="true" applyProtection="true" borderId="41" fillId="0" fontId="10" numFmtId="0" xfId="0">
      <alignment horizontal="left" vertical="center" textRotation="0" shrinkToFit="false" wrapText="false"/>
      <protection hidden="false" locked="true"/>
    </xf>
    <xf applyAlignment="true" applyBorder="true" applyFill="true" applyNumberFormat="true" applyFont="true" applyProtection="true" borderId="41" fillId="0" fontId="10" numFmtId="4" xfId="0">
      <alignment horizontal="right" vertical="center" textRotation="0" shrinkToFit="false" wrapText="false"/>
      <protection hidden="false" locked="true"/>
    </xf>
    <xf applyAlignment="true" applyBorder="true" applyFill="true" applyNumberFormat="true" applyFont="true" applyProtection="true" borderId="42" fillId="0" fontId="10" numFmtId="0" xfId="0">
      <alignment horizontal="left" vertical="center" textRotation="0" shrinkToFit="false" wrapText="false"/>
      <protection hidden="false" locked="true"/>
    </xf>
    <xf applyAlignment="true" applyBorder="true" applyFill="true" applyNumberFormat="true" applyFont="true" applyProtection="true" borderId="43" fillId="0" fontId="10" numFmtId="0" xfId="0">
      <alignment horizontal="left" vertical="center" textRotation="0" shrinkToFit="false" wrapText="false"/>
      <protection hidden="false" locked="true"/>
    </xf>
    <xf applyAlignment="true" applyBorder="true" applyFill="true" applyNumberFormat="true" applyFont="true" applyProtection="true" borderId="41" fillId="0" fontId="10" numFmtId="0" xfId="0">
      <alignment horizontal="right" vertical="center" textRotation="0" shrinkToFit="false" wrapText="false"/>
      <protection hidden="false" locked="true"/>
    </xf>
    <xf applyAlignment="true" applyBorder="true" applyFill="true" applyNumberFormat="true" applyFont="true" applyProtection="true" borderId="44" fillId="0" fontId="9" numFmtId="0" xfId="0">
      <alignment horizontal="left" vertical="center" textRotation="0" shrinkToFit="false" wrapText="false"/>
      <protection hidden="false" locked="true"/>
    </xf>
    <xf applyAlignment="true" applyBorder="true" applyFill="true" applyNumberFormat="true" applyFont="true" applyProtection="true" borderId="45" fillId="0" fontId="9" numFmtId="0" xfId="0">
      <alignment horizontal="left" vertical="center" textRotation="0" shrinkToFit="false" wrapText="false"/>
      <protection hidden="false" locked="true"/>
    </xf>
    <xf applyAlignment="true" applyBorder="true" applyFill="true" applyNumberFormat="true" applyFont="true" applyProtection="true" borderId="43" fillId="0" fontId="9" numFmtId="0" xfId="0">
      <alignment horizontal="left" vertical="center" textRotation="0" shrinkToFit="false" wrapText="false"/>
      <protection hidden="false" locked="true"/>
    </xf>
    <xf applyAlignment="true" applyBorder="true" applyFill="true" applyNumberFormat="true" applyFont="true" applyProtection="true" borderId="46" fillId="0" fontId="9" numFmtId="0" xfId="0">
      <alignment horizontal="left" vertical="center" textRotation="0" shrinkToFit="false" wrapText="false"/>
      <protection hidden="false" locked="true"/>
    </xf>
    <xf applyAlignment="true" applyBorder="true" applyFill="true" applyNumberFormat="true" applyFont="true" applyProtection="true" borderId="47" fillId="0" fontId="9" numFmtId="0" xfId="0">
      <alignment horizontal="left" vertical="center" textRotation="0" shrinkToFit="false" wrapText="false"/>
      <protection hidden="false" locked="true"/>
    </xf>
    <xf applyAlignment="true" applyBorder="true" applyFill="true" applyNumberFormat="true" applyFont="true" applyProtection="true" borderId="48" fillId="0" fontId="10" numFmtId="4" xfId="0">
      <alignment horizontal="right" vertical="center" textRotation="0" shrinkToFit="false" wrapText="false"/>
      <protection hidden="false" locked="true"/>
    </xf>
    <xf applyAlignment="true" applyBorder="true" applyFill="true" applyNumberFormat="true" applyFont="true" applyProtection="true" borderId="49" fillId="0" fontId="10" numFmtId="0" xfId="0">
      <alignment horizontal="left" vertical="center" textRotation="0" shrinkToFit="false" wrapText="false"/>
      <protection hidden="false" locked="true"/>
    </xf>
    <xf applyAlignment="true" applyBorder="true" applyFill="true" applyNumberFormat="true" applyFont="true" applyProtection="true" borderId="47" fillId="0" fontId="10" numFmtId="0" xfId="0">
      <alignment horizontal="left" vertical="center" textRotation="0" shrinkToFit="false" wrapText="false"/>
      <protection hidden="false" locked="true"/>
    </xf>
    <xf applyAlignment="true" applyBorder="true" applyFill="true" applyNumberFormat="true" applyFont="true" applyProtection="true" borderId="48" fillId="0" fontId="10" numFmtId="0" xfId="0">
      <alignment horizontal="right" vertical="center" textRotation="0" shrinkToFit="false" wrapText="false"/>
      <protection hidden="false" locked="true"/>
    </xf>
    <xf applyAlignment="true" applyBorder="true" applyFill="true" applyNumberFormat="true" applyFont="true" applyProtection="true" borderId="50" fillId="0" fontId="9" numFmtId="0" xfId="0">
      <alignment horizontal="left" vertical="center" textRotation="0" shrinkToFit="false" wrapText="false"/>
      <protection hidden="false" locked="true"/>
    </xf>
    <xf applyAlignment="true" applyBorder="true" applyFill="true" applyNumberFormat="true" applyFont="true" applyProtection="true" borderId="38" fillId="0" fontId="9" numFmtId="0" xfId="0">
      <alignment horizontal="left" vertical="center" textRotation="0" shrinkToFit="false" wrapText="false"/>
      <protection hidden="false" locked="true"/>
    </xf>
    <xf applyAlignment="true" applyBorder="true" applyFill="true" applyNumberFormat="true" applyFont="true" applyProtection="true" borderId="39" fillId="0" fontId="10" numFmtId="4" xfId="0">
      <alignment horizontal="right" vertical="center" textRotation="0" shrinkToFit="false" wrapText="false"/>
      <protection hidden="false" locked="true"/>
    </xf>
    <xf applyAlignment="true" applyBorder="true" applyFill="true" applyNumberFormat="true" applyFont="true" applyProtection="true" borderId="37" fillId="0" fontId="9" numFmtId="0" xfId="0">
      <alignment horizontal="left" vertical="center" textRotation="0" shrinkToFit="false" wrapText="false"/>
      <protection hidden="false" locked="true"/>
    </xf>
    <xf applyAlignment="true" applyBorder="true" applyFill="true" applyNumberFormat="true" applyFont="true" applyProtection="true" borderId="25" fillId="0" fontId="10" numFmtId="4" xfId="0">
      <alignment horizontal="right" vertical="center" textRotation="0" shrinkToFit="false" wrapText="false"/>
      <protection hidden="false" locked="true"/>
    </xf>
    <xf applyAlignment="true" applyBorder="true" applyFill="true" applyNumberFormat="true" applyFont="true" applyProtection="true" borderId="42" fillId="0" fontId="9" numFmtId="0" xfId="0">
      <alignment horizontal="left" vertical="center" textRotation="0" shrinkToFit="false" wrapText="false"/>
      <protection hidden="false" locked="true"/>
    </xf>
    <xf applyAlignment="true" applyBorder="true" applyFill="true" applyNumberFormat="true" applyFont="true" applyProtection="true" borderId="50" fillId="2" fontId="9" numFmtId="0" xfId="0">
      <alignment horizontal="left" vertical="center" textRotation="0" shrinkToFit="false" wrapText="false"/>
      <protection hidden="false" locked="true"/>
    </xf>
    <xf applyAlignment="true" applyBorder="true" applyFill="true" applyNumberFormat="true" applyFont="true" applyProtection="true" borderId="51" fillId="2" fontId="9" numFmtId="0" xfId="0">
      <alignment horizontal="left" vertical="center" textRotation="0" shrinkToFit="false" wrapText="false"/>
      <protection hidden="false" locked="true"/>
    </xf>
    <xf applyAlignment="true" applyBorder="true" applyFill="true" applyNumberFormat="true" applyFont="true" applyProtection="true" borderId="38" fillId="2" fontId="9" numFmtId="4" xfId="0">
      <alignment horizontal="right" vertical="center" textRotation="0" shrinkToFit="false" wrapText="false"/>
      <protection hidden="false" locked="true"/>
    </xf>
    <xf applyAlignment="true" applyBorder="true" applyFill="true" applyNumberFormat="true" applyFont="true" applyProtection="true" borderId="45" fillId="2" fontId="9" numFmtId="0" xfId="0">
      <alignment horizontal="left" vertical="center" textRotation="0" shrinkToFit="false" wrapText="false"/>
      <protection hidden="false" locked="true"/>
    </xf>
    <xf applyAlignment="true" applyBorder="true" applyFill="true" applyNumberFormat="true" applyFont="true" applyProtection="true" borderId="52" fillId="2" fontId="9" numFmtId="0" xfId="0">
      <alignment horizontal="left" vertical="center" textRotation="0" shrinkToFit="false" wrapText="false"/>
      <protection hidden="false" locked="true"/>
    </xf>
    <xf applyAlignment="true" applyBorder="true" applyFill="true" applyNumberFormat="true" applyFont="true" applyProtection="true" borderId="43" fillId="2" fontId="9" numFmtId="4" xfId="0">
      <alignment horizontal="right" vertical="center" textRotation="0" shrinkToFit="false" wrapText="false"/>
      <protection hidden="false" locked="true"/>
    </xf>
    <xf applyAlignment="true" applyBorder="true" applyFill="true" applyNumberFormat="true" applyFont="true" applyProtection="true" borderId="37" fillId="2" fontId="9" numFmtId="0" xfId="0">
      <alignment horizontal="left" vertical="center" textRotation="0" shrinkToFit="false" wrapText="false"/>
      <protection hidden="false" locked="true"/>
    </xf>
    <xf applyAlignment="true" applyBorder="true" applyFill="true" applyNumberFormat="true" applyFont="true" applyProtection="true" borderId="42" fillId="2" fontId="9" numFmtId="0" xfId="0">
      <alignment horizontal="left" vertical="center" textRotation="0" shrinkToFit="false" wrapText="false"/>
      <protection hidden="false" locked="true"/>
    </xf>
    <xf applyAlignment="true" applyBorder="true" applyFill="true" applyNumberFormat="true" applyFont="true" applyProtection="true" borderId="53" fillId="0" fontId="10" numFmtId="0" xfId="0">
      <alignment horizontal="left" vertical="center" textRotation="0" shrinkToFit="false" wrapText="false"/>
      <protection hidden="false" locked="true"/>
    </xf>
    <xf applyAlignment="true" applyBorder="true" applyFill="true" applyNumberFormat="true" applyFont="true" applyProtection="true" borderId="54" fillId="0" fontId="10" numFmtId="0" xfId="0">
      <alignment horizontal="left" vertical="center" textRotation="0" shrinkToFit="false" wrapText="false"/>
      <protection hidden="false" locked="true"/>
    </xf>
    <xf applyAlignment="true" applyBorder="true" applyFill="true" applyNumberFormat="true" applyFont="true" applyProtection="true" borderId="55" fillId="0" fontId="10" numFmtId="0" xfId="0">
      <alignment horizontal="left" vertical="center" textRotation="0" shrinkToFit="false" wrapText="false"/>
      <protection hidden="false" locked="true"/>
    </xf>
    <xf applyAlignment="true" applyBorder="true" applyFill="true" applyNumberFormat="true" applyFont="true" applyProtection="true" borderId="56" fillId="0" fontId="10" numFmtId="0" xfId="0">
      <alignment horizontal="left" vertical="center" textRotation="0" shrinkToFit="false" wrapText="false"/>
      <protection hidden="false" locked="true"/>
    </xf>
    <xf applyAlignment="true" applyBorder="true" applyFill="true" applyNumberFormat="true" applyFont="true" applyProtection="true" borderId="57" fillId="0" fontId="10" numFmtId="0" xfId="0">
      <alignment horizontal="left" vertical="center" textRotation="0" shrinkToFit="false" wrapText="false"/>
      <protection hidden="false" locked="true"/>
    </xf>
    <xf applyAlignment="true" applyBorder="true" applyFill="true" applyNumberFormat="true" applyFont="true" applyProtection="true" borderId="0" fillId="0" fontId="10" numFmtId="0" xfId="0">
      <alignment horizontal="left" vertical="center" textRotation="0" shrinkToFit="false" wrapText="false"/>
      <protection hidden="false" locked="true"/>
    </xf>
    <xf applyAlignment="true" applyBorder="true" applyFill="true" applyNumberFormat="true" applyFont="true" applyProtection="true" borderId="58" fillId="0" fontId="10" numFmtId="0" xfId="0">
      <alignment horizontal="left" vertical="center" textRotation="0" shrinkToFit="false" wrapText="false"/>
      <protection hidden="false" locked="true"/>
    </xf>
    <xf applyAlignment="true" applyBorder="true" applyFill="true" applyNumberFormat="true" applyFont="true" applyProtection="true" borderId="59" fillId="0" fontId="10" numFmtId="0" xfId="0">
      <alignment horizontal="left" vertical="center" textRotation="0" shrinkToFit="false" wrapText="false"/>
      <protection hidden="false" locked="true"/>
    </xf>
    <xf applyAlignment="true" applyBorder="true" applyFill="true" applyNumberFormat="true" applyFont="true" applyProtection="true" borderId="60" fillId="0" fontId="10" numFmtId="0" xfId="0">
      <alignment horizontal="left" vertical="center" textRotation="0" shrinkToFit="false" wrapText="false"/>
      <protection hidden="false" locked="true"/>
    </xf>
    <xf applyAlignment="true" applyBorder="true" applyFill="true" applyNumberFormat="true" applyFont="true" applyProtection="true" borderId="61" fillId="0" fontId="10" numFmtId="0" xfId="0">
      <alignment horizontal="left" vertical="center" textRotation="0" shrinkToFit="false" wrapText="false"/>
      <protection hidden="false" locked="true"/>
    </xf>
    <xf applyAlignment="true" applyBorder="true" applyFill="true" applyNumberFormat="true" applyFont="true" applyProtection="true" borderId="62" fillId="0" fontId="10" numFmtId="0" xfId="0">
      <alignment horizontal="left" vertical="center" textRotation="0" shrinkToFit="false" wrapText="false"/>
      <protection hidden="false" locked="true"/>
    </xf>
    <xf applyAlignment="true" applyBorder="true" applyFill="true" applyNumberFormat="true" applyFont="true" applyProtection="true" borderId="63" fillId="0" fontId="10" numFmtId="0" xfId="0">
      <alignment horizontal="left" vertical="center" textRotation="0" shrinkToFit="false" wrapText="false"/>
      <protection hidden="false" locked="true"/>
    </xf>
    <xf applyAlignment="true" applyBorder="true" applyFill="true" applyNumberFormat="true" applyFont="true" applyProtection="true" borderId="29" fillId="0" fontId="5" numFmtId="0" xfId="0">
      <alignment horizontal="left" vertical="center" textRotation="0" shrinkToFit="false" wrapText="false"/>
      <protection hidden="false" locked="true"/>
    </xf>
    <xf applyAlignment="true" applyBorder="true" applyFill="true" applyNumberFormat="true" applyFont="true" applyProtection="true" borderId="8" fillId="0" fontId="9" numFmtId="0" xfId="0">
      <alignment horizontal="left" vertical="center" textRotation="0" shrinkToFit="false" wrapText="false"/>
      <protection hidden="false" locked="true"/>
    </xf>
    <xf applyAlignment="true" applyBorder="true" applyFill="true" applyNumberFormat="true" applyFont="true" applyProtection="true" borderId="15" fillId="0" fontId="2" numFmtId="0" xfId="0">
      <alignment horizontal="left" vertical="center" textRotation="0" shrinkToFit="false" wrapText="false"/>
      <protection hidden="false" locked="true"/>
    </xf>
    <xf applyAlignment="true" applyBorder="true" applyFill="true" applyNumberFormat="true" applyFont="true" applyProtection="true" borderId="16" fillId="0" fontId="2" numFmtId="0" xfId="0">
      <alignment horizontal="left" vertical="center" textRotation="0" shrinkToFit="false" wrapText="false"/>
      <protection hidden="false" locked="true"/>
    </xf>
    <xf applyAlignment="true" applyBorder="true" applyFill="true" applyNumberFormat="true" applyFont="true" applyProtection="true" borderId="17" fillId="0" fontId="2" numFmtId="0" xfId="0">
      <alignment horizontal="left" vertical="center" textRotation="0" shrinkToFit="false" wrapText="false"/>
      <protection hidden="false" locked="true"/>
    </xf>
    <xf applyAlignment="true" applyBorder="true" applyFill="true" applyNumberFormat="true" applyFont="true" applyProtection="true" borderId="64" fillId="0" fontId="2" numFmtId="0" xfId="0">
      <alignment horizontal="right" vertical="center" textRotation="0" shrinkToFit="false" wrapText="false"/>
      <protection hidden="false" locked="true"/>
    </xf>
    <xf applyAlignment="true" applyBorder="true" applyFill="true" applyNumberFormat="true" applyFont="true" applyProtection="true" borderId="45" fillId="0" fontId="3" numFmtId="0" xfId="0">
      <alignment horizontal="left" vertical="center" textRotation="0" shrinkToFit="false" wrapText="false"/>
      <protection hidden="false" locked="true"/>
    </xf>
    <xf applyAlignment="true" applyBorder="true" applyFill="true" applyNumberFormat="true" applyFont="true" applyProtection="true" borderId="52" fillId="0" fontId="3" numFmtId="0" xfId="0">
      <alignment horizontal="left" vertical="center" textRotation="0" shrinkToFit="false" wrapText="false"/>
      <protection hidden="false" locked="true"/>
    </xf>
    <xf applyAlignment="true" applyBorder="true" applyFill="true" applyNumberFormat="true" applyFont="true" applyProtection="true" borderId="43" fillId="0" fontId="3" numFmtId="0" xfId="0">
      <alignment horizontal="left" vertical="center" textRotation="0" shrinkToFit="false" wrapText="false"/>
      <protection hidden="false" locked="true"/>
    </xf>
    <xf applyAlignment="true" applyBorder="true" applyFill="true" applyNumberFormat="true" applyFont="true" applyProtection="true" borderId="41" fillId="0" fontId="3" numFmtId="4" xfId="0">
      <alignment horizontal="right" vertical="center" textRotation="0" shrinkToFit="false" wrapText="false"/>
      <protection hidden="false" locked="true"/>
    </xf>
    <xf applyAlignment="true" applyBorder="true" applyFill="true" applyNumberFormat="true" applyFont="true" applyProtection="true" borderId="41" fillId="0" fontId="3" numFmtId="0" xfId="0">
      <alignment horizontal="left" vertical="center" textRotation="0" shrinkToFit="false" wrapText="false"/>
      <protection hidden="false" locked="true"/>
    </xf>
    <xf applyAlignment="true" applyBorder="true" applyFill="true" applyNumberFormat="true" applyFont="true" applyProtection="true" borderId="65" fillId="0" fontId="3" numFmtId="0" xfId="0">
      <alignment horizontal="left" vertical="center" textRotation="0" shrinkToFit="false" wrapText="false"/>
      <protection hidden="false" locked="true"/>
    </xf>
    <xf applyAlignment="true" applyBorder="true" applyFill="true" applyNumberFormat="true" applyFont="true" applyProtection="true" borderId="66" fillId="0" fontId="3" numFmtId="0" xfId="0">
      <alignment horizontal="left" vertical="center" textRotation="0" shrinkToFit="false" wrapText="false"/>
      <protection hidden="false" locked="true"/>
    </xf>
    <xf applyAlignment="true" applyBorder="true" applyFill="true" applyNumberFormat="true" applyFont="true" applyProtection="true" borderId="67" fillId="0" fontId="3" numFmtId="0" xfId="0">
      <alignment horizontal="left" vertical="center" textRotation="0" shrinkToFit="false" wrapText="false"/>
      <protection hidden="false" locked="true"/>
    </xf>
    <xf applyAlignment="true" applyBorder="true" applyFill="true" applyNumberFormat="true" applyFont="true" applyProtection="true" borderId="68" fillId="0" fontId="3" numFmtId="4" xfId="0">
      <alignment horizontal="right" vertical="center" textRotation="0" shrinkToFit="false" wrapText="false"/>
      <protection hidden="false" locked="true"/>
    </xf>
    <xf applyAlignment="true" applyBorder="true" applyFill="true" applyNumberFormat="true" applyFont="true" applyProtection="true" borderId="68" fillId="0" fontId="3" numFmtId="0" xfId="0">
      <alignment horizontal="left" vertical="center" textRotation="0" shrinkToFit="false" wrapText="false"/>
      <protection hidden="false" locked="true"/>
    </xf>
    <xf applyAlignment="true" applyBorder="true" applyFill="true" applyNumberFormat="true" applyFont="true" applyProtection="true" borderId="69" fillId="0" fontId="2" numFmtId="0" xfId="0">
      <alignment horizontal="left" vertical="center" textRotation="0" shrinkToFit="false" wrapText="false"/>
      <protection hidden="false" locked="true"/>
    </xf>
    <xf applyAlignment="true" applyBorder="true" applyFill="true" applyNumberFormat="true" applyFont="true" applyProtection="true" borderId="70" fillId="0" fontId="2" numFmtId="0" xfId="0">
      <alignment horizontal="left" vertical="center" textRotation="0" shrinkToFit="false" wrapText="false"/>
      <protection hidden="false" locked="true"/>
    </xf>
    <xf applyAlignment="true" applyBorder="true" applyFill="true" applyNumberFormat="true" applyFont="true" applyProtection="true" borderId="71" fillId="0" fontId="2" numFmtId="0" xfId="0">
      <alignment horizontal="left" vertical="center" textRotation="0" shrinkToFit="false" wrapText="false"/>
      <protection hidden="false" locked="true"/>
    </xf>
    <xf applyAlignment="true" applyBorder="true" applyFill="true" applyNumberFormat="true" applyFont="true" applyProtection="true" borderId="72" fillId="0" fontId="2" numFmtId="0" xfId="0">
      <alignment horizontal="left" vertical="center" textRotation="0" shrinkToFit="false" wrapText="false"/>
      <protection hidden="false" locked="true"/>
    </xf>
    <xf applyAlignment="true" applyBorder="true" applyFill="true" applyNumberFormat="true" applyFont="true" applyProtection="true" borderId="72" fillId="0" fontId="2" numFmtId="0" xfId="0">
      <alignment horizontal="right" vertical="center" textRotation="0" shrinkToFit="false" wrapText="false"/>
      <protection hidden="false" locked="true"/>
    </xf>
    <xf applyAlignment="true" applyBorder="true" applyFill="true" applyNumberFormat="true" applyFont="true" applyProtection="true" borderId="72" fillId="0" fontId="2" numFmtId="4" xfId="0">
      <alignment horizontal="right" vertical="center" textRotation="0" shrinkToFit="false" wrapText="false"/>
      <protection hidden="false" locked="true"/>
    </xf>
    <xf applyAlignment="true" applyBorder="true" applyFill="true" applyNumberFormat="true" applyFont="true" applyProtection="true" borderId="69" fillId="0" fontId="9" numFmtId="0" xfId="0">
      <alignment horizontal="left" vertical="center" textRotation="0" shrinkToFit="false" wrapText="false"/>
      <protection hidden="false" locked="true"/>
    </xf>
    <xf applyAlignment="true" applyBorder="true" applyFill="true" applyNumberFormat="true" applyFont="true" applyProtection="true" borderId="70" fillId="0" fontId="9" numFmtId="0" xfId="0">
      <alignment horizontal="left" vertical="center" textRotation="0" shrinkToFit="false" wrapText="false"/>
      <protection hidden="false" locked="true"/>
    </xf>
    <xf applyAlignment="true" applyBorder="true" applyFill="true" applyNumberFormat="true" applyFont="true" applyProtection="true" borderId="71" fillId="0" fontId="9" numFmtId="0" xfId="0">
      <alignment horizontal="left" vertical="center" textRotation="0" shrinkToFit="false" wrapText="false"/>
      <protection hidden="false" locked="true"/>
    </xf>
    <xf applyAlignment="true" applyBorder="true" applyFill="true" applyNumberFormat="true" applyFont="true" applyProtection="true" borderId="73" fillId="0" fontId="9" numFmtId="4" xfId="0">
      <alignment horizontal="right" vertical="center" textRotation="0" shrinkToFit="false" wrapText="false"/>
      <protection hidden="false" locked="true"/>
    </xf>
    <xf applyAlignment="true" applyBorder="true" applyFill="true" applyNumberFormat="true" applyFont="true" applyProtection="true" borderId="70" fillId="0" fontId="9" numFmtId="0" xfId="0">
      <alignment horizontal="right" vertical="center" textRotation="0" shrinkToFit="false" wrapText="false"/>
      <protection hidden="false" locked="true"/>
    </xf>
    <xf applyAlignment="true" applyBorder="true" applyFill="true" applyNumberFormat="true" applyFont="true" applyProtection="true" borderId="71" fillId="0" fontId="9" numFmtId="0" xfId="0">
      <alignment horizontal="right" vertical="center" textRotation="0" shrinkToFit="false" wrapText="false"/>
      <protection hidden="false" locked="true"/>
    </xf>
  </cellXfs>
  <dxfs count="0"/>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xl/media/image1.jpeg" /></Relationships>
</file>

<file path=xl/drawings/_rels/drawing2.xml.rels><?xml version="1.0" encoding="utf-8"?><Relationships xmlns="http://schemas.openxmlformats.org/package/2006/relationships"><Relationship Id="rId1" Type="http://schemas.openxmlformats.org/officeDocument/2006/relationships/image" Target="/xl/media/image1.jpeg" /></Relationships>
</file>

<file path=xl/drawings/_rels/drawing3.xml.rels><?xml version="1.0" encoding="utf-8"?><Relationships xmlns="http://schemas.openxmlformats.org/package/2006/relationships"><Relationship Id="rId1" Type="http://schemas.openxmlformats.org/officeDocument/2006/relationships/image" Target="/xl/media/image1.jpeg" /></Relationships>
</file>

<file path=xl/drawings/drawing1.xml><?xml version="1.0" encoding="utf-8"?>
<xdr:wsDr xmlns:a="http://schemas.openxmlformats.org/drawingml/2006/main" xmlns:xdr="http://schemas.openxmlformats.org/drawingml/2006/spreadsheetDrawing">
  <xdr:absoluteAnchor>
    <xdr:pos x="0" y="0"/>
    <xdr:ext cx="666750" cy="666750"/>
    <xdr:pic>
      <xdr:nvPicPr>
        <xdr:cNvPr id="1" name=""/>
        <xdr:cNvPicPr>
          <a:picLocks noChangeAspect="true"/>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2.xml><?xml version="1.0" encoding="utf-8"?>
<xdr:wsDr xmlns:a="http://schemas.openxmlformats.org/drawingml/2006/main" xmlns:xdr="http://schemas.openxmlformats.org/drawingml/2006/spreadsheetDrawing">
  <xdr:absoluteAnchor>
    <xdr:pos x="0" y="0"/>
    <xdr:ext cx="666750" cy="666750"/>
    <xdr:pic>
      <xdr:nvPicPr>
        <xdr:cNvPr id="1" name=""/>
        <xdr:cNvPicPr>
          <a:picLocks noChangeAspect="true"/>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3.xml><?xml version="1.0" encoding="utf-8"?>
<xdr:wsDr xmlns:a="http://schemas.openxmlformats.org/drawingml/2006/main" xmlns:xdr="http://schemas.openxmlformats.org/drawingml/2006/spreadsheetDrawing">
  <xdr:absoluteAnchor>
    <xdr:pos x="0" y="0"/>
    <xdr:ext cx="666750" cy="666750"/>
    <xdr:pic>
      <xdr:nvPicPr>
        <xdr:cNvPr id="1" name=""/>
        <xdr:cNvPicPr>
          <a:picLocks noChangeAspect="true"/>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r="http://schemas.openxmlformats.org/officeDocument/2006/relationships" xmlns="http://schemas.openxmlformats.org/spreadsheetml/2006/main">
  <sheetPr>
    <outlinePr summaryBelow="true" summaryRight="true"/>
    <pageSetUpPr fitToPage="true"/>
  </sheetPr>
  <dimension ref="A1:BX240"/>
  <sheetViews>
    <sheetView workbookViewId="0" tabSelected="true" showZeros="true" showFormulas="false" showGridLines="true" showRowColHeaders="true">
      <pane topLeftCell="A12" state="frozen" activePane="bottomLeft" ySplit="11"/>
      <selection pane="bottomLeft" sqref="A240:L240" activeCell="A240"/>
    </sheetView>
  </sheetViews>
  <sheetFormatPr defaultColWidth="12.140625" customHeight="true" defaultRowHeight="15"/>
  <cols>
    <col max="1" min="1" style="0" width="3.99609375" customWidth="true"/>
    <col max="2" min="2" style="0" width="7.5703125" customWidth="true"/>
    <col max="3" min="3" style="0" width="17.85546875" customWidth="true"/>
    <col max="4" min="4" style="0" width="28.5703125" customWidth="true"/>
    <col max="5" min="5" style="0" width="35.7109375" customWidth="true"/>
    <col max="6" min="6" style="0" width="6.7109375" customWidth="true"/>
    <col max="7" min="7" style="0" width="12.85546875" customWidth="true"/>
    <col max="8" min="8" style="0" width="12" customWidth="true"/>
    <col max="11" min="9" style="0" width="15.7109375" customWidth="true"/>
    <col max="12" min="12" style="0" width="13.42578125" customWidth="true"/>
    <col max="75" min="25" style="0" width="12.140625" hidden="true"/>
    <col max="76" min="76" style="0" width="64.28515625" customWidth="true" hidden="true"/>
    <col max="78" min="77" style="0" width="12.140625" hidden="true"/>
  </cols>
  <sheetData>
    <row r="1" customHeight="true" ht="54.75">
      <c r="A1" s="1" t="s">
        <v>0</v>
      </c>
      <c r="B1" s="1"/>
      <c r="C1" s="1"/>
      <c r="D1" s="1"/>
      <c r="E1" s="1"/>
      <c r="F1" s="1"/>
      <c r="G1" s="1"/>
      <c r="H1" s="1"/>
      <c r="I1" s="1"/>
      <c r="J1" s="1"/>
      <c r="K1" s="1"/>
      <c r="L1" s="1"/>
      <c r="AS1" s="2">
        <f>SUM(AJ1:AJ2)</f>
      </c>
      <c r="AT1" s="2">
        <f>SUM(AK1:AK2)</f>
      </c>
      <c r="AU1" s="2">
        <f>SUM(AL1:AL2)</f>
      </c>
    </row>
    <row r="2">
      <c r="A2" s="3" t="s">
        <v>1</v>
      </c>
      <c r="B2" s="4"/>
      <c r="C2" s="4"/>
      <c r="D2" s="5" t="s">
        <v>2</v>
      </c>
      <c r="E2" s="6"/>
      <c r="F2" s="4" t="s">
        <v>3</v>
      </c>
      <c r="G2" s="4"/>
      <c r="H2" s="4" t="s">
        <v>4</v>
      </c>
      <c r="I2" s="7" t="s">
        <v>5</v>
      </c>
      <c r="J2" s="4" t="s">
        <v>6</v>
      </c>
      <c r="K2" s="4"/>
      <c r="L2" s="8"/>
    </row>
    <row r="3">
      <c r="A3" s="9"/>
      <c r="B3" s="10"/>
      <c r="C3" s="10"/>
      <c r="D3" s="11"/>
      <c r="E3" s="11"/>
      <c r="F3" s="10"/>
      <c r="G3" s="10"/>
      <c r="H3" s="10"/>
      <c r="I3" s="10"/>
      <c r="J3" s="10"/>
      <c r="K3" s="10"/>
      <c r="L3" s="12"/>
    </row>
    <row r="4">
      <c r="A4" s="13" t="s">
        <v>7</v>
      </c>
      <c r="B4" s="10"/>
      <c r="C4" s="10"/>
      <c r="D4" s="14" t="s">
        <v>8</v>
      </c>
      <c r="E4" s="10"/>
      <c r="F4" s="10" t="s">
        <v>9</v>
      </c>
      <c r="G4" s="10"/>
      <c r="H4" s="10" t="s">
        <v>10</v>
      </c>
      <c r="I4" s="14" t="s">
        <v>11</v>
      </c>
      <c r="J4" s="10" t="s">
        <v>6</v>
      </c>
      <c r="K4" s="10"/>
      <c r="L4" s="12"/>
    </row>
    <row r="5">
      <c r="A5" s="9"/>
      <c r="B5" s="10"/>
      <c r="C5" s="10"/>
      <c r="D5" s="10"/>
      <c r="E5" s="10"/>
      <c r="F5" s="10"/>
      <c r="G5" s="10"/>
      <c r="H5" s="10"/>
      <c r="I5" s="10"/>
      <c r="J5" s="10"/>
      <c r="K5" s="10"/>
      <c r="L5" s="12"/>
    </row>
    <row r="6">
      <c r="A6" s="13" t="s">
        <v>12</v>
      </c>
      <c r="B6" s="10"/>
      <c r="C6" s="10"/>
      <c r="D6" s="14" t="s">
        <v>13</v>
      </c>
      <c r="E6" s="10"/>
      <c r="F6" s="10" t="s">
        <v>14</v>
      </c>
      <c r="G6" s="10"/>
      <c r="H6" s="10" t="s">
        <v>15</v>
      </c>
      <c r="I6" s="14" t="s">
        <v>16</v>
      </c>
      <c r="J6" s="10" t="s">
        <v>6</v>
      </c>
      <c r="K6" s="10"/>
      <c r="L6" s="12"/>
    </row>
    <row r="7">
      <c r="A7" s="9"/>
      <c r="B7" s="10"/>
      <c r="C7" s="10"/>
      <c r="D7" s="10"/>
      <c r="E7" s="10"/>
      <c r="F7" s="10"/>
      <c r="G7" s="10"/>
      <c r="H7" s="10"/>
      <c r="I7" s="10"/>
      <c r="J7" s="10"/>
      <c r="K7" s="10"/>
      <c r="L7" s="12"/>
    </row>
    <row r="8">
      <c r="A8" s="13" t="s">
        <v>17</v>
      </c>
      <c r="B8" s="10"/>
      <c r="C8" s="10"/>
      <c r="D8" s="14" t="s">
        <v>8</v>
      </c>
      <c r="E8" s="10"/>
      <c r="F8" s="10" t="s">
        <v>18</v>
      </c>
      <c r="G8" s="10"/>
      <c r="H8" s="10" t="s">
        <v>19</v>
      </c>
      <c r="I8" s="14" t="s">
        <v>20</v>
      </c>
      <c r="J8" s="14" t="s">
        <v>21</v>
      </c>
      <c r="K8" s="10"/>
      <c r="L8" s="12"/>
    </row>
    <row r="9">
      <c r="A9" s="15"/>
      <c r="B9" s="16"/>
      <c r="C9" s="16"/>
      <c r="D9" s="16"/>
      <c r="E9" s="16"/>
      <c r="F9" s="16"/>
      <c r="G9" s="16"/>
      <c r="H9" s="16"/>
      <c r="I9" s="16"/>
      <c r="J9" s="16"/>
      <c r="K9" s="16"/>
      <c r="L9" s="17"/>
    </row>
    <row r="10">
      <c r="A10" s="18" t="s">
        <v>22</v>
      </c>
      <c r="B10" s="19" t="s">
        <v>23</v>
      </c>
      <c r="C10" s="19" t="s">
        <v>24</v>
      </c>
      <c r="D10" s="20" t="s">
        <v>25</v>
      </c>
      <c r="E10" s="21"/>
      <c r="F10" s="19" t="s">
        <v>26</v>
      </c>
      <c r="G10" s="22" t="s">
        <v>27</v>
      </c>
      <c r="H10" s="23" t="s">
        <v>28</v>
      </c>
      <c r="I10" s="24" t="s">
        <v>29</v>
      </c>
      <c r="J10" s="25"/>
      <c r="K10" s="26"/>
      <c r="L10" s="27" t="s">
        <v>30</v>
      </c>
      <c r="BK10" s="28" t="s">
        <v>31</v>
      </c>
      <c r="BL10" s="29" t="s">
        <v>32</v>
      </c>
      <c r="BW10" s="29" t="s">
        <v>33</v>
      </c>
    </row>
    <row r="11">
      <c r="A11" s="30" t="s">
        <v>8</v>
      </c>
      <c r="B11" s="31" t="s">
        <v>8</v>
      </c>
      <c r="C11" s="31" t="s">
        <v>8</v>
      </c>
      <c r="D11" s="32" t="s">
        <v>34</v>
      </c>
      <c r="E11" s="33"/>
      <c r="F11" s="31" t="s">
        <v>8</v>
      </c>
      <c r="G11" s="31" t="s">
        <v>8</v>
      </c>
      <c r="H11" s="34" t="s">
        <v>35</v>
      </c>
      <c r="I11" s="35" t="s">
        <v>36</v>
      </c>
      <c r="J11" s="36" t="s">
        <v>37</v>
      </c>
      <c r="K11" s="37" t="s">
        <v>38</v>
      </c>
      <c r="L11" s="38" t="s">
        <v>39</v>
      </c>
      <c r="Z11" s="28" t="s">
        <v>40</v>
      </c>
      <c r="AA11" s="28" t="s">
        <v>41</v>
      </c>
      <c r="AB11" s="28" t="s">
        <v>42</v>
      </c>
      <c r="AC11" s="28" t="s">
        <v>43</v>
      </c>
      <c r="AD11" s="28" t="s">
        <v>44</v>
      </c>
      <c r="AE11" s="28" t="s">
        <v>45</v>
      </c>
      <c r="AF11" s="28" t="s">
        <v>46</v>
      </c>
      <c r="AG11" s="28" t="s">
        <v>47</v>
      </c>
      <c r="AH11" s="28" t="s">
        <v>48</v>
      </c>
      <c r="BH11" s="28" t="s">
        <v>49</v>
      </c>
      <c r="BI11" s="28" t="s">
        <v>50</v>
      </c>
      <c r="BJ11" s="28" t="s">
        <v>51</v>
      </c>
    </row>
    <row r="12">
      <c r="A12" s="39" t="s">
        <v>52</v>
      </c>
      <c r="B12" s="40" t="s">
        <v>53</v>
      </c>
      <c r="C12" s="40" t="s">
        <v>52</v>
      </c>
      <c r="D12" s="41" t="s">
        <v>54</v>
      </c>
      <c r="E12" s="40"/>
      <c r="F12" s="42" t="s">
        <v>8</v>
      </c>
      <c r="G12" s="42" t="s">
        <v>8</v>
      </c>
      <c r="H12" s="42" t="s">
        <v>8</v>
      </c>
      <c r="I12" s="43">
        <f>I13+I15+I17+I19+I22+I27+I31+I49+I51+I53</f>
      </c>
      <c r="J12" s="43">
        <f>J13+J15+J17+J19+J22+J27+J31+J49+J51+J53</f>
      </c>
      <c r="K12" s="43">
        <f>K13+K15+K17+K19+K22+K27+K31+K49+K51+K53</f>
      </c>
      <c r="L12" s="44" t="s">
        <v>52</v>
      </c>
    </row>
    <row r="13">
      <c r="A13" s="45" t="s">
        <v>52</v>
      </c>
      <c r="B13" s="46" t="s">
        <v>53</v>
      </c>
      <c r="C13" s="46" t="s">
        <v>55</v>
      </c>
      <c r="D13" s="47" t="s">
        <v>56</v>
      </c>
      <c r="E13" s="46"/>
      <c r="F13" s="48" t="s">
        <v>8</v>
      </c>
      <c r="G13" s="48" t="s">
        <v>8</v>
      </c>
      <c r="H13" s="48" t="s">
        <v>8</v>
      </c>
      <c r="I13" s="2">
        <f>SUM(I14:I14)</f>
      </c>
      <c r="J13" s="2">
        <f>SUM(J14:J14)</f>
      </c>
      <c r="K13" s="2">
        <f>SUM(K14:K14)</f>
      </c>
      <c r="L13" s="49" t="s">
        <v>52</v>
      </c>
      <c r="AI13" s="28" t="s">
        <v>53</v>
      </c>
      <c r="AS13" s="2">
        <f>SUM(AJ14:AJ14)</f>
      </c>
      <c r="AT13" s="2">
        <f>SUM(AK14:AK14)</f>
      </c>
      <c r="AU13" s="2">
        <f>SUM(AL14:AL14)</f>
      </c>
    </row>
    <row r="14">
      <c r="A14" s="9" t="s">
        <v>57</v>
      </c>
      <c r="B14" s="10" t="s">
        <v>53</v>
      </c>
      <c r="C14" s="10" t="s">
        <v>58</v>
      </c>
      <c r="D14" s="14" t="s">
        <v>59</v>
      </c>
      <c r="E14" s="10"/>
      <c r="F14" s="10" t="s">
        <v>60</v>
      </c>
      <c r="G14" s="50" t="n">
        <v>93</v>
      </c>
      <c r="H14" s="50" t="n">
        <v>0</v>
      </c>
      <c r="I14" s="50">
        <f>ROUND(G14*AO14,2)</f>
      </c>
      <c r="J14" s="50">
        <f>ROUND(G14*AP14,2)</f>
      </c>
      <c r="K14" s="50">
        <f>ROUND(G14*H14,2)</f>
      </c>
      <c r="L14" s="51" t="s">
        <v>61</v>
      </c>
      <c r="Z14" s="50">
        <f>ROUND(IF(AQ14="5",BJ14,0),2)</f>
      </c>
      <c r="AB14" s="50">
        <f>ROUND(IF(AQ14="1",BH14,0),2)</f>
      </c>
      <c r="AC14" s="50">
        <f>ROUND(IF(AQ14="1",BI14,0),2)</f>
      </c>
      <c r="AD14" s="50">
        <f>ROUND(IF(AQ14="7",BH14,0),2)</f>
      </c>
      <c r="AE14" s="50">
        <f>ROUND(IF(AQ14="7",BI14,0),2)</f>
      </c>
      <c r="AF14" s="50">
        <f>ROUND(IF(AQ14="2",BH14,0),2)</f>
      </c>
      <c r="AG14" s="50">
        <f>ROUND(IF(AQ14="2",BI14,0),2)</f>
      </c>
      <c r="AH14" s="50">
        <f>ROUND(IF(AQ14="0",BJ14,0),2)</f>
      </c>
      <c r="AI14" s="28" t="s">
        <v>53</v>
      </c>
      <c r="AJ14" s="50">
        <f>IF(AN14=0,K14,0)</f>
      </c>
      <c r="AK14" s="50">
        <f>IF(AN14=12,K14,0)</f>
      </c>
      <c r="AL14" s="50">
        <f>IF(AN14=21,K14,0)</f>
      </c>
      <c r="AN14" s="50" t="n">
        <v>21</v>
      </c>
      <c r="AO14" s="50">
        <f>H14*0.672097235</f>
      </c>
      <c r="AP14" s="50">
        <f>H14*(1-0.672097235)</f>
      </c>
      <c r="AQ14" s="52" t="s">
        <v>57</v>
      </c>
      <c r="AV14" s="50">
        <f>ROUND(AW14+AX14,2)</f>
      </c>
      <c r="AW14" s="50">
        <f>ROUND(G14*AO14,2)</f>
      </c>
      <c r="AX14" s="50">
        <f>ROUND(G14*AP14,2)</f>
      </c>
      <c r="AY14" s="52" t="s">
        <v>62</v>
      </c>
      <c r="AZ14" s="52" t="s">
        <v>63</v>
      </c>
      <c r="BA14" s="28" t="s">
        <v>64</v>
      </c>
      <c r="BC14" s="50">
        <f>AW14+AX14</f>
      </c>
      <c r="BD14" s="50">
        <f>H14/(100-BE14)*100</f>
      </c>
      <c r="BE14" s="50" t="n">
        <v>0</v>
      </c>
      <c r="BF14" s="50">
        <f>14</f>
      </c>
      <c r="BH14" s="50">
        <f>G14*AO14</f>
      </c>
      <c r="BI14" s="50">
        <f>G14*AP14</f>
      </c>
      <c r="BJ14" s="50">
        <f>G14*H14</f>
      </c>
      <c r="BK14" s="52" t="s">
        <v>65</v>
      </c>
      <c r="BL14" s="50" t="n">
        <v>17</v>
      </c>
      <c r="BW14" s="50" t="n">
        <v>21</v>
      </c>
      <c r="BX14" s="14" t="s">
        <v>59</v>
      </c>
    </row>
    <row r="15">
      <c r="A15" s="45" t="s">
        <v>52</v>
      </c>
      <c r="B15" s="46" t="s">
        <v>53</v>
      </c>
      <c r="C15" s="46" t="s">
        <v>66</v>
      </c>
      <c r="D15" s="47" t="s">
        <v>67</v>
      </c>
      <c r="E15" s="46"/>
      <c r="F15" s="48" t="s">
        <v>8</v>
      </c>
      <c r="G15" s="48" t="s">
        <v>8</v>
      </c>
      <c r="H15" s="48" t="s">
        <v>8</v>
      </c>
      <c r="I15" s="2">
        <f>SUM(I16:I16)</f>
      </c>
      <c r="J15" s="2">
        <f>SUM(J16:J16)</f>
      </c>
      <c r="K15" s="2">
        <f>SUM(K16:K16)</f>
      </c>
      <c r="L15" s="49" t="s">
        <v>52</v>
      </c>
      <c r="AI15" s="28" t="s">
        <v>53</v>
      </c>
      <c r="AS15" s="2">
        <f>SUM(AJ16:AJ16)</f>
      </c>
      <c r="AT15" s="2">
        <f>SUM(AK16:AK16)</f>
      </c>
      <c r="AU15" s="2">
        <f>SUM(AL16:AL16)</f>
      </c>
    </row>
    <row r="16">
      <c r="A16" s="9" t="s">
        <v>68</v>
      </c>
      <c r="B16" s="10" t="s">
        <v>53</v>
      </c>
      <c r="C16" s="10" t="s">
        <v>69</v>
      </c>
      <c r="D16" s="14" t="s">
        <v>70</v>
      </c>
      <c r="E16" s="10"/>
      <c r="F16" s="10" t="s">
        <v>71</v>
      </c>
      <c r="G16" s="50" t="n">
        <v>258.7123</v>
      </c>
      <c r="H16" s="50" t="n">
        <v>0</v>
      </c>
      <c r="I16" s="50">
        <f>ROUND(G16*AO16,2)</f>
      </c>
      <c r="J16" s="50">
        <f>ROUND(G16*AP16,2)</f>
      </c>
      <c r="K16" s="50">
        <f>ROUND(G16*H16,2)</f>
      </c>
      <c r="L16" s="51" t="s">
        <v>61</v>
      </c>
      <c r="Z16" s="50">
        <f>ROUND(IF(AQ16="5",BJ16,0),2)</f>
      </c>
      <c r="AB16" s="50">
        <f>ROUND(IF(AQ16="1",BH16,0),2)</f>
      </c>
      <c r="AC16" s="50">
        <f>ROUND(IF(AQ16="1",BI16,0),2)</f>
      </c>
      <c r="AD16" s="50">
        <f>ROUND(IF(AQ16="7",BH16,0),2)</f>
      </c>
      <c r="AE16" s="50">
        <f>ROUND(IF(AQ16="7",BI16,0),2)</f>
      </c>
      <c r="AF16" s="50">
        <f>ROUND(IF(AQ16="2",BH16,0),2)</f>
      </c>
      <c r="AG16" s="50">
        <f>ROUND(IF(AQ16="2",BI16,0),2)</f>
      </c>
      <c r="AH16" s="50">
        <f>ROUND(IF(AQ16="0",BJ16,0),2)</f>
      </c>
      <c r="AI16" s="28" t="s">
        <v>53</v>
      </c>
      <c r="AJ16" s="50">
        <f>IF(AN16=0,K16,0)</f>
      </c>
      <c r="AK16" s="50">
        <f>IF(AN16=12,K16,0)</f>
      </c>
      <c r="AL16" s="50">
        <f>IF(AN16=21,K16,0)</f>
      </c>
      <c r="AN16" s="50" t="n">
        <v>21</v>
      </c>
      <c r="AO16" s="50">
        <f>H16*0</f>
      </c>
      <c r="AP16" s="50">
        <f>H16*(1-0)</f>
      </c>
      <c r="AQ16" s="52" t="s">
        <v>72</v>
      </c>
      <c r="AV16" s="50">
        <f>ROUND(AW16+AX16,2)</f>
      </c>
      <c r="AW16" s="50">
        <f>ROUND(G16*AO16,2)</f>
      </c>
      <c r="AX16" s="50">
        <f>ROUND(G16*AP16,2)</f>
      </c>
      <c r="AY16" s="52" t="s">
        <v>73</v>
      </c>
      <c r="AZ16" s="52" t="s">
        <v>74</v>
      </c>
      <c r="BA16" s="28" t="s">
        <v>64</v>
      </c>
      <c r="BC16" s="50">
        <f>AW16+AX16</f>
      </c>
      <c r="BD16" s="50">
        <f>H16/(100-BE16)*100</f>
      </c>
      <c r="BE16" s="50" t="n">
        <v>0</v>
      </c>
      <c r="BF16" s="50">
        <f>16</f>
      </c>
      <c r="BH16" s="50">
        <f>G16*AO16</f>
      </c>
      <c r="BI16" s="50">
        <f>G16*AP16</f>
      </c>
      <c r="BJ16" s="50">
        <f>G16*H16</f>
      </c>
      <c r="BK16" s="52" t="s">
        <v>65</v>
      </c>
      <c r="BL16" s="50"/>
      <c r="BW16" s="50" t="n">
        <v>21</v>
      </c>
      <c r="BX16" s="14" t="s">
        <v>70</v>
      </c>
    </row>
    <row r="17">
      <c r="A17" s="45" t="s">
        <v>52</v>
      </c>
      <c r="B17" s="46" t="s">
        <v>53</v>
      </c>
      <c r="C17" s="46" t="s">
        <v>75</v>
      </c>
      <c r="D17" s="47" t="s">
        <v>76</v>
      </c>
      <c r="E17" s="46"/>
      <c r="F17" s="48" t="s">
        <v>8</v>
      </c>
      <c r="G17" s="48" t="s">
        <v>8</v>
      </c>
      <c r="H17" s="48" t="s">
        <v>8</v>
      </c>
      <c r="I17" s="2">
        <f>SUM(I18:I18)</f>
      </c>
      <c r="J17" s="2">
        <f>SUM(J18:J18)</f>
      </c>
      <c r="K17" s="2">
        <f>SUM(K18:K18)</f>
      </c>
      <c r="L17" s="49" t="s">
        <v>52</v>
      </c>
      <c r="AI17" s="28" t="s">
        <v>53</v>
      </c>
      <c r="AS17" s="2">
        <f>SUM(AJ18:AJ18)</f>
      </c>
      <c r="AT17" s="2">
        <f>SUM(AK18:AK18)</f>
      </c>
      <c r="AU17" s="2">
        <f>SUM(AL18:AL18)</f>
      </c>
    </row>
    <row r="18">
      <c r="A18" s="9" t="s">
        <v>77</v>
      </c>
      <c r="B18" s="10" t="s">
        <v>53</v>
      </c>
      <c r="C18" s="10" t="s">
        <v>78</v>
      </c>
      <c r="D18" s="14" t="s">
        <v>79</v>
      </c>
      <c r="E18" s="10"/>
      <c r="F18" s="10" t="s">
        <v>80</v>
      </c>
      <c r="G18" s="50" t="n">
        <v>12</v>
      </c>
      <c r="H18" s="50" t="n">
        <v>0</v>
      </c>
      <c r="I18" s="50">
        <f>ROUND(G18*AO18,2)</f>
      </c>
      <c r="J18" s="50">
        <f>ROUND(G18*AP18,2)</f>
      </c>
      <c r="K18" s="50">
        <f>ROUND(G18*H18,2)</f>
      </c>
      <c r="L18" s="51" t="s">
        <v>61</v>
      </c>
      <c r="Z18" s="50">
        <f>ROUND(IF(AQ18="5",BJ18,0),2)</f>
      </c>
      <c r="AB18" s="50">
        <f>ROUND(IF(AQ18="1",BH18,0),2)</f>
      </c>
      <c r="AC18" s="50">
        <f>ROUND(IF(AQ18="1",BI18,0),2)</f>
      </c>
      <c r="AD18" s="50">
        <f>ROUND(IF(AQ18="7",BH18,0),2)</f>
      </c>
      <c r="AE18" s="50">
        <f>ROUND(IF(AQ18="7",BI18,0),2)</f>
      </c>
      <c r="AF18" s="50">
        <f>ROUND(IF(AQ18="2",BH18,0),2)</f>
      </c>
      <c r="AG18" s="50">
        <f>ROUND(IF(AQ18="2",BI18,0),2)</f>
      </c>
      <c r="AH18" s="50">
        <f>ROUND(IF(AQ18="0",BJ18,0),2)</f>
      </c>
      <c r="AI18" s="28" t="s">
        <v>53</v>
      </c>
      <c r="AJ18" s="50">
        <f>IF(AN18=0,K18,0)</f>
      </c>
      <c r="AK18" s="50">
        <f>IF(AN18=12,K18,0)</f>
      </c>
      <c r="AL18" s="50">
        <f>IF(AN18=21,K18,0)</f>
      </c>
      <c r="AN18" s="50" t="n">
        <v>21</v>
      </c>
      <c r="AO18" s="50">
        <f>H18*0.511267193</f>
      </c>
      <c r="AP18" s="50">
        <f>H18*(1-0.511267193)</f>
      </c>
      <c r="AQ18" s="52" t="s">
        <v>68</v>
      </c>
      <c r="AV18" s="50">
        <f>ROUND(AW18+AX18,2)</f>
      </c>
      <c r="AW18" s="50">
        <f>ROUND(G18*AO18,2)</f>
      </c>
      <c r="AX18" s="50">
        <f>ROUND(G18*AP18,2)</f>
      </c>
      <c r="AY18" s="52" t="s">
        <v>81</v>
      </c>
      <c r="AZ18" s="52" t="s">
        <v>74</v>
      </c>
      <c r="BA18" s="28" t="s">
        <v>64</v>
      </c>
      <c r="BC18" s="50">
        <f>AW18+AX18</f>
      </c>
      <c r="BD18" s="50">
        <f>H18/(100-BE18)*100</f>
      </c>
      <c r="BE18" s="50" t="n">
        <v>0</v>
      </c>
      <c r="BF18" s="50">
        <f>18</f>
      </c>
      <c r="BH18" s="50">
        <f>G18*AO18</f>
      </c>
      <c r="BI18" s="50">
        <f>G18*AP18</f>
      </c>
      <c r="BJ18" s="50">
        <f>G18*H18</f>
      </c>
      <c r="BK18" s="52" t="s">
        <v>65</v>
      </c>
      <c r="BL18" s="50"/>
      <c r="BW18" s="50" t="n">
        <v>21</v>
      </c>
      <c r="BX18" s="14" t="s">
        <v>79</v>
      </c>
    </row>
    <row r="19">
      <c r="A19" s="45" t="s">
        <v>52</v>
      </c>
      <c r="B19" s="46" t="s">
        <v>53</v>
      </c>
      <c r="C19" s="46" t="s">
        <v>82</v>
      </c>
      <c r="D19" s="47" t="s">
        <v>83</v>
      </c>
      <c r="E19" s="46"/>
      <c r="F19" s="48" t="s">
        <v>8</v>
      </c>
      <c r="G19" s="48" t="s">
        <v>8</v>
      </c>
      <c r="H19" s="48" t="s">
        <v>8</v>
      </c>
      <c r="I19" s="2">
        <f>SUM(I20:I21)</f>
      </c>
      <c r="J19" s="2">
        <f>SUM(J20:J21)</f>
      </c>
      <c r="K19" s="2">
        <f>SUM(K20:K21)</f>
      </c>
      <c r="L19" s="49" t="s">
        <v>52</v>
      </c>
      <c r="AI19" s="28" t="s">
        <v>53</v>
      </c>
      <c r="AS19" s="2">
        <f>SUM(AJ20:AJ21)</f>
      </c>
      <c r="AT19" s="2">
        <f>SUM(AK20:AK21)</f>
      </c>
      <c r="AU19" s="2">
        <f>SUM(AL20:AL21)</f>
      </c>
    </row>
    <row r="20">
      <c r="A20" s="9" t="s">
        <v>84</v>
      </c>
      <c r="B20" s="10" t="s">
        <v>53</v>
      </c>
      <c r="C20" s="10" t="s">
        <v>85</v>
      </c>
      <c r="D20" s="14" t="s">
        <v>86</v>
      </c>
      <c r="E20" s="10"/>
      <c r="F20" s="10" t="s">
        <v>80</v>
      </c>
      <c r="G20" s="50" t="n">
        <v>12</v>
      </c>
      <c r="H20" s="50" t="n">
        <v>0</v>
      </c>
      <c r="I20" s="50">
        <f>ROUND(G20*AO20,2)</f>
      </c>
      <c r="J20" s="50">
        <f>ROUND(G20*AP20,2)</f>
      </c>
      <c r="K20" s="50">
        <f>ROUND(G20*H20,2)</f>
      </c>
      <c r="L20" s="51" t="s">
        <v>61</v>
      </c>
      <c r="Z20" s="50">
        <f>ROUND(IF(AQ20="5",BJ20,0),2)</f>
      </c>
      <c r="AB20" s="50">
        <f>ROUND(IF(AQ20="1",BH20,0),2)</f>
      </c>
      <c r="AC20" s="50">
        <f>ROUND(IF(AQ20="1",BI20,0),2)</f>
      </c>
      <c r="AD20" s="50">
        <f>ROUND(IF(AQ20="7",BH20,0),2)</f>
      </c>
      <c r="AE20" s="50">
        <f>ROUND(IF(AQ20="7",BI20,0),2)</f>
      </c>
      <c r="AF20" s="50">
        <f>ROUND(IF(AQ20="2",BH20,0),2)</f>
      </c>
      <c r="AG20" s="50">
        <f>ROUND(IF(AQ20="2",BI20,0),2)</f>
      </c>
      <c r="AH20" s="50">
        <f>ROUND(IF(AQ20="0",BJ20,0),2)</f>
      </c>
      <c r="AI20" s="28" t="s">
        <v>53</v>
      </c>
      <c r="AJ20" s="50">
        <f>IF(AN20=0,K20,0)</f>
      </c>
      <c r="AK20" s="50">
        <f>IF(AN20=12,K20,0)</f>
      </c>
      <c r="AL20" s="50">
        <f>IF(AN20=21,K20,0)</f>
      </c>
      <c r="AN20" s="50" t="n">
        <v>21</v>
      </c>
      <c r="AO20" s="50">
        <f>H20*0</f>
      </c>
      <c r="AP20" s="50">
        <f>H20*(1-0)</f>
      </c>
      <c r="AQ20" s="52" t="s">
        <v>68</v>
      </c>
      <c r="AV20" s="50">
        <f>ROUND(AW20+AX20,2)</f>
      </c>
      <c r="AW20" s="50">
        <f>ROUND(G20*AO20,2)</f>
      </c>
      <c r="AX20" s="50">
        <f>ROUND(G20*AP20,2)</f>
      </c>
      <c r="AY20" s="52" t="s">
        <v>87</v>
      </c>
      <c r="AZ20" s="52" t="s">
        <v>74</v>
      </c>
      <c r="BA20" s="28" t="s">
        <v>64</v>
      </c>
      <c r="BC20" s="50">
        <f>AW20+AX20</f>
      </c>
      <c r="BD20" s="50">
        <f>H20/(100-BE20)*100</f>
      </c>
      <c r="BE20" s="50" t="n">
        <v>0</v>
      </c>
      <c r="BF20" s="50">
        <f>20</f>
      </c>
      <c r="BH20" s="50">
        <f>G20*AO20</f>
      </c>
      <c r="BI20" s="50">
        <f>G20*AP20</f>
      </c>
      <c r="BJ20" s="50">
        <f>G20*H20</f>
      </c>
      <c r="BK20" s="52" t="s">
        <v>65</v>
      </c>
      <c r="BL20" s="50"/>
      <c r="BW20" s="50" t="n">
        <v>21</v>
      </c>
      <c r="BX20" s="14" t="s">
        <v>86</v>
      </c>
    </row>
    <row r="21">
      <c r="A21" s="9" t="s">
        <v>72</v>
      </c>
      <c r="B21" s="10" t="s">
        <v>53</v>
      </c>
      <c r="C21" s="10" t="s">
        <v>88</v>
      </c>
      <c r="D21" s="14" t="s">
        <v>89</v>
      </c>
      <c r="E21" s="10"/>
      <c r="F21" s="10" t="s">
        <v>80</v>
      </c>
      <c r="G21" s="50" t="n">
        <v>12</v>
      </c>
      <c r="H21" s="50" t="n">
        <v>0</v>
      </c>
      <c r="I21" s="50">
        <f>ROUND(G21*AO21,2)</f>
      </c>
      <c r="J21" s="50">
        <f>ROUND(G21*AP21,2)</f>
      </c>
      <c r="K21" s="50">
        <f>ROUND(G21*H21,2)</f>
      </c>
      <c r="L21" s="51" t="s">
        <v>61</v>
      </c>
      <c r="Z21" s="50">
        <f>ROUND(IF(AQ21="5",BJ21,0),2)</f>
      </c>
      <c r="AB21" s="50">
        <f>ROUND(IF(AQ21="1",BH21,0),2)</f>
      </c>
      <c r="AC21" s="50">
        <f>ROUND(IF(AQ21="1",BI21,0),2)</f>
      </c>
      <c r="AD21" s="50">
        <f>ROUND(IF(AQ21="7",BH21,0),2)</f>
      </c>
      <c r="AE21" s="50">
        <f>ROUND(IF(AQ21="7",BI21,0),2)</f>
      </c>
      <c r="AF21" s="50">
        <f>ROUND(IF(AQ21="2",BH21,0),2)</f>
      </c>
      <c r="AG21" s="50">
        <f>ROUND(IF(AQ21="2",BI21,0),2)</f>
      </c>
      <c r="AH21" s="50">
        <f>ROUND(IF(AQ21="0",BJ21,0),2)</f>
      </c>
      <c r="AI21" s="28" t="s">
        <v>53</v>
      </c>
      <c r="AJ21" s="50">
        <f>IF(AN21=0,K21,0)</f>
      </c>
      <c r="AK21" s="50">
        <f>IF(AN21=12,K21,0)</f>
      </c>
      <c r="AL21" s="50">
        <f>IF(AN21=21,K21,0)</f>
      </c>
      <c r="AN21" s="50" t="n">
        <v>21</v>
      </c>
      <c r="AO21" s="50">
        <f>H21*0</f>
      </c>
      <c r="AP21" s="50">
        <f>H21*(1-0)</f>
      </c>
      <c r="AQ21" s="52" t="s">
        <v>68</v>
      </c>
      <c r="AV21" s="50">
        <f>ROUND(AW21+AX21,2)</f>
      </c>
      <c r="AW21" s="50">
        <f>ROUND(G21*AO21,2)</f>
      </c>
      <c r="AX21" s="50">
        <f>ROUND(G21*AP21,2)</f>
      </c>
      <c r="AY21" s="52" t="s">
        <v>87</v>
      </c>
      <c r="AZ21" s="52" t="s">
        <v>74</v>
      </c>
      <c r="BA21" s="28" t="s">
        <v>64</v>
      </c>
      <c r="BC21" s="50">
        <f>AW21+AX21</f>
      </c>
      <c r="BD21" s="50">
        <f>H21/(100-BE21)*100</f>
      </c>
      <c r="BE21" s="50" t="n">
        <v>0</v>
      </c>
      <c r="BF21" s="50">
        <f>21</f>
      </c>
      <c r="BH21" s="50">
        <f>G21*AO21</f>
      </c>
      <c r="BI21" s="50">
        <f>G21*AP21</f>
      </c>
      <c r="BJ21" s="50">
        <f>G21*H21</f>
      </c>
      <c r="BK21" s="52" t="s">
        <v>65</v>
      </c>
      <c r="BL21" s="50"/>
      <c r="BW21" s="50" t="n">
        <v>21</v>
      </c>
      <c r="BX21" s="14" t="s">
        <v>89</v>
      </c>
    </row>
    <row r="22">
      <c r="A22" s="45" t="s">
        <v>52</v>
      </c>
      <c r="B22" s="46" t="s">
        <v>53</v>
      </c>
      <c r="C22" s="46" t="s">
        <v>90</v>
      </c>
      <c r="D22" s="47" t="s">
        <v>91</v>
      </c>
      <c r="E22" s="46"/>
      <c r="F22" s="48" t="s">
        <v>8</v>
      </c>
      <c r="G22" s="48" t="s">
        <v>8</v>
      </c>
      <c r="H22" s="48" t="s">
        <v>8</v>
      </c>
      <c r="I22" s="2">
        <f>SUM(I23:I26)</f>
      </c>
      <c r="J22" s="2">
        <f>SUM(J23:J26)</f>
      </c>
      <c r="K22" s="2">
        <f>SUM(K23:K26)</f>
      </c>
      <c r="L22" s="49" t="s">
        <v>52</v>
      </c>
      <c r="AI22" s="28" t="s">
        <v>53</v>
      </c>
      <c r="AS22" s="2">
        <f>SUM(AJ23:AJ26)</f>
      </c>
      <c r="AT22" s="2">
        <f>SUM(AK23:AK26)</f>
      </c>
      <c r="AU22" s="2">
        <f>SUM(AL23:AL26)</f>
      </c>
    </row>
    <row r="23">
      <c r="A23" s="9" t="s">
        <v>92</v>
      </c>
      <c r="B23" s="10" t="s">
        <v>53</v>
      </c>
      <c r="C23" s="10" t="s">
        <v>93</v>
      </c>
      <c r="D23" s="14" t="s">
        <v>94</v>
      </c>
      <c r="E23" s="10"/>
      <c r="F23" s="10" t="s">
        <v>95</v>
      </c>
      <c r="G23" s="50" t="n">
        <v>155</v>
      </c>
      <c r="H23" s="50" t="n">
        <v>0</v>
      </c>
      <c r="I23" s="50">
        <f>ROUND(G23*AO23,2)</f>
      </c>
      <c r="J23" s="50">
        <f>ROUND(G23*AP23,2)</f>
      </c>
      <c r="K23" s="50">
        <f>ROUND(G23*H23,2)</f>
      </c>
      <c r="L23" s="51" t="s">
        <v>61</v>
      </c>
      <c r="Z23" s="50">
        <f>ROUND(IF(AQ23="5",BJ23,0),2)</f>
      </c>
      <c r="AB23" s="50">
        <f>ROUND(IF(AQ23="1",BH23,0),2)</f>
      </c>
      <c r="AC23" s="50">
        <f>ROUND(IF(AQ23="1",BI23,0),2)</f>
      </c>
      <c r="AD23" s="50">
        <f>ROUND(IF(AQ23="7",BH23,0),2)</f>
      </c>
      <c r="AE23" s="50">
        <f>ROUND(IF(AQ23="7",BI23,0),2)</f>
      </c>
      <c r="AF23" s="50">
        <f>ROUND(IF(AQ23="2",BH23,0),2)</f>
      </c>
      <c r="AG23" s="50">
        <f>ROUND(IF(AQ23="2",BI23,0),2)</f>
      </c>
      <c r="AH23" s="50">
        <f>ROUND(IF(AQ23="0",BJ23,0),2)</f>
      </c>
      <c r="AI23" s="28" t="s">
        <v>53</v>
      </c>
      <c r="AJ23" s="50">
        <f>IF(AN23=0,K23,0)</f>
      </c>
      <c r="AK23" s="50">
        <f>IF(AN23=12,K23,0)</f>
      </c>
      <c r="AL23" s="50">
        <f>IF(AN23=21,K23,0)</f>
      </c>
      <c r="AN23" s="50" t="n">
        <v>21</v>
      </c>
      <c r="AO23" s="50">
        <f>H23*0</f>
      </c>
      <c r="AP23" s="50">
        <f>H23*(1-0)</f>
      </c>
      <c r="AQ23" s="52" t="s">
        <v>68</v>
      </c>
      <c r="AV23" s="50">
        <f>ROUND(AW23+AX23,2)</f>
      </c>
      <c r="AW23" s="50">
        <f>ROUND(G23*AO23,2)</f>
      </c>
      <c r="AX23" s="50">
        <f>ROUND(G23*AP23,2)</f>
      </c>
      <c r="AY23" s="52" t="s">
        <v>96</v>
      </c>
      <c r="AZ23" s="52" t="s">
        <v>74</v>
      </c>
      <c r="BA23" s="28" t="s">
        <v>64</v>
      </c>
      <c r="BC23" s="50">
        <f>AW23+AX23</f>
      </c>
      <c r="BD23" s="50">
        <f>H23/(100-BE23)*100</f>
      </c>
      <c r="BE23" s="50" t="n">
        <v>0</v>
      </c>
      <c r="BF23" s="50">
        <f>23</f>
      </c>
      <c r="BH23" s="50">
        <f>G23*AO23</f>
      </c>
      <c r="BI23" s="50">
        <f>G23*AP23</f>
      </c>
      <c r="BJ23" s="50">
        <f>G23*H23</f>
      </c>
      <c r="BK23" s="52" t="s">
        <v>65</v>
      </c>
      <c r="BL23" s="50"/>
      <c r="BW23" s="50" t="n">
        <v>21</v>
      </c>
      <c r="BX23" s="14" t="s">
        <v>94</v>
      </c>
    </row>
    <row r="24">
      <c r="A24" s="9" t="s">
        <v>97</v>
      </c>
      <c r="B24" s="10" t="s">
        <v>53</v>
      </c>
      <c r="C24" s="10" t="s">
        <v>98</v>
      </c>
      <c r="D24" s="14" t="s">
        <v>99</v>
      </c>
      <c r="E24" s="10"/>
      <c r="F24" s="10" t="s">
        <v>80</v>
      </c>
      <c r="G24" s="50" t="n">
        <v>12</v>
      </c>
      <c r="H24" s="50" t="n">
        <v>0</v>
      </c>
      <c r="I24" s="50">
        <f>ROUND(G24*AO24,2)</f>
      </c>
      <c r="J24" s="50">
        <f>ROUND(G24*AP24,2)</f>
      </c>
      <c r="K24" s="50">
        <f>ROUND(G24*H24,2)</f>
      </c>
      <c r="L24" s="51" t="s">
        <v>61</v>
      </c>
      <c r="Z24" s="50">
        <f>ROUND(IF(AQ24="5",BJ24,0),2)</f>
      </c>
      <c r="AB24" s="50">
        <f>ROUND(IF(AQ24="1",BH24,0),2)</f>
      </c>
      <c r="AC24" s="50">
        <f>ROUND(IF(AQ24="1",BI24,0),2)</f>
      </c>
      <c r="AD24" s="50">
        <f>ROUND(IF(AQ24="7",BH24,0),2)</f>
      </c>
      <c r="AE24" s="50">
        <f>ROUND(IF(AQ24="7",BI24,0),2)</f>
      </c>
      <c r="AF24" s="50">
        <f>ROUND(IF(AQ24="2",BH24,0),2)</f>
      </c>
      <c r="AG24" s="50">
        <f>ROUND(IF(AQ24="2",BI24,0),2)</f>
      </c>
      <c r="AH24" s="50">
        <f>ROUND(IF(AQ24="0",BJ24,0),2)</f>
      </c>
      <c r="AI24" s="28" t="s">
        <v>53</v>
      </c>
      <c r="AJ24" s="50">
        <f>IF(AN24=0,K24,0)</f>
      </c>
      <c r="AK24" s="50">
        <f>IF(AN24=12,K24,0)</f>
      </c>
      <c r="AL24" s="50">
        <f>IF(AN24=21,K24,0)</f>
      </c>
      <c r="AN24" s="50" t="n">
        <v>21</v>
      </c>
      <c r="AO24" s="50">
        <f>H24*0</f>
      </c>
      <c r="AP24" s="50">
        <f>H24*(1-0)</f>
      </c>
      <c r="AQ24" s="52" t="s">
        <v>68</v>
      </c>
      <c r="AV24" s="50">
        <f>ROUND(AW24+AX24,2)</f>
      </c>
      <c r="AW24" s="50">
        <f>ROUND(G24*AO24,2)</f>
      </c>
      <c r="AX24" s="50">
        <f>ROUND(G24*AP24,2)</f>
      </c>
      <c r="AY24" s="52" t="s">
        <v>96</v>
      </c>
      <c r="AZ24" s="52" t="s">
        <v>74</v>
      </c>
      <c r="BA24" s="28" t="s">
        <v>64</v>
      </c>
      <c r="BC24" s="50">
        <f>AW24+AX24</f>
      </c>
      <c r="BD24" s="50">
        <f>H24/(100-BE24)*100</f>
      </c>
      <c r="BE24" s="50" t="n">
        <v>0</v>
      </c>
      <c r="BF24" s="50">
        <f>24</f>
      </c>
      <c r="BH24" s="50">
        <f>G24*AO24</f>
      </c>
      <c r="BI24" s="50">
        <f>G24*AP24</f>
      </c>
      <c r="BJ24" s="50">
        <f>G24*H24</f>
      </c>
      <c r="BK24" s="52" t="s">
        <v>65</v>
      </c>
      <c r="BL24" s="50"/>
      <c r="BW24" s="50" t="n">
        <v>21</v>
      </c>
      <c r="BX24" s="14" t="s">
        <v>99</v>
      </c>
    </row>
    <row r="25">
      <c r="A25" s="9" t="s">
        <v>100</v>
      </c>
      <c r="B25" s="10" t="s">
        <v>53</v>
      </c>
      <c r="C25" s="10" t="s">
        <v>101</v>
      </c>
      <c r="D25" s="14" t="s">
        <v>102</v>
      </c>
      <c r="E25" s="10"/>
      <c r="F25" s="10" t="s">
        <v>95</v>
      </c>
      <c r="G25" s="50" t="n">
        <v>155</v>
      </c>
      <c r="H25" s="50" t="n">
        <v>0</v>
      </c>
      <c r="I25" s="50">
        <f>ROUND(G25*AO25,2)</f>
      </c>
      <c r="J25" s="50">
        <f>ROUND(G25*AP25,2)</f>
      </c>
      <c r="K25" s="50">
        <f>ROUND(G25*H25,2)</f>
      </c>
      <c r="L25" s="51" t="s">
        <v>61</v>
      </c>
      <c r="Z25" s="50">
        <f>ROUND(IF(AQ25="5",BJ25,0),2)</f>
      </c>
      <c r="AB25" s="50">
        <f>ROUND(IF(AQ25="1",BH25,0),2)</f>
      </c>
      <c r="AC25" s="50">
        <f>ROUND(IF(AQ25="1",BI25,0),2)</f>
      </c>
      <c r="AD25" s="50">
        <f>ROUND(IF(AQ25="7",BH25,0),2)</f>
      </c>
      <c r="AE25" s="50">
        <f>ROUND(IF(AQ25="7",BI25,0),2)</f>
      </c>
      <c r="AF25" s="50">
        <f>ROUND(IF(AQ25="2",BH25,0),2)</f>
      </c>
      <c r="AG25" s="50">
        <f>ROUND(IF(AQ25="2",BI25,0),2)</f>
      </c>
      <c r="AH25" s="50">
        <f>ROUND(IF(AQ25="0",BJ25,0),2)</f>
      </c>
      <c r="AI25" s="28" t="s">
        <v>53</v>
      </c>
      <c r="AJ25" s="50">
        <f>IF(AN25=0,K25,0)</f>
      </c>
      <c r="AK25" s="50">
        <f>IF(AN25=12,K25,0)</f>
      </c>
      <c r="AL25" s="50">
        <f>IF(AN25=21,K25,0)</f>
      </c>
      <c r="AN25" s="50" t="n">
        <v>21</v>
      </c>
      <c r="AO25" s="50">
        <f>H25*0</f>
      </c>
      <c r="AP25" s="50">
        <f>H25*(1-0)</f>
      </c>
      <c r="AQ25" s="52" t="s">
        <v>68</v>
      </c>
      <c r="AV25" s="50">
        <f>ROUND(AW25+AX25,2)</f>
      </c>
      <c r="AW25" s="50">
        <f>ROUND(G25*AO25,2)</f>
      </c>
      <c r="AX25" s="50">
        <f>ROUND(G25*AP25,2)</f>
      </c>
      <c r="AY25" s="52" t="s">
        <v>96</v>
      </c>
      <c r="AZ25" s="52" t="s">
        <v>74</v>
      </c>
      <c r="BA25" s="28" t="s">
        <v>64</v>
      </c>
      <c r="BC25" s="50">
        <f>AW25+AX25</f>
      </c>
      <c r="BD25" s="50">
        <f>H25/(100-BE25)*100</f>
      </c>
      <c r="BE25" s="50" t="n">
        <v>0</v>
      </c>
      <c r="BF25" s="50">
        <f>25</f>
      </c>
      <c r="BH25" s="50">
        <f>G25*AO25</f>
      </c>
      <c r="BI25" s="50">
        <f>G25*AP25</f>
      </c>
      <c r="BJ25" s="50">
        <f>G25*H25</f>
      </c>
      <c r="BK25" s="52" t="s">
        <v>65</v>
      </c>
      <c r="BL25" s="50"/>
      <c r="BW25" s="50" t="n">
        <v>21</v>
      </c>
      <c r="BX25" s="14" t="s">
        <v>102</v>
      </c>
    </row>
    <row r="26">
      <c r="A26" s="9" t="s">
        <v>103</v>
      </c>
      <c r="B26" s="10" t="s">
        <v>53</v>
      </c>
      <c r="C26" s="10" t="s">
        <v>104</v>
      </c>
      <c r="D26" s="14" t="s">
        <v>105</v>
      </c>
      <c r="E26" s="10"/>
      <c r="F26" s="10" t="s">
        <v>60</v>
      </c>
      <c r="G26" s="50" t="n">
        <v>85</v>
      </c>
      <c r="H26" s="50" t="n">
        <v>0</v>
      </c>
      <c r="I26" s="50">
        <f>ROUND(G26*AO26,2)</f>
      </c>
      <c r="J26" s="50">
        <f>ROUND(G26*AP26,2)</f>
      </c>
      <c r="K26" s="50">
        <f>ROUND(G26*H26,2)</f>
      </c>
      <c r="L26" s="51" t="s">
        <v>61</v>
      </c>
      <c r="Z26" s="50">
        <f>ROUND(IF(AQ26="5",BJ26,0),2)</f>
      </c>
      <c r="AB26" s="50">
        <f>ROUND(IF(AQ26="1",BH26,0),2)</f>
      </c>
      <c r="AC26" s="50">
        <f>ROUND(IF(AQ26="1",BI26,0),2)</f>
      </c>
      <c r="AD26" s="50">
        <f>ROUND(IF(AQ26="7",BH26,0),2)</f>
      </c>
      <c r="AE26" s="50">
        <f>ROUND(IF(AQ26="7",BI26,0),2)</f>
      </c>
      <c r="AF26" s="50">
        <f>ROUND(IF(AQ26="2",BH26,0),2)</f>
      </c>
      <c r="AG26" s="50">
        <f>ROUND(IF(AQ26="2",BI26,0),2)</f>
      </c>
      <c r="AH26" s="50">
        <f>ROUND(IF(AQ26="0",BJ26,0),2)</f>
      </c>
      <c r="AI26" s="28" t="s">
        <v>53</v>
      </c>
      <c r="AJ26" s="50">
        <f>IF(AN26=0,K26,0)</f>
      </c>
      <c r="AK26" s="50">
        <f>IF(AN26=12,K26,0)</f>
      </c>
      <c r="AL26" s="50">
        <f>IF(AN26=21,K26,0)</f>
      </c>
      <c r="AN26" s="50" t="n">
        <v>21</v>
      </c>
      <c r="AO26" s="50">
        <f>H26*0</f>
      </c>
      <c r="AP26" s="50">
        <f>H26*(1-0)</f>
      </c>
      <c r="AQ26" s="52" t="s">
        <v>68</v>
      </c>
      <c r="AV26" s="50">
        <f>ROUND(AW26+AX26,2)</f>
      </c>
      <c r="AW26" s="50">
        <f>ROUND(G26*AO26,2)</f>
      </c>
      <c r="AX26" s="50">
        <f>ROUND(G26*AP26,2)</f>
      </c>
      <c r="AY26" s="52" t="s">
        <v>96</v>
      </c>
      <c r="AZ26" s="52" t="s">
        <v>74</v>
      </c>
      <c r="BA26" s="28" t="s">
        <v>64</v>
      </c>
      <c r="BC26" s="50">
        <f>AW26+AX26</f>
      </c>
      <c r="BD26" s="50">
        <f>H26/(100-BE26)*100</f>
      </c>
      <c r="BE26" s="50" t="n">
        <v>0</v>
      </c>
      <c r="BF26" s="50">
        <f>26</f>
      </c>
      <c r="BH26" s="50">
        <f>G26*AO26</f>
      </c>
      <c r="BI26" s="50">
        <f>G26*AP26</f>
      </c>
      <c r="BJ26" s="50">
        <f>G26*H26</f>
      </c>
      <c r="BK26" s="52" t="s">
        <v>65</v>
      </c>
      <c r="BL26" s="50"/>
      <c r="BW26" s="50" t="n">
        <v>21</v>
      </c>
      <c r="BX26" s="14" t="s">
        <v>105</v>
      </c>
    </row>
    <row r="27">
      <c r="A27" s="45" t="s">
        <v>52</v>
      </c>
      <c r="B27" s="46" t="s">
        <v>53</v>
      </c>
      <c r="C27" s="46" t="s">
        <v>106</v>
      </c>
      <c r="D27" s="47" t="s">
        <v>107</v>
      </c>
      <c r="E27" s="46"/>
      <c r="F27" s="48" t="s">
        <v>8</v>
      </c>
      <c r="G27" s="48" t="s">
        <v>8</v>
      </c>
      <c r="H27" s="48" t="s">
        <v>8</v>
      </c>
      <c r="I27" s="2">
        <f>SUM(I28:I30)</f>
      </c>
      <c r="J27" s="2">
        <f>SUM(J28:J30)</f>
      </c>
      <c r="K27" s="2">
        <f>SUM(K28:K30)</f>
      </c>
      <c r="L27" s="49" t="s">
        <v>52</v>
      </c>
      <c r="AI27" s="28" t="s">
        <v>53</v>
      </c>
      <c r="AS27" s="2">
        <f>SUM(AJ28:AJ30)</f>
      </c>
      <c r="AT27" s="2">
        <f>SUM(AK28:AK30)</f>
      </c>
      <c r="AU27" s="2">
        <f>SUM(AL28:AL30)</f>
      </c>
    </row>
    <row r="28">
      <c r="A28" s="9" t="s">
        <v>108</v>
      </c>
      <c r="B28" s="10" t="s">
        <v>53</v>
      </c>
      <c r="C28" s="10" t="s">
        <v>109</v>
      </c>
      <c r="D28" s="14" t="s">
        <v>110</v>
      </c>
      <c r="E28" s="10"/>
      <c r="F28" s="10" t="s">
        <v>80</v>
      </c>
      <c r="G28" s="50" t="n">
        <v>12</v>
      </c>
      <c r="H28" s="50" t="n">
        <v>0</v>
      </c>
      <c r="I28" s="50">
        <f>ROUND(G28*AO28,2)</f>
      </c>
      <c r="J28" s="50">
        <f>ROUND(G28*AP28,2)</f>
      </c>
      <c r="K28" s="50">
        <f>ROUND(G28*H28,2)</f>
      </c>
      <c r="L28" s="51" t="s">
        <v>61</v>
      </c>
      <c r="Z28" s="50">
        <f>ROUND(IF(AQ28="5",BJ28,0),2)</f>
      </c>
      <c r="AB28" s="50">
        <f>ROUND(IF(AQ28="1",BH28,0),2)</f>
      </c>
      <c r="AC28" s="50">
        <f>ROUND(IF(AQ28="1",BI28,0),2)</f>
      </c>
      <c r="AD28" s="50">
        <f>ROUND(IF(AQ28="7",BH28,0),2)</f>
      </c>
      <c r="AE28" s="50">
        <f>ROUND(IF(AQ28="7",BI28,0),2)</f>
      </c>
      <c r="AF28" s="50">
        <f>ROUND(IF(AQ28="2",BH28,0),2)</f>
      </c>
      <c r="AG28" s="50">
        <f>ROUND(IF(AQ28="2",BI28,0),2)</f>
      </c>
      <c r="AH28" s="50">
        <f>ROUND(IF(AQ28="0",BJ28,0),2)</f>
      </c>
      <c r="AI28" s="28" t="s">
        <v>53</v>
      </c>
      <c r="AJ28" s="50">
        <f>IF(AN28=0,K28,0)</f>
      </c>
      <c r="AK28" s="50">
        <f>IF(AN28=12,K28,0)</f>
      </c>
      <c r="AL28" s="50">
        <f>IF(AN28=21,K28,0)</f>
      </c>
      <c r="AN28" s="50" t="n">
        <v>21</v>
      </c>
      <c r="AO28" s="50">
        <f>H28*0</f>
      </c>
      <c r="AP28" s="50">
        <f>H28*(1-0)</f>
      </c>
      <c r="AQ28" s="52" t="s">
        <v>68</v>
      </c>
      <c r="AV28" s="50">
        <f>ROUND(AW28+AX28,2)</f>
      </c>
      <c r="AW28" s="50">
        <f>ROUND(G28*AO28,2)</f>
      </c>
      <c r="AX28" s="50">
        <f>ROUND(G28*AP28,2)</f>
      </c>
      <c r="AY28" s="52" t="s">
        <v>111</v>
      </c>
      <c r="AZ28" s="52" t="s">
        <v>74</v>
      </c>
      <c r="BA28" s="28" t="s">
        <v>64</v>
      </c>
      <c r="BC28" s="50">
        <f>AW28+AX28</f>
      </c>
      <c r="BD28" s="50">
        <f>H28/(100-BE28)*100</f>
      </c>
      <c r="BE28" s="50" t="n">
        <v>0</v>
      </c>
      <c r="BF28" s="50">
        <f>28</f>
      </c>
      <c r="BH28" s="50">
        <f>G28*AO28</f>
      </c>
      <c r="BI28" s="50">
        <f>G28*AP28</f>
      </c>
      <c r="BJ28" s="50">
        <f>G28*H28</f>
      </c>
      <c r="BK28" s="52" t="s">
        <v>65</v>
      </c>
      <c r="BL28" s="50"/>
      <c r="BW28" s="50" t="n">
        <v>21</v>
      </c>
      <c r="BX28" s="14" t="s">
        <v>110</v>
      </c>
    </row>
    <row r="29">
      <c r="A29" s="9" t="s">
        <v>112</v>
      </c>
      <c r="B29" s="10" t="s">
        <v>53</v>
      </c>
      <c r="C29" s="10" t="s">
        <v>113</v>
      </c>
      <c r="D29" s="14" t="s">
        <v>114</v>
      </c>
      <c r="E29" s="10"/>
      <c r="F29" s="10" t="s">
        <v>80</v>
      </c>
      <c r="G29" s="50" t="n">
        <v>12</v>
      </c>
      <c r="H29" s="50" t="n">
        <v>0</v>
      </c>
      <c r="I29" s="50">
        <f>ROUND(G29*AO29,2)</f>
      </c>
      <c r="J29" s="50">
        <f>ROUND(G29*AP29,2)</f>
      </c>
      <c r="K29" s="50">
        <f>ROUND(G29*H29,2)</f>
      </c>
      <c r="L29" s="51" t="s">
        <v>61</v>
      </c>
      <c r="Z29" s="50">
        <f>ROUND(IF(AQ29="5",BJ29,0),2)</f>
      </c>
      <c r="AB29" s="50">
        <f>ROUND(IF(AQ29="1",BH29,0),2)</f>
      </c>
      <c r="AC29" s="50">
        <f>ROUND(IF(AQ29="1",BI29,0),2)</f>
      </c>
      <c r="AD29" s="50">
        <f>ROUND(IF(AQ29="7",BH29,0),2)</f>
      </c>
      <c r="AE29" s="50">
        <f>ROUND(IF(AQ29="7",BI29,0),2)</f>
      </c>
      <c r="AF29" s="50">
        <f>ROUND(IF(AQ29="2",BH29,0),2)</f>
      </c>
      <c r="AG29" s="50">
        <f>ROUND(IF(AQ29="2",BI29,0),2)</f>
      </c>
      <c r="AH29" s="50">
        <f>ROUND(IF(AQ29="0",BJ29,0),2)</f>
      </c>
      <c r="AI29" s="28" t="s">
        <v>53</v>
      </c>
      <c r="AJ29" s="50">
        <f>IF(AN29=0,K29,0)</f>
      </c>
      <c r="AK29" s="50">
        <f>IF(AN29=12,K29,0)</f>
      </c>
      <c r="AL29" s="50">
        <f>IF(AN29=21,K29,0)</f>
      </c>
      <c r="AN29" s="50" t="n">
        <v>21</v>
      </c>
      <c r="AO29" s="50">
        <f>H29*0</f>
      </c>
      <c r="AP29" s="50">
        <f>H29*(1-0)</f>
      </c>
      <c r="AQ29" s="52" t="s">
        <v>68</v>
      </c>
      <c r="AV29" s="50">
        <f>ROUND(AW29+AX29,2)</f>
      </c>
      <c r="AW29" s="50">
        <f>ROUND(G29*AO29,2)</f>
      </c>
      <c r="AX29" s="50">
        <f>ROUND(G29*AP29,2)</f>
      </c>
      <c r="AY29" s="52" t="s">
        <v>111</v>
      </c>
      <c r="AZ29" s="52" t="s">
        <v>74</v>
      </c>
      <c r="BA29" s="28" t="s">
        <v>64</v>
      </c>
      <c r="BC29" s="50">
        <f>AW29+AX29</f>
      </c>
      <c r="BD29" s="50">
        <f>H29/(100-BE29)*100</f>
      </c>
      <c r="BE29" s="50" t="n">
        <v>0</v>
      </c>
      <c r="BF29" s="50">
        <f>29</f>
      </c>
      <c r="BH29" s="50">
        <f>G29*AO29</f>
      </c>
      <c r="BI29" s="50">
        <f>G29*AP29</f>
      </c>
      <c r="BJ29" s="50">
        <f>G29*H29</f>
      </c>
      <c r="BK29" s="52" t="s">
        <v>65</v>
      </c>
      <c r="BL29" s="50"/>
      <c r="BW29" s="50" t="n">
        <v>21</v>
      </c>
      <c r="BX29" s="14" t="s">
        <v>114</v>
      </c>
    </row>
    <row r="30">
      <c r="A30" s="9" t="s">
        <v>115</v>
      </c>
      <c r="B30" s="10" t="s">
        <v>53</v>
      </c>
      <c r="C30" s="10" t="s">
        <v>116</v>
      </c>
      <c r="D30" s="14" t="s">
        <v>117</v>
      </c>
      <c r="E30" s="10"/>
      <c r="F30" s="10" t="s">
        <v>80</v>
      </c>
      <c r="G30" s="50" t="n">
        <v>12</v>
      </c>
      <c r="H30" s="50" t="n">
        <v>0</v>
      </c>
      <c r="I30" s="50">
        <f>ROUND(G30*AO30,2)</f>
      </c>
      <c r="J30" s="50">
        <f>ROUND(G30*AP30,2)</f>
      </c>
      <c r="K30" s="50">
        <f>ROUND(G30*H30,2)</f>
      </c>
      <c r="L30" s="51" t="s">
        <v>61</v>
      </c>
      <c r="Z30" s="50">
        <f>ROUND(IF(AQ30="5",BJ30,0),2)</f>
      </c>
      <c r="AB30" s="50">
        <f>ROUND(IF(AQ30="1",BH30,0),2)</f>
      </c>
      <c r="AC30" s="50">
        <f>ROUND(IF(AQ30="1",BI30,0),2)</f>
      </c>
      <c r="AD30" s="50">
        <f>ROUND(IF(AQ30="7",BH30,0),2)</f>
      </c>
      <c r="AE30" s="50">
        <f>ROUND(IF(AQ30="7",BI30,0),2)</f>
      </c>
      <c r="AF30" s="50">
        <f>ROUND(IF(AQ30="2",BH30,0),2)</f>
      </c>
      <c r="AG30" s="50">
        <f>ROUND(IF(AQ30="2",BI30,0),2)</f>
      </c>
      <c r="AH30" s="50">
        <f>ROUND(IF(AQ30="0",BJ30,0),2)</f>
      </c>
      <c r="AI30" s="28" t="s">
        <v>53</v>
      </c>
      <c r="AJ30" s="50">
        <f>IF(AN30=0,K30,0)</f>
      </c>
      <c r="AK30" s="50">
        <f>IF(AN30=12,K30,0)</f>
      </c>
      <c r="AL30" s="50">
        <f>IF(AN30=21,K30,0)</f>
      </c>
      <c r="AN30" s="50" t="n">
        <v>21</v>
      </c>
      <c r="AO30" s="50">
        <f>H30*0</f>
      </c>
      <c r="AP30" s="50">
        <f>H30*(1-0)</f>
      </c>
      <c r="AQ30" s="52" t="s">
        <v>68</v>
      </c>
      <c r="AV30" s="50">
        <f>ROUND(AW30+AX30,2)</f>
      </c>
      <c r="AW30" s="50">
        <f>ROUND(G30*AO30,2)</f>
      </c>
      <c r="AX30" s="50">
        <f>ROUND(G30*AP30,2)</f>
      </c>
      <c r="AY30" s="52" t="s">
        <v>111</v>
      </c>
      <c r="AZ30" s="52" t="s">
        <v>74</v>
      </c>
      <c r="BA30" s="28" t="s">
        <v>64</v>
      </c>
      <c r="BC30" s="50">
        <f>AW30+AX30</f>
      </c>
      <c r="BD30" s="50">
        <f>H30/(100-BE30)*100</f>
      </c>
      <c r="BE30" s="50" t="n">
        <v>0</v>
      </c>
      <c r="BF30" s="50">
        <f>30</f>
      </c>
      <c r="BH30" s="50">
        <f>G30*AO30</f>
      </c>
      <c r="BI30" s="50">
        <f>G30*AP30</f>
      </c>
      <c r="BJ30" s="50">
        <f>G30*H30</f>
      </c>
      <c r="BK30" s="52" t="s">
        <v>65</v>
      </c>
      <c r="BL30" s="50"/>
      <c r="BW30" s="50" t="n">
        <v>21</v>
      </c>
      <c r="BX30" s="14" t="s">
        <v>117</v>
      </c>
    </row>
    <row r="31">
      <c r="A31" s="45" t="s">
        <v>52</v>
      </c>
      <c r="B31" s="46" t="s">
        <v>53</v>
      </c>
      <c r="C31" s="46" t="s">
        <v>118</v>
      </c>
      <c r="D31" s="47" t="s">
        <v>119</v>
      </c>
      <c r="E31" s="46"/>
      <c r="F31" s="48" t="s">
        <v>8</v>
      </c>
      <c r="G31" s="48" t="s">
        <v>8</v>
      </c>
      <c r="H31" s="48" t="s">
        <v>8</v>
      </c>
      <c r="I31" s="2">
        <f>SUM(I32:I46)</f>
      </c>
      <c r="J31" s="2">
        <f>SUM(J32:J46)</f>
      </c>
      <c r="K31" s="2">
        <f>SUM(K32:K46)</f>
      </c>
      <c r="L31" s="49" t="s">
        <v>52</v>
      </c>
      <c r="AI31" s="28" t="s">
        <v>53</v>
      </c>
      <c r="AS31" s="2">
        <f>SUM(AJ32:AJ46)</f>
      </c>
      <c r="AT31" s="2">
        <f>SUM(AK32:AK46)</f>
      </c>
      <c r="AU31" s="2">
        <f>SUM(AL32:AL46)</f>
      </c>
    </row>
    <row r="32">
      <c r="A32" s="9" t="s">
        <v>120</v>
      </c>
      <c r="B32" s="10" t="s">
        <v>53</v>
      </c>
      <c r="C32" s="10" t="s">
        <v>121</v>
      </c>
      <c r="D32" s="14" t="s">
        <v>122</v>
      </c>
      <c r="E32" s="10"/>
      <c r="F32" s="10" t="s">
        <v>95</v>
      </c>
      <c r="G32" s="50" t="n">
        <v>180</v>
      </c>
      <c r="H32" s="50" t="n">
        <v>0</v>
      </c>
      <c r="I32" s="50">
        <f>ROUND(G32*AO32,2)</f>
      </c>
      <c r="J32" s="50">
        <f>ROUND(G32*AP32,2)</f>
      </c>
      <c r="K32" s="50">
        <f>ROUND(G32*H32,2)</f>
      </c>
      <c r="L32" s="51" t="s">
        <v>123</v>
      </c>
      <c r="Z32" s="50">
        <f>ROUND(IF(AQ32="5",BJ32,0),2)</f>
      </c>
      <c r="AB32" s="50">
        <f>ROUND(IF(AQ32="1",BH32,0),2)</f>
      </c>
      <c r="AC32" s="50">
        <f>ROUND(IF(AQ32="1",BI32,0),2)</f>
      </c>
      <c r="AD32" s="50">
        <f>ROUND(IF(AQ32="7",BH32,0),2)</f>
      </c>
      <c r="AE32" s="50">
        <f>ROUND(IF(AQ32="7",BI32,0),2)</f>
      </c>
      <c r="AF32" s="50">
        <f>ROUND(IF(AQ32="2",BH32,0),2)</f>
      </c>
      <c r="AG32" s="50">
        <f>ROUND(IF(AQ32="2",BI32,0),2)</f>
      </c>
      <c r="AH32" s="50">
        <f>ROUND(IF(AQ32="0",BJ32,0),2)</f>
      </c>
      <c r="AI32" s="28" t="s">
        <v>53</v>
      </c>
      <c r="AJ32" s="50">
        <f>IF(AN32=0,K32,0)</f>
      </c>
      <c r="AK32" s="50">
        <f>IF(AN32=12,K32,0)</f>
      </c>
      <c r="AL32" s="50">
        <f>IF(AN32=21,K32,0)</f>
      </c>
      <c r="AN32" s="50" t="n">
        <v>21</v>
      </c>
      <c r="AO32" s="50">
        <f>H32*1</f>
      </c>
      <c r="AP32" s="50">
        <f>H32*(1-1)</f>
      </c>
      <c r="AQ32" s="52" t="s">
        <v>124</v>
      </c>
      <c r="AV32" s="50">
        <f>ROUND(AW32+AX32,2)</f>
      </c>
      <c r="AW32" s="50">
        <f>ROUND(G32*AO32,2)</f>
      </c>
      <c r="AX32" s="50">
        <f>ROUND(G32*AP32,2)</f>
      </c>
      <c r="AY32" s="52" t="s">
        <v>125</v>
      </c>
      <c r="AZ32" s="52" t="s">
        <v>126</v>
      </c>
      <c r="BA32" s="28" t="s">
        <v>64</v>
      </c>
      <c r="BC32" s="50">
        <f>AW32+AX32</f>
      </c>
      <c r="BD32" s="50">
        <f>H32/(100-BE32)*100</f>
      </c>
      <c r="BE32" s="50" t="n">
        <v>0</v>
      </c>
      <c r="BF32" s="50">
        <f>32</f>
      </c>
      <c r="BH32" s="50">
        <f>G32*AO32</f>
      </c>
      <c r="BI32" s="50">
        <f>G32*AP32</f>
      </c>
      <c r="BJ32" s="50">
        <f>G32*H32</f>
      </c>
      <c r="BK32" s="52" t="s">
        <v>118</v>
      </c>
      <c r="BL32" s="50"/>
      <c r="BW32" s="50" t="n">
        <v>21</v>
      </c>
      <c r="BX32" s="14" t="s">
        <v>122</v>
      </c>
    </row>
    <row r="33">
      <c r="A33" s="53"/>
      <c r="C33" s="54" t="s">
        <v>127</v>
      </c>
      <c r="D33" s="55" t="s">
        <v>128</v>
      </c>
      <c r="E33" s="56"/>
      <c r="F33" s="56"/>
      <c r="G33" s="56"/>
      <c r="H33" s="56"/>
      <c r="I33" s="56"/>
      <c r="J33" s="56"/>
      <c r="K33" s="56"/>
      <c r="L33" s="57"/>
      <c r="BX33" s="55" t="s">
        <v>128</v>
      </c>
    </row>
    <row r="34">
      <c r="A34" s="9" t="s">
        <v>129</v>
      </c>
      <c r="B34" s="10" t="s">
        <v>53</v>
      </c>
      <c r="C34" s="10" t="s">
        <v>130</v>
      </c>
      <c r="D34" s="14" t="s">
        <v>131</v>
      </c>
      <c r="E34" s="10"/>
      <c r="F34" s="10" t="s">
        <v>132</v>
      </c>
      <c r="G34" s="50" t="n">
        <v>120</v>
      </c>
      <c r="H34" s="50" t="n">
        <v>0</v>
      </c>
      <c r="I34" s="50">
        <f>ROUND(G34*AO34,2)</f>
      </c>
      <c r="J34" s="50">
        <f>ROUND(G34*AP34,2)</f>
      </c>
      <c r="K34" s="50">
        <f>ROUND(G34*H34,2)</f>
      </c>
      <c r="L34" s="51" t="s">
        <v>61</v>
      </c>
      <c r="Z34" s="50">
        <f>ROUND(IF(AQ34="5",BJ34,0),2)</f>
      </c>
      <c r="AB34" s="50">
        <f>ROUND(IF(AQ34="1",BH34,0),2)</f>
      </c>
      <c r="AC34" s="50">
        <f>ROUND(IF(AQ34="1",BI34,0),2)</f>
      </c>
      <c r="AD34" s="50">
        <f>ROUND(IF(AQ34="7",BH34,0),2)</f>
      </c>
      <c r="AE34" s="50">
        <f>ROUND(IF(AQ34="7",BI34,0),2)</f>
      </c>
      <c r="AF34" s="50">
        <f>ROUND(IF(AQ34="2",BH34,0),2)</f>
      </c>
      <c r="AG34" s="50">
        <f>ROUND(IF(AQ34="2",BI34,0),2)</f>
      </c>
      <c r="AH34" s="50">
        <f>ROUND(IF(AQ34="0",BJ34,0),2)</f>
      </c>
      <c r="AI34" s="28" t="s">
        <v>53</v>
      </c>
      <c r="AJ34" s="50">
        <f>IF(AN34=0,K34,0)</f>
      </c>
      <c r="AK34" s="50">
        <f>IF(AN34=12,K34,0)</f>
      </c>
      <c r="AL34" s="50">
        <f>IF(AN34=21,K34,0)</f>
      </c>
      <c r="AN34" s="50" t="n">
        <v>21</v>
      </c>
      <c r="AO34" s="50">
        <f>H34*1</f>
      </c>
      <c r="AP34" s="50">
        <f>H34*(1-1)</f>
      </c>
      <c r="AQ34" s="52" t="s">
        <v>124</v>
      </c>
      <c r="AV34" s="50">
        <f>ROUND(AW34+AX34,2)</f>
      </c>
      <c r="AW34" s="50">
        <f>ROUND(G34*AO34,2)</f>
      </c>
      <c r="AX34" s="50">
        <f>ROUND(G34*AP34,2)</f>
      </c>
      <c r="AY34" s="52" t="s">
        <v>125</v>
      </c>
      <c r="AZ34" s="52" t="s">
        <v>126</v>
      </c>
      <c r="BA34" s="28" t="s">
        <v>64</v>
      </c>
      <c r="BC34" s="50">
        <f>AW34+AX34</f>
      </c>
      <c r="BD34" s="50">
        <f>H34/(100-BE34)*100</f>
      </c>
      <c r="BE34" s="50" t="n">
        <v>0</v>
      </c>
      <c r="BF34" s="50">
        <f>34</f>
      </c>
      <c r="BH34" s="50">
        <f>G34*AO34</f>
      </c>
      <c r="BI34" s="50">
        <f>G34*AP34</f>
      </c>
      <c r="BJ34" s="50">
        <f>G34*H34</f>
      </c>
      <c r="BK34" s="52" t="s">
        <v>118</v>
      </c>
      <c r="BL34" s="50"/>
      <c r="BW34" s="50" t="n">
        <v>21</v>
      </c>
      <c r="BX34" s="14" t="s">
        <v>131</v>
      </c>
    </row>
    <row r="35">
      <c r="A35" s="53"/>
      <c r="C35" s="54" t="s">
        <v>127</v>
      </c>
      <c r="D35" s="55" t="s">
        <v>133</v>
      </c>
      <c r="E35" s="56"/>
      <c r="F35" s="56"/>
      <c r="G35" s="56"/>
      <c r="H35" s="56"/>
      <c r="I35" s="56"/>
      <c r="J35" s="56"/>
      <c r="K35" s="56"/>
      <c r="L35" s="57"/>
      <c r="BX35" s="55" t="s">
        <v>133</v>
      </c>
    </row>
    <row r="36">
      <c r="A36" s="9" t="s">
        <v>134</v>
      </c>
      <c r="B36" s="10" t="s">
        <v>53</v>
      </c>
      <c r="C36" s="10" t="s">
        <v>135</v>
      </c>
      <c r="D36" s="14" t="s">
        <v>136</v>
      </c>
      <c r="E36" s="10"/>
      <c r="F36" s="10" t="s">
        <v>80</v>
      </c>
      <c r="G36" s="50" t="n">
        <v>12</v>
      </c>
      <c r="H36" s="50" t="n">
        <v>0</v>
      </c>
      <c r="I36" s="50">
        <f>ROUND(G36*AO36,2)</f>
      </c>
      <c r="J36" s="50">
        <f>ROUND(G36*AP36,2)</f>
      </c>
      <c r="K36" s="50">
        <f>ROUND(G36*H36,2)</f>
      </c>
      <c r="L36" s="51" t="s">
        <v>123</v>
      </c>
      <c r="Z36" s="50">
        <f>ROUND(IF(AQ36="5",BJ36,0),2)</f>
      </c>
      <c r="AB36" s="50">
        <f>ROUND(IF(AQ36="1",BH36,0),2)</f>
      </c>
      <c r="AC36" s="50">
        <f>ROUND(IF(AQ36="1",BI36,0),2)</f>
      </c>
      <c r="AD36" s="50">
        <f>ROUND(IF(AQ36="7",BH36,0),2)</f>
      </c>
      <c r="AE36" s="50">
        <f>ROUND(IF(AQ36="7",BI36,0),2)</f>
      </c>
      <c r="AF36" s="50">
        <f>ROUND(IF(AQ36="2",BH36,0),2)</f>
      </c>
      <c r="AG36" s="50">
        <f>ROUND(IF(AQ36="2",BI36,0),2)</f>
      </c>
      <c r="AH36" s="50">
        <f>ROUND(IF(AQ36="0",BJ36,0),2)</f>
      </c>
      <c r="AI36" s="28" t="s">
        <v>53</v>
      </c>
      <c r="AJ36" s="50">
        <f>IF(AN36=0,K36,0)</f>
      </c>
      <c r="AK36" s="50">
        <f>IF(AN36=12,K36,0)</f>
      </c>
      <c r="AL36" s="50">
        <f>IF(AN36=21,K36,0)</f>
      </c>
      <c r="AN36" s="50" t="n">
        <v>21</v>
      </c>
      <c r="AO36" s="50">
        <f>H36*1</f>
      </c>
      <c r="AP36" s="50">
        <f>H36*(1-1)</f>
      </c>
      <c r="AQ36" s="52" t="s">
        <v>124</v>
      </c>
      <c r="AV36" s="50">
        <f>ROUND(AW36+AX36,2)</f>
      </c>
      <c r="AW36" s="50">
        <f>ROUND(G36*AO36,2)</f>
      </c>
      <c r="AX36" s="50">
        <f>ROUND(G36*AP36,2)</f>
      </c>
      <c r="AY36" s="52" t="s">
        <v>125</v>
      </c>
      <c r="AZ36" s="52" t="s">
        <v>126</v>
      </c>
      <c r="BA36" s="28" t="s">
        <v>64</v>
      </c>
      <c r="BC36" s="50">
        <f>AW36+AX36</f>
      </c>
      <c r="BD36" s="50">
        <f>H36/(100-BE36)*100</f>
      </c>
      <c r="BE36" s="50" t="n">
        <v>0</v>
      </c>
      <c r="BF36" s="50">
        <f>36</f>
      </c>
      <c r="BH36" s="50">
        <f>G36*AO36</f>
      </c>
      <c r="BI36" s="50">
        <f>G36*AP36</f>
      </c>
      <c r="BJ36" s="50">
        <f>G36*H36</f>
      </c>
      <c r="BK36" s="52" t="s">
        <v>118</v>
      </c>
      <c r="BL36" s="50"/>
      <c r="BW36" s="50" t="n">
        <v>21</v>
      </c>
      <c r="BX36" s="14" t="s">
        <v>136</v>
      </c>
    </row>
    <row r="37">
      <c r="A37" s="53"/>
      <c r="C37" s="54" t="s">
        <v>127</v>
      </c>
      <c r="D37" s="55" t="s">
        <v>137</v>
      </c>
      <c r="E37" s="56"/>
      <c r="F37" s="56"/>
      <c r="G37" s="56"/>
      <c r="H37" s="56"/>
      <c r="I37" s="56"/>
      <c r="J37" s="56"/>
      <c r="K37" s="56"/>
      <c r="L37" s="57"/>
      <c r="BX37" s="55" t="s">
        <v>137</v>
      </c>
    </row>
    <row r="38">
      <c r="A38" s="9" t="s">
        <v>138</v>
      </c>
      <c r="B38" s="10" t="s">
        <v>53</v>
      </c>
      <c r="C38" s="10" t="s">
        <v>139</v>
      </c>
      <c r="D38" s="14" t="s">
        <v>140</v>
      </c>
      <c r="E38" s="10"/>
      <c r="F38" s="10" t="s">
        <v>80</v>
      </c>
      <c r="G38" s="50" t="n">
        <v>12</v>
      </c>
      <c r="H38" s="50" t="n">
        <v>0</v>
      </c>
      <c r="I38" s="50">
        <f>ROUND(G38*AO38,2)</f>
      </c>
      <c r="J38" s="50">
        <f>ROUND(G38*AP38,2)</f>
      </c>
      <c r="K38" s="50">
        <f>ROUND(G38*H38,2)</f>
      </c>
      <c r="L38" s="51" t="s">
        <v>123</v>
      </c>
      <c r="Z38" s="50">
        <f>ROUND(IF(AQ38="5",BJ38,0),2)</f>
      </c>
      <c r="AB38" s="50">
        <f>ROUND(IF(AQ38="1",BH38,0),2)</f>
      </c>
      <c r="AC38" s="50">
        <f>ROUND(IF(AQ38="1",BI38,0),2)</f>
      </c>
      <c r="AD38" s="50">
        <f>ROUND(IF(AQ38="7",BH38,0),2)</f>
      </c>
      <c r="AE38" s="50">
        <f>ROUND(IF(AQ38="7",BI38,0),2)</f>
      </c>
      <c r="AF38" s="50">
        <f>ROUND(IF(AQ38="2",BH38,0),2)</f>
      </c>
      <c r="AG38" s="50">
        <f>ROUND(IF(AQ38="2",BI38,0),2)</f>
      </c>
      <c r="AH38" s="50">
        <f>ROUND(IF(AQ38="0",BJ38,0),2)</f>
      </c>
      <c r="AI38" s="28" t="s">
        <v>53</v>
      </c>
      <c r="AJ38" s="50">
        <f>IF(AN38=0,K38,0)</f>
      </c>
      <c r="AK38" s="50">
        <f>IF(AN38=12,K38,0)</f>
      </c>
      <c r="AL38" s="50">
        <f>IF(AN38=21,K38,0)</f>
      </c>
      <c r="AN38" s="50" t="n">
        <v>21</v>
      </c>
      <c r="AO38" s="50">
        <f>H38*1</f>
      </c>
      <c r="AP38" s="50">
        <f>H38*(1-1)</f>
      </c>
      <c r="AQ38" s="52" t="s">
        <v>124</v>
      </c>
      <c r="AV38" s="50">
        <f>ROUND(AW38+AX38,2)</f>
      </c>
      <c r="AW38" s="50">
        <f>ROUND(G38*AO38,2)</f>
      </c>
      <c r="AX38" s="50">
        <f>ROUND(G38*AP38,2)</f>
      </c>
      <c r="AY38" s="52" t="s">
        <v>125</v>
      </c>
      <c r="AZ38" s="52" t="s">
        <v>126</v>
      </c>
      <c r="BA38" s="28" t="s">
        <v>64</v>
      </c>
      <c r="BC38" s="50">
        <f>AW38+AX38</f>
      </c>
      <c r="BD38" s="50">
        <f>H38/(100-BE38)*100</f>
      </c>
      <c r="BE38" s="50" t="n">
        <v>0</v>
      </c>
      <c r="BF38" s="50">
        <f>38</f>
      </c>
      <c r="BH38" s="50">
        <f>G38*AO38</f>
      </c>
      <c r="BI38" s="50">
        <f>G38*AP38</f>
      </c>
      <c r="BJ38" s="50">
        <f>G38*H38</f>
      </c>
      <c r="BK38" s="52" t="s">
        <v>118</v>
      </c>
      <c r="BL38" s="50"/>
      <c r="BW38" s="50" t="n">
        <v>21</v>
      </c>
      <c r="BX38" s="14" t="s">
        <v>140</v>
      </c>
    </row>
    <row r="39" ht="60.75">
      <c r="A39" s="53"/>
      <c r="C39" s="54" t="s">
        <v>127</v>
      </c>
      <c r="D39" s="55" t="s">
        <v>141</v>
      </c>
      <c r="E39" s="56"/>
      <c r="F39" s="56"/>
      <c r="G39" s="56"/>
      <c r="H39" s="56"/>
      <c r="I39" s="56"/>
      <c r="J39" s="56"/>
      <c r="K39" s="56"/>
      <c r="L39" s="57"/>
      <c r="BX39" s="55" t="s">
        <v>141</v>
      </c>
    </row>
    <row r="40">
      <c r="A40" s="9" t="s">
        <v>55</v>
      </c>
      <c r="B40" s="10" t="s">
        <v>53</v>
      </c>
      <c r="C40" s="10" t="s">
        <v>142</v>
      </c>
      <c r="D40" s="14" t="s">
        <v>143</v>
      </c>
      <c r="E40" s="10"/>
      <c r="F40" s="10" t="s">
        <v>60</v>
      </c>
      <c r="G40" s="50" t="n">
        <v>8</v>
      </c>
      <c r="H40" s="50" t="n">
        <v>0</v>
      </c>
      <c r="I40" s="50">
        <f>ROUND(G40*AO40,2)</f>
      </c>
      <c r="J40" s="50">
        <f>ROUND(G40*AP40,2)</f>
      </c>
      <c r="K40" s="50">
        <f>ROUND(G40*H40,2)</f>
      </c>
      <c r="L40" s="51" t="s">
        <v>61</v>
      </c>
      <c r="Z40" s="50">
        <f>ROUND(IF(AQ40="5",BJ40,0),2)</f>
      </c>
      <c r="AB40" s="50">
        <f>ROUND(IF(AQ40="1",BH40,0),2)</f>
      </c>
      <c r="AC40" s="50">
        <f>ROUND(IF(AQ40="1",BI40,0),2)</f>
      </c>
      <c r="AD40" s="50">
        <f>ROUND(IF(AQ40="7",BH40,0),2)</f>
      </c>
      <c r="AE40" s="50">
        <f>ROUND(IF(AQ40="7",BI40,0),2)</f>
      </c>
      <c r="AF40" s="50">
        <f>ROUND(IF(AQ40="2",BH40,0),2)</f>
      </c>
      <c r="AG40" s="50">
        <f>ROUND(IF(AQ40="2",BI40,0),2)</f>
      </c>
      <c r="AH40" s="50">
        <f>ROUND(IF(AQ40="0",BJ40,0),2)</f>
      </c>
      <c r="AI40" s="28" t="s">
        <v>53</v>
      </c>
      <c r="AJ40" s="50">
        <f>IF(AN40=0,K40,0)</f>
      </c>
      <c r="AK40" s="50">
        <f>IF(AN40=12,K40,0)</f>
      </c>
      <c r="AL40" s="50">
        <f>IF(AN40=21,K40,0)</f>
      </c>
      <c r="AN40" s="50" t="n">
        <v>21</v>
      </c>
      <c r="AO40" s="50">
        <f>H40*1</f>
      </c>
      <c r="AP40" s="50">
        <f>H40*(1-1)</f>
      </c>
      <c r="AQ40" s="52" t="s">
        <v>124</v>
      </c>
      <c r="AV40" s="50">
        <f>ROUND(AW40+AX40,2)</f>
      </c>
      <c r="AW40" s="50">
        <f>ROUND(G40*AO40,2)</f>
      </c>
      <c r="AX40" s="50">
        <f>ROUND(G40*AP40,2)</f>
      </c>
      <c r="AY40" s="52" t="s">
        <v>125</v>
      </c>
      <c r="AZ40" s="52" t="s">
        <v>126</v>
      </c>
      <c r="BA40" s="28" t="s">
        <v>64</v>
      </c>
      <c r="BC40" s="50">
        <f>AW40+AX40</f>
      </c>
      <c r="BD40" s="50">
        <f>H40/(100-BE40)*100</f>
      </c>
      <c r="BE40" s="50" t="n">
        <v>0</v>
      </c>
      <c r="BF40" s="50">
        <f>40</f>
      </c>
      <c r="BH40" s="50">
        <f>G40*AO40</f>
      </c>
      <c r="BI40" s="50">
        <f>G40*AP40</f>
      </c>
      <c r="BJ40" s="50">
        <f>G40*H40</f>
      </c>
      <c r="BK40" s="52" t="s">
        <v>118</v>
      </c>
      <c r="BL40" s="50"/>
      <c r="BW40" s="50" t="n">
        <v>21</v>
      </c>
      <c r="BX40" s="14" t="s">
        <v>143</v>
      </c>
    </row>
    <row r="41">
      <c r="A41" s="53"/>
      <c r="C41" s="54" t="s">
        <v>127</v>
      </c>
      <c r="D41" s="55" t="s">
        <v>144</v>
      </c>
      <c r="E41" s="56"/>
      <c r="F41" s="56"/>
      <c r="G41" s="56"/>
      <c r="H41" s="56"/>
      <c r="I41" s="56"/>
      <c r="J41" s="56"/>
      <c r="K41" s="56"/>
      <c r="L41" s="57"/>
      <c r="BX41" s="55" t="s">
        <v>144</v>
      </c>
    </row>
    <row r="42">
      <c r="A42" s="9" t="s">
        <v>145</v>
      </c>
      <c r="B42" s="10" t="s">
        <v>53</v>
      </c>
      <c r="C42" s="10" t="s">
        <v>146</v>
      </c>
      <c r="D42" s="14" t="s">
        <v>147</v>
      </c>
      <c r="E42" s="10"/>
      <c r="F42" s="10" t="s">
        <v>95</v>
      </c>
      <c r="G42" s="50" t="n">
        <v>182</v>
      </c>
      <c r="H42" s="50" t="n">
        <v>0</v>
      </c>
      <c r="I42" s="50">
        <f>ROUND(G42*AO42,2)</f>
      </c>
      <c r="J42" s="50">
        <f>ROUND(G42*AP42,2)</f>
      </c>
      <c r="K42" s="50">
        <f>ROUND(G42*H42,2)</f>
      </c>
      <c r="L42" s="51" t="s">
        <v>61</v>
      </c>
      <c r="Z42" s="50">
        <f>ROUND(IF(AQ42="5",BJ42,0),2)</f>
      </c>
      <c r="AB42" s="50">
        <f>ROUND(IF(AQ42="1",BH42,0),2)</f>
      </c>
      <c r="AC42" s="50">
        <f>ROUND(IF(AQ42="1",BI42,0),2)</f>
      </c>
      <c r="AD42" s="50">
        <f>ROUND(IF(AQ42="7",BH42,0),2)</f>
      </c>
      <c r="AE42" s="50">
        <f>ROUND(IF(AQ42="7",BI42,0),2)</f>
      </c>
      <c r="AF42" s="50">
        <f>ROUND(IF(AQ42="2",BH42,0),2)</f>
      </c>
      <c r="AG42" s="50">
        <f>ROUND(IF(AQ42="2",BI42,0),2)</f>
      </c>
      <c r="AH42" s="50">
        <f>ROUND(IF(AQ42="0",BJ42,0),2)</f>
      </c>
      <c r="AI42" s="28" t="s">
        <v>53</v>
      </c>
      <c r="AJ42" s="50">
        <f>IF(AN42=0,K42,0)</f>
      </c>
      <c r="AK42" s="50">
        <f>IF(AN42=12,K42,0)</f>
      </c>
      <c r="AL42" s="50">
        <f>IF(AN42=21,K42,0)</f>
      </c>
      <c r="AN42" s="50" t="n">
        <v>21</v>
      </c>
      <c r="AO42" s="50">
        <f>H42*1</f>
      </c>
      <c r="AP42" s="50">
        <f>H42*(1-1)</f>
      </c>
      <c r="AQ42" s="52" t="s">
        <v>124</v>
      </c>
      <c r="AV42" s="50">
        <f>ROUND(AW42+AX42,2)</f>
      </c>
      <c r="AW42" s="50">
        <f>ROUND(G42*AO42,2)</f>
      </c>
      <c r="AX42" s="50">
        <f>ROUND(G42*AP42,2)</f>
      </c>
      <c r="AY42" s="52" t="s">
        <v>125</v>
      </c>
      <c r="AZ42" s="52" t="s">
        <v>126</v>
      </c>
      <c r="BA42" s="28" t="s">
        <v>64</v>
      </c>
      <c r="BC42" s="50">
        <f>AW42+AX42</f>
      </c>
      <c r="BD42" s="50">
        <f>H42/(100-BE42)*100</f>
      </c>
      <c r="BE42" s="50" t="n">
        <v>0</v>
      </c>
      <c r="BF42" s="50">
        <f>42</f>
      </c>
      <c r="BH42" s="50">
        <f>G42*AO42</f>
      </c>
      <c r="BI42" s="50">
        <f>G42*AP42</f>
      </c>
      <c r="BJ42" s="50">
        <f>G42*H42</f>
      </c>
      <c r="BK42" s="52" t="s">
        <v>118</v>
      </c>
      <c r="BL42" s="50"/>
      <c r="BW42" s="50" t="n">
        <v>21</v>
      </c>
      <c r="BX42" s="14" t="s">
        <v>147</v>
      </c>
    </row>
    <row r="43" ht="24.75">
      <c r="A43" s="53"/>
      <c r="C43" s="54" t="s">
        <v>127</v>
      </c>
      <c r="D43" s="55" t="s">
        <v>148</v>
      </c>
      <c r="E43" s="56"/>
      <c r="F43" s="56"/>
      <c r="G43" s="56"/>
      <c r="H43" s="56"/>
      <c r="I43" s="56"/>
      <c r="J43" s="56"/>
      <c r="K43" s="56"/>
      <c r="L43" s="57"/>
      <c r="BX43" s="55" t="s">
        <v>148</v>
      </c>
    </row>
    <row r="44">
      <c r="A44" s="9" t="s">
        <v>149</v>
      </c>
      <c r="B44" s="10" t="s">
        <v>53</v>
      </c>
      <c r="C44" s="10" t="s">
        <v>150</v>
      </c>
      <c r="D44" s="14" t="s">
        <v>151</v>
      </c>
      <c r="E44" s="10"/>
      <c r="F44" s="10" t="s">
        <v>95</v>
      </c>
      <c r="G44" s="50" t="n">
        <v>182</v>
      </c>
      <c r="H44" s="50" t="n">
        <v>0</v>
      </c>
      <c r="I44" s="50">
        <f>ROUND(G44*AO44,2)</f>
      </c>
      <c r="J44" s="50">
        <f>ROUND(G44*AP44,2)</f>
      </c>
      <c r="K44" s="50">
        <f>ROUND(G44*H44,2)</f>
      </c>
      <c r="L44" s="51" t="s">
        <v>61</v>
      </c>
      <c r="Z44" s="50">
        <f>ROUND(IF(AQ44="5",BJ44,0),2)</f>
      </c>
      <c r="AB44" s="50">
        <f>ROUND(IF(AQ44="1",BH44,0),2)</f>
      </c>
      <c r="AC44" s="50">
        <f>ROUND(IF(AQ44="1",BI44,0),2)</f>
      </c>
      <c r="AD44" s="50">
        <f>ROUND(IF(AQ44="7",BH44,0),2)</f>
      </c>
      <c r="AE44" s="50">
        <f>ROUND(IF(AQ44="7",BI44,0),2)</f>
      </c>
      <c r="AF44" s="50">
        <f>ROUND(IF(AQ44="2",BH44,0),2)</f>
      </c>
      <c r="AG44" s="50">
        <f>ROUND(IF(AQ44="2",BI44,0),2)</f>
      </c>
      <c r="AH44" s="50">
        <f>ROUND(IF(AQ44="0",BJ44,0),2)</f>
      </c>
      <c r="AI44" s="28" t="s">
        <v>53</v>
      </c>
      <c r="AJ44" s="50">
        <f>IF(AN44=0,K44,0)</f>
      </c>
      <c r="AK44" s="50">
        <f>IF(AN44=12,K44,0)</f>
      </c>
      <c r="AL44" s="50">
        <f>IF(AN44=21,K44,0)</f>
      </c>
      <c r="AN44" s="50" t="n">
        <v>21</v>
      </c>
      <c r="AO44" s="50">
        <f>H44*1</f>
      </c>
      <c r="AP44" s="50">
        <f>H44*(1-1)</f>
      </c>
      <c r="AQ44" s="52" t="s">
        <v>124</v>
      </c>
      <c r="AV44" s="50">
        <f>ROUND(AW44+AX44,2)</f>
      </c>
      <c r="AW44" s="50">
        <f>ROUND(G44*AO44,2)</f>
      </c>
      <c r="AX44" s="50">
        <f>ROUND(G44*AP44,2)</f>
      </c>
      <c r="AY44" s="52" t="s">
        <v>125</v>
      </c>
      <c r="AZ44" s="52" t="s">
        <v>126</v>
      </c>
      <c r="BA44" s="28" t="s">
        <v>64</v>
      </c>
      <c r="BC44" s="50">
        <f>AW44+AX44</f>
      </c>
      <c r="BD44" s="50">
        <f>H44/(100-BE44)*100</f>
      </c>
      <c r="BE44" s="50" t="n">
        <v>0</v>
      </c>
      <c r="BF44" s="50">
        <f>44</f>
      </c>
      <c r="BH44" s="50">
        <f>G44*AO44</f>
      </c>
      <c r="BI44" s="50">
        <f>G44*AP44</f>
      </c>
      <c r="BJ44" s="50">
        <f>G44*H44</f>
      </c>
      <c r="BK44" s="52" t="s">
        <v>118</v>
      </c>
      <c r="BL44" s="50"/>
      <c r="BW44" s="50" t="n">
        <v>21</v>
      </c>
      <c r="BX44" s="14" t="s">
        <v>151</v>
      </c>
    </row>
    <row r="45" ht="84.75">
      <c r="A45" s="53"/>
      <c r="C45" s="54" t="s">
        <v>127</v>
      </c>
      <c r="D45" s="55" t="s">
        <v>152</v>
      </c>
      <c r="E45" s="56"/>
      <c r="F45" s="56"/>
      <c r="G45" s="56"/>
      <c r="H45" s="56"/>
      <c r="I45" s="56"/>
      <c r="J45" s="56"/>
      <c r="K45" s="56"/>
      <c r="L45" s="57"/>
      <c r="BX45" s="55" t="s">
        <v>152</v>
      </c>
    </row>
    <row r="46">
      <c r="A46" s="9" t="s">
        <v>153</v>
      </c>
      <c r="B46" s="10" t="s">
        <v>53</v>
      </c>
      <c r="C46" s="10" t="s">
        <v>154</v>
      </c>
      <c r="D46" s="14" t="s">
        <v>155</v>
      </c>
      <c r="E46" s="10"/>
      <c r="F46" s="10" t="s">
        <v>80</v>
      </c>
      <c r="G46" s="50" t="n">
        <v>12</v>
      </c>
      <c r="H46" s="50" t="n">
        <v>0</v>
      </c>
      <c r="I46" s="50">
        <f>ROUND(G46*AO46,2)</f>
      </c>
      <c r="J46" s="50">
        <f>ROUND(G46*AP46,2)</f>
      </c>
      <c r="K46" s="50">
        <f>ROUND(G46*H46,2)</f>
      </c>
      <c r="L46" s="51" t="s">
        <v>61</v>
      </c>
      <c r="Z46" s="50">
        <f>ROUND(IF(AQ46="5",BJ46,0),2)</f>
      </c>
      <c r="AB46" s="50">
        <f>ROUND(IF(AQ46="1",BH46,0),2)</f>
      </c>
      <c r="AC46" s="50">
        <f>ROUND(IF(AQ46="1",BI46,0),2)</f>
      </c>
      <c r="AD46" s="50">
        <f>ROUND(IF(AQ46="7",BH46,0),2)</f>
      </c>
      <c r="AE46" s="50">
        <f>ROUND(IF(AQ46="7",BI46,0),2)</f>
      </c>
      <c r="AF46" s="50">
        <f>ROUND(IF(AQ46="2",BH46,0),2)</f>
      </c>
      <c r="AG46" s="50">
        <f>ROUND(IF(AQ46="2",BI46,0),2)</f>
      </c>
      <c r="AH46" s="50">
        <f>ROUND(IF(AQ46="0",BJ46,0),2)</f>
      </c>
      <c r="AI46" s="28" t="s">
        <v>53</v>
      </c>
      <c r="AJ46" s="50">
        <f>IF(AN46=0,K46,0)</f>
      </c>
      <c r="AK46" s="50">
        <f>IF(AN46=12,K46,0)</f>
      </c>
      <c r="AL46" s="50">
        <f>IF(AN46=21,K46,0)</f>
      </c>
      <c r="AN46" s="50" t="n">
        <v>21</v>
      </c>
      <c r="AO46" s="50">
        <f>H46*1</f>
      </c>
      <c r="AP46" s="50">
        <f>H46*(1-1)</f>
      </c>
      <c r="AQ46" s="52" t="s">
        <v>124</v>
      </c>
      <c r="AV46" s="50">
        <f>ROUND(AW46+AX46,2)</f>
      </c>
      <c r="AW46" s="50">
        <f>ROUND(G46*AO46,2)</f>
      </c>
      <c r="AX46" s="50">
        <f>ROUND(G46*AP46,2)</f>
      </c>
      <c r="AY46" s="52" t="s">
        <v>125</v>
      </c>
      <c r="AZ46" s="52" t="s">
        <v>126</v>
      </c>
      <c r="BA46" s="28" t="s">
        <v>64</v>
      </c>
      <c r="BC46" s="50">
        <f>AW46+AX46</f>
      </c>
      <c r="BD46" s="50">
        <f>H46/(100-BE46)*100</f>
      </c>
      <c r="BE46" s="50" t="n">
        <v>0</v>
      </c>
      <c r="BF46" s="50">
        <f>46</f>
      </c>
      <c r="BH46" s="50">
        <f>G46*AO46</f>
      </c>
      <c r="BI46" s="50">
        <f>G46*AP46</f>
      </c>
      <c r="BJ46" s="50">
        <f>G46*H46</f>
      </c>
      <c r="BK46" s="52" t="s">
        <v>118</v>
      </c>
      <c r="BL46" s="50"/>
      <c r="BW46" s="50" t="n">
        <v>21</v>
      </c>
      <c r="BX46" s="14" t="s">
        <v>155</v>
      </c>
    </row>
    <row r="47">
      <c r="A47" s="53"/>
      <c r="C47" s="54" t="s">
        <v>127</v>
      </c>
      <c r="D47" s="55" t="s">
        <v>156</v>
      </c>
      <c r="E47" s="56"/>
      <c r="F47" s="56"/>
      <c r="G47" s="56"/>
      <c r="H47" s="56"/>
      <c r="I47" s="56"/>
      <c r="J47" s="56"/>
      <c r="K47" s="56"/>
      <c r="L47" s="57"/>
      <c r="BX47" s="55" t="s">
        <v>156</v>
      </c>
    </row>
    <row r="48">
      <c r="A48" s="45" t="s">
        <v>52</v>
      </c>
      <c r="B48" s="46" t="s">
        <v>53</v>
      </c>
      <c r="C48" s="46" t="s">
        <v>157</v>
      </c>
      <c r="D48" s="47" t="s">
        <v>158</v>
      </c>
      <c r="E48" s="46"/>
      <c r="F48" s="48" t="s">
        <v>8</v>
      </c>
      <c r="G48" s="48" t="s">
        <v>8</v>
      </c>
      <c r="H48" s="48" t="s">
        <v>8</v>
      </c>
      <c r="I48" s="2">
        <f>I49+I51+I53</f>
      </c>
      <c r="J48" s="2">
        <f>J49+J51+J53</f>
      </c>
      <c r="K48" s="2">
        <f>K49+K51+K53</f>
      </c>
      <c r="L48" s="49" t="s">
        <v>52</v>
      </c>
      <c r="AI48" s="28" t="s">
        <v>53</v>
      </c>
    </row>
    <row r="49">
      <c r="A49" s="45" t="s">
        <v>52</v>
      </c>
      <c r="B49" s="46" t="s">
        <v>53</v>
      </c>
      <c r="C49" s="46" t="s">
        <v>159</v>
      </c>
      <c r="D49" s="47" t="s">
        <v>160</v>
      </c>
      <c r="E49" s="46"/>
      <c r="F49" s="48" t="s">
        <v>8</v>
      </c>
      <c r="G49" s="48" t="s">
        <v>8</v>
      </c>
      <c r="H49" s="48" t="s">
        <v>8</v>
      </c>
      <c r="I49" s="2">
        <f>SUM(I50:I50)</f>
      </c>
      <c r="J49" s="2">
        <f>SUM(J50:J50)</f>
      </c>
      <c r="K49" s="2">
        <f>SUM(K50:K50)</f>
      </c>
      <c r="L49" s="49" t="s">
        <v>52</v>
      </c>
      <c r="AI49" s="28" t="s">
        <v>53</v>
      </c>
      <c r="AS49" s="2">
        <f>SUM(AJ50:AJ50)</f>
      </c>
      <c r="AT49" s="2">
        <f>SUM(AK50:AK50)</f>
      </c>
      <c r="AU49" s="2">
        <f>SUM(AL50:AL50)</f>
      </c>
    </row>
    <row r="50">
      <c r="A50" s="9" t="s">
        <v>161</v>
      </c>
      <c r="B50" s="10" t="s">
        <v>53</v>
      </c>
      <c r="C50" s="10" t="s">
        <v>162</v>
      </c>
      <c r="D50" s="14" t="s">
        <v>160</v>
      </c>
      <c r="E50" s="10"/>
      <c r="F50" s="10" t="s">
        <v>163</v>
      </c>
      <c r="G50" s="50" t="n">
        <v>1</v>
      </c>
      <c r="H50" s="50" t="n">
        <v>0</v>
      </c>
      <c r="I50" s="50">
        <f>ROUND(G50*AO50,2)</f>
      </c>
      <c r="J50" s="50">
        <f>ROUND(G50*AP50,2)</f>
      </c>
      <c r="K50" s="50">
        <f>ROUND(G50*H50,2)</f>
      </c>
      <c r="L50" s="51" t="s">
        <v>61</v>
      </c>
      <c r="Z50" s="50">
        <f>ROUND(IF(AQ50="5",BJ50,0),2)</f>
      </c>
      <c r="AB50" s="50">
        <f>ROUND(IF(AQ50="1",BH50,0),2)</f>
      </c>
      <c r="AC50" s="50">
        <f>ROUND(IF(AQ50="1",BI50,0),2)</f>
      </c>
      <c r="AD50" s="50">
        <f>ROUND(IF(AQ50="7",BH50,0),2)</f>
      </c>
      <c r="AE50" s="50">
        <f>ROUND(IF(AQ50="7",BI50,0),2)</f>
      </c>
      <c r="AF50" s="50">
        <f>ROUND(IF(AQ50="2",BH50,0),2)</f>
      </c>
      <c r="AG50" s="50">
        <f>ROUND(IF(AQ50="2",BI50,0),2)</f>
      </c>
      <c r="AH50" s="50">
        <f>ROUND(IF(AQ50="0",BJ50,0),2)</f>
      </c>
      <c r="AI50" s="28" t="s">
        <v>53</v>
      </c>
      <c r="AJ50" s="50">
        <f>IF(AN50=0,K50,0)</f>
      </c>
      <c r="AK50" s="50">
        <f>IF(AN50=12,K50,0)</f>
      </c>
      <c r="AL50" s="50">
        <f>IF(AN50=21,K50,0)</f>
      </c>
      <c r="AN50" s="50" t="n">
        <v>21</v>
      </c>
      <c r="AO50" s="50">
        <f>H50*0</f>
      </c>
      <c r="AP50" s="50">
        <f>H50*(1-0)</f>
      </c>
      <c r="AQ50" s="52" t="s">
        <v>164</v>
      </c>
      <c r="AV50" s="50">
        <f>ROUND(AW50+AX50,2)</f>
      </c>
      <c r="AW50" s="50">
        <f>ROUND(G50*AO50,2)</f>
      </c>
      <c r="AX50" s="50">
        <f>ROUND(G50*AP50,2)</f>
      </c>
      <c r="AY50" s="52" t="s">
        <v>165</v>
      </c>
      <c r="AZ50" s="52" t="s">
        <v>166</v>
      </c>
      <c r="BA50" s="28" t="s">
        <v>64</v>
      </c>
      <c r="BC50" s="50">
        <f>AW50+AX50</f>
      </c>
      <c r="BD50" s="50">
        <f>H50/(100-BE50)*100</f>
      </c>
      <c r="BE50" s="50" t="n">
        <v>0</v>
      </c>
      <c r="BF50" s="50">
        <f>50</f>
      </c>
      <c r="BH50" s="50">
        <f>G50*AO50</f>
      </c>
      <c r="BI50" s="50">
        <f>G50*AP50</f>
      </c>
      <c r="BJ50" s="50">
        <f>G50*H50</f>
      </c>
      <c r="BK50" s="52" t="s">
        <v>65</v>
      </c>
      <c r="BL50" s="50"/>
      <c r="BO50" s="50">
        <f>G50*H50</f>
      </c>
      <c r="BW50" s="50" t="n">
        <v>21</v>
      </c>
      <c r="BX50" s="14" t="s">
        <v>160</v>
      </c>
    </row>
    <row r="51">
      <c r="A51" s="45" t="s">
        <v>52</v>
      </c>
      <c r="B51" s="46" t="s">
        <v>53</v>
      </c>
      <c r="C51" s="46" t="s">
        <v>167</v>
      </c>
      <c r="D51" s="47" t="s">
        <v>168</v>
      </c>
      <c r="E51" s="46"/>
      <c r="F51" s="48" t="s">
        <v>8</v>
      </c>
      <c r="G51" s="48" t="s">
        <v>8</v>
      </c>
      <c r="H51" s="48" t="s">
        <v>8</v>
      </c>
      <c r="I51" s="2">
        <f>SUM(I52:I52)</f>
      </c>
      <c r="J51" s="2">
        <f>SUM(J52:J52)</f>
      </c>
      <c r="K51" s="2">
        <f>SUM(K52:K52)</f>
      </c>
      <c r="L51" s="49" t="s">
        <v>52</v>
      </c>
      <c r="AI51" s="28" t="s">
        <v>53</v>
      </c>
      <c r="AS51" s="2">
        <f>SUM(AJ52:AJ52)</f>
      </c>
      <c r="AT51" s="2">
        <f>SUM(AK52:AK52)</f>
      </c>
      <c r="AU51" s="2">
        <f>SUM(AL52:AL52)</f>
      </c>
    </row>
    <row r="52">
      <c r="A52" s="9" t="s">
        <v>169</v>
      </c>
      <c r="B52" s="10" t="s">
        <v>53</v>
      </c>
      <c r="C52" s="10" t="s">
        <v>170</v>
      </c>
      <c r="D52" s="14" t="s">
        <v>171</v>
      </c>
      <c r="E52" s="10"/>
      <c r="F52" s="10" t="s">
        <v>163</v>
      </c>
      <c r="G52" s="50" t="n">
        <v>1</v>
      </c>
      <c r="H52" s="50" t="n">
        <v>0</v>
      </c>
      <c r="I52" s="50">
        <f>ROUND(G52*AO52,2)</f>
      </c>
      <c r="J52" s="50">
        <f>ROUND(G52*AP52,2)</f>
      </c>
      <c r="K52" s="50">
        <f>ROUND(G52*H52,2)</f>
      </c>
      <c r="L52" s="51" t="s">
        <v>61</v>
      </c>
      <c r="Z52" s="50">
        <f>ROUND(IF(AQ52="5",BJ52,0),2)</f>
      </c>
      <c r="AB52" s="50">
        <f>ROUND(IF(AQ52="1",BH52,0),2)</f>
      </c>
      <c r="AC52" s="50">
        <f>ROUND(IF(AQ52="1",BI52,0),2)</f>
      </c>
      <c r="AD52" s="50">
        <f>ROUND(IF(AQ52="7",BH52,0),2)</f>
      </c>
      <c r="AE52" s="50">
        <f>ROUND(IF(AQ52="7",BI52,0),2)</f>
      </c>
      <c r="AF52" s="50">
        <f>ROUND(IF(AQ52="2",BH52,0),2)</f>
      </c>
      <c r="AG52" s="50">
        <f>ROUND(IF(AQ52="2",BI52,0),2)</f>
      </c>
      <c r="AH52" s="50">
        <f>ROUND(IF(AQ52="0",BJ52,0),2)</f>
      </c>
      <c r="AI52" s="28" t="s">
        <v>53</v>
      </c>
      <c r="AJ52" s="50">
        <f>IF(AN52=0,K52,0)</f>
      </c>
      <c r="AK52" s="50">
        <f>IF(AN52=12,K52,0)</f>
      </c>
      <c r="AL52" s="50">
        <f>IF(AN52=21,K52,0)</f>
      </c>
      <c r="AN52" s="50" t="n">
        <v>21</v>
      </c>
      <c r="AO52" s="50">
        <f>H52*0</f>
      </c>
      <c r="AP52" s="50">
        <f>H52*(1-0)</f>
      </c>
      <c r="AQ52" s="52" t="s">
        <v>164</v>
      </c>
      <c r="AV52" s="50">
        <f>ROUND(AW52+AX52,2)</f>
      </c>
      <c r="AW52" s="50">
        <f>ROUND(G52*AO52,2)</f>
      </c>
      <c r="AX52" s="50">
        <f>ROUND(G52*AP52,2)</f>
      </c>
      <c r="AY52" s="52" t="s">
        <v>172</v>
      </c>
      <c r="AZ52" s="52" t="s">
        <v>166</v>
      </c>
      <c r="BA52" s="28" t="s">
        <v>64</v>
      </c>
      <c r="BC52" s="50">
        <f>AW52+AX52</f>
      </c>
      <c r="BD52" s="50">
        <f>H52/(100-BE52)*100</f>
      </c>
      <c r="BE52" s="50" t="n">
        <v>0</v>
      </c>
      <c r="BF52" s="50">
        <f>52</f>
      </c>
      <c r="BH52" s="50">
        <f>G52*AO52</f>
      </c>
      <c r="BI52" s="50">
        <f>G52*AP52</f>
      </c>
      <c r="BJ52" s="50">
        <f>G52*H52</f>
      </c>
      <c r="BK52" s="52" t="s">
        <v>65</v>
      </c>
      <c r="BL52" s="50"/>
      <c r="BP52" s="50">
        <f>G52*H52</f>
      </c>
      <c r="BW52" s="50" t="n">
        <v>21</v>
      </c>
      <c r="BX52" s="14" t="s">
        <v>171</v>
      </c>
    </row>
    <row r="53">
      <c r="A53" s="45" t="s">
        <v>52</v>
      </c>
      <c r="B53" s="46" t="s">
        <v>53</v>
      </c>
      <c r="C53" s="46" t="s">
        <v>173</v>
      </c>
      <c r="D53" s="47" t="s">
        <v>174</v>
      </c>
      <c r="E53" s="46"/>
      <c r="F53" s="48" t="s">
        <v>8</v>
      </c>
      <c r="G53" s="48" t="s">
        <v>8</v>
      </c>
      <c r="H53" s="48" t="s">
        <v>8</v>
      </c>
      <c r="I53" s="2">
        <f>SUM(I54:I54)</f>
      </c>
      <c r="J53" s="2">
        <f>SUM(J54:J54)</f>
      </c>
      <c r="K53" s="2">
        <f>SUM(K54:K54)</f>
      </c>
      <c r="L53" s="49" t="s">
        <v>52</v>
      </c>
      <c r="AI53" s="28" t="s">
        <v>53</v>
      </c>
      <c r="AS53" s="2">
        <f>SUM(AJ54:AJ54)</f>
      </c>
      <c r="AT53" s="2">
        <f>SUM(AK54:AK54)</f>
      </c>
      <c r="AU53" s="2">
        <f>SUM(AL54:AL54)</f>
      </c>
    </row>
    <row r="54">
      <c r="A54" s="9" t="s">
        <v>175</v>
      </c>
      <c r="B54" s="10" t="s">
        <v>53</v>
      </c>
      <c r="C54" s="10" t="s">
        <v>176</v>
      </c>
      <c r="D54" s="14" t="s">
        <v>177</v>
      </c>
      <c r="E54" s="10"/>
      <c r="F54" s="10" t="s">
        <v>163</v>
      </c>
      <c r="G54" s="50" t="n">
        <v>1</v>
      </c>
      <c r="H54" s="50" t="n">
        <v>0</v>
      </c>
      <c r="I54" s="50">
        <f>ROUND(G54*AO54,2)</f>
      </c>
      <c r="J54" s="50">
        <f>ROUND(G54*AP54,2)</f>
      </c>
      <c r="K54" s="50">
        <f>ROUND(G54*H54,2)</f>
      </c>
      <c r="L54" s="51" t="s">
        <v>61</v>
      </c>
      <c r="Z54" s="50">
        <f>ROUND(IF(AQ54="5",BJ54,0),2)</f>
      </c>
      <c r="AB54" s="50">
        <f>ROUND(IF(AQ54="1",BH54,0),2)</f>
      </c>
      <c r="AC54" s="50">
        <f>ROUND(IF(AQ54="1",BI54,0),2)</f>
      </c>
      <c r="AD54" s="50">
        <f>ROUND(IF(AQ54="7",BH54,0),2)</f>
      </c>
      <c r="AE54" s="50">
        <f>ROUND(IF(AQ54="7",BI54,0),2)</f>
      </c>
      <c r="AF54" s="50">
        <f>ROUND(IF(AQ54="2",BH54,0),2)</f>
      </c>
      <c r="AG54" s="50">
        <f>ROUND(IF(AQ54="2",BI54,0),2)</f>
      </c>
      <c r="AH54" s="50">
        <f>ROUND(IF(AQ54="0",BJ54,0),2)</f>
      </c>
      <c r="AI54" s="28" t="s">
        <v>53</v>
      </c>
      <c r="AJ54" s="50">
        <f>IF(AN54=0,K54,0)</f>
      </c>
      <c r="AK54" s="50">
        <f>IF(AN54=12,K54,0)</f>
      </c>
      <c r="AL54" s="50">
        <f>IF(AN54=21,K54,0)</f>
      </c>
      <c r="AN54" s="50" t="n">
        <v>21</v>
      </c>
      <c r="AO54" s="50">
        <f>H54*0</f>
      </c>
      <c r="AP54" s="50">
        <f>H54*(1-0)</f>
      </c>
      <c r="AQ54" s="52" t="s">
        <v>164</v>
      </c>
      <c r="AV54" s="50">
        <f>ROUND(AW54+AX54,2)</f>
      </c>
      <c r="AW54" s="50">
        <f>ROUND(G54*AO54,2)</f>
      </c>
      <c r="AX54" s="50">
        <f>ROUND(G54*AP54,2)</f>
      </c>
      <c r="AY54" s="52" t="s">
        <v>178</v>
      </c>
      <c r="AZ54" s="52" t="s">
        <v>166</v>
      </c>
      <c r="BA54" s="28" t="s">
        <v>64</v>
      </c>
      <c r="BC54" s="50">
        <f>AW54+AX54</f>
      </c>
      <c r="BD54" s="50">
        <f>H54/(100-BE54)*100</f>
      </c>
      <c r="BE54" s="50" t="n">
        <v>0</v>
      </c>
      <c r="BF54" s="50">
        <f>54</f>
      </c>
      <c r="BH54" s="50">
        <f>G54*AO54</f>
      </c>
      <c r="BI54" s="50">
        <f>G54*AP54</f>
      </c>
      <c r="BJ54" s="50">
        <f>G54*H54</f>
      </c>
      <c r="BK54" s="52" t="s">
        <v>65</v>
      </c>
      <c r="BL54" s="50"/>
      <c r="BS54" s="50">
        <f>G54*H54</f>
      </c>
      <c r="BW54" s="50" t="n">
        <v>21</v>
      </c>
      <c r="BX54" s="14" t="s">
        <v>177</v>
      </c>
    </row>
    <row r="55">
      <c r="A55" s="45" t="s">
        <v>52</v>
      </c>
      <c r="B55" s="46" t="s">
        <v>179</v>
      </c>
      <c r="C55" s="46" t="s">
        <v>52</v>
      </c>
      <c r="D55" s="47" t="s">
        <v>180</v>
      </c>
      <c r="E55" s="46"/>
      <c r="F55" s="48" t="s">
        <v>8</v>
      </c>
      <c r="G55" s="48" t="s">
        <v>8</v>
      </c>
      <c r="H55" s="48" t="s">
        <v>8</v>
      </c>
      <c r="I55" s="2">
        <f>I56+I67+I69+I71+I74+I77+I82+I91+I104+I106+I108+I110+I112+I119+I128+I135+I137</f>
      </c>
      <c r="J55" s="2">
        <f>J56+J67+J69+J71+J74+J77+J82+J91+J104+J106+J108+J110+J112+J119+J128+J135+J137</f>
      </c>
      <c r="K55" s="2">
        <f>K56+K67+K69+K71+K74+K77+K82+K91+K104+K106+K108+K110+K112+K119+K128+K135+K137</f>
      </c>
      <c r="L55" s="49" t="s">
        <v>52</v>
      </c>
    </row>
    <row r="56">
      <c r="A56" s="45" t="s">
        <v>52</v>
      </c>
      <c r="B56" s="46" t="s">
        <v>179</v>
      </c>
      <c r="C56" s="46" t="s">
        <v>112</v>
      </c>
      <c r="D56" s="47" t="s">
        <v>181</v>
      </c>
      <c r="E56" s="46"/>
      <c r="F56" s="48" t="s">
        <v>8</v>
      </c>
      <c r="G56" s="48" t="s">
        <v>8</v>
      </c>
      <c r="H56" s="48" t="s">
        <v>8</v>
      </c>
      <c r="I56" s="2">
        <f>SUM(I57:I65)</f>
      </c>
      <c r="J56" s="2">
        <f>SUM(J57:J65)</f>
      </c>
      <c r="K56" s="2">
        <f>SUM(K57:K65)</f>
      </c>
      <c r="L56" s="49" t="s">
        <v>52</v>
      </c>
      <c r="AI56" s="28" t="s">
        <v>179</v>
      </c>
      <c r="AS56" s="2">
        <f>SUM(AJ57:AJ65)</f>
      </c>
      <c r="AT56" s="2">
        <f>SUM(AK57:AK65)</f>
      </c>
      <c r="AU56" s="2">
        <f>SUM(AL57:AL65)</f>
      </c>
    </row>
    <row r="57">
      <c r="A57" s="9" t="s">
        <v>182</v>
      </c>
      <c r="B57" s="10" t="s">
        <v>179</v>
      </c>
      <c r="C57" s="10" t="s">
        <v>183</v>
      </c>
      <c r="D57" s="14" t="s">
        <v>184</v>
      </c>
      <c r="E57" s="10"/>
      <c r="F57" s="10" t="s">
        <v>95</v>
      </c>
      <c r="G57" s="50" t="n">
        <v>179</v>
      </c>
      <c r="H57" s="50" t="n">
        <v>0</v>
      </c>
      <c r="I57" s="50">
        <f>ROUND(G57*AO57,2)</f>
      </c>
      <c r="J57" s="50">
        <f>ROUND(G57*AP57,2)</f>
      </c>
      <c r="K57" s="50">
        <f>ROUND(G57*H57,2)</f>
      </c>
      <c r="L57" s="51" t="s">
        <v>61</v>
      </c>
      <c r="Z57" s="50">
        <f>ROUND(IF(AQ57="5",BJ57,0),2)</f>
      </c>
      <c r="AB57" s="50">
        <f>ROUND(IF(AQ57="1",BH57,0),2)</f>
      </c>
      <c r="AC57" s="50">
        <f>ROUND(IF(AQ57="1",BI57,0),2)</f>
      </c>
      <c r="AD57" s="50">
        <f>ROUND(IF(AQ57="7",BH57,0),2)</f>
      </c>
      <c r="AE57" s="50">
        <f>ROUND(IF(AQ57="7",BI57,0),2)</f>
      </c>
      <c r="AF57" s="50">
        <f>ROUND(IF(AQ57="2",BH57,0),2)</f>
      </c>
      <c r="AG57" s="50">
        <f>ROUND(IF(AQ57="2",BI57,0),2)</f>
      </c>
      <c r="AH57" s="50">
        <f>ROUND(IF(AQ57="0",BJ57,0),2)</f>
      </c>
      <c r="AI57" s="28" t="s">
        <v>179</v>
      </c>
      <c r="AJ57" s="50">
        <f>IF(AN57=0,K57,0)</f>
      </c>
      <c r="AK57" s="50">
        <f>IF(AN57=12,K57,0)</f>
      </c>
      <c r="AL57" s="50">
        <f>IF(AN57=21,K57,0)</f>
      </c>
      <c r="AN57" s="50" t="n">
        <v>21</v>
      </c>
      <c r="AO57" s="50">
        <f>H57*0</f>
      </c>
      <c r="AP57" s="50">
        <f>H57*(1-0)</f>
      </c>
      <c r="AQ57" s="52" t="s">
        <v>57</v>
      </c>
      <c r="AV57" s="50">
        <f>ROUND(AW57+AX57,2)</f>
      </c>
      <c r="AW57" s="50">
        <f>ROUND(G57*AO57,2)</f>
      </c>
      <c r="AX57" s="50">
        <f>ROUND(G57*AP57,2)</f>
      </c>
      <c r="AY57" s="52" t="s">
        <v>185</v>
      </c>
      <c r="AZ57" s="52" t="s">
        <v>186</v>
      </c>
      <c r="BA57" s="28" t="s">
        <v>187</v>
      </c>
      <c r="BC57" s="50">
        <f>AW57+AX57</f>
      </c>
      <c r="BD57" s="50">
        <f>H57/(100-BE57)*100</f>
      </c>
      <c r="BE57" s="50" t="n">
        <v>0</v>
      </c>
      <c r="BF57" s="50">
        <f>57</f>
      </c>
      <c r="BH57" s="50">
        <f>G57*AO57</f>
      </c>
      <c r="BI57" s="50">
        <f>G57*AP57</f>
      </c>
      <c r="BJ57" s="50">
        <f>G57*H57</f>
      </c>
      <c r="BK57" s="52" t="s">
        <v>65</v>
      </c>
      <c r="BL57" s="50" t="n">
        <v>11</v>
      </c>
      <c r="BW57" s="50" t="n">
        <v>21</v>
      </c>
      <c r="BX57" s="14" t="s">
        <v>184</v>
      </c>
    </row>
    <row r="58" ht="24.75">
      <c r="A58" s="53"/>
      <c r="C58" s="54" t="s">
        <v>127</v>
      </c>
      <c r="D58" s="55" t="s">
        <v>188</v>
      </c>
      <c r="E58" s="56"/>
      <c r="F58" s="56"/>
      <c r="G58" s="56"/>
      <c r="H58" s="56"/>
      <c r="I58" s="56"/>
      <c r="J58" s="56"/>
      <c r="K58" s="56"/>
      <c r="L58" s="57"/>
      <c r="BX58" s="55" t="s">
        <v>188</v>
      </c>
    </row>
    <row r="59" customHeight="true" ht="13.5">
      <c r="A59" s="53"/>
      <c r="C59" s="54" t="s">
        <v>189</v>
      </c>
      <c r="D59" s="55" t="s">
        <v>190</v>
      </c>
      <c r="E59" s="56"/>
      <c r="F59" s="56"/>
      <c r="G59" s="56"/>
      <c r="H59" s="56"/>
      <c r="I59" s="56"/>
      <c r="J59" s="56"/>
      <c r="K59" s="56"/>
      <c r="L59" s="57"/>
    </row>
    <row r="60">
      <c r="A60" s="9" t="s">
        <v>191</v>
      </c>
      <c r="B60" s="10" t="s">
        <v>179</v>
      </c>
      <c r="C60" s="10" t="s">
        <v>183</v>
      </c>
      <c r="D60" s="14" t="s">
        <v>184</v>
      </c>
      <c r="E60" s="10"/>
      <c r="F60" s="10" t="s">
        <v>95</v>
      </c>
      <c r="G60" s="50" t="n">
        <v>288</v>
      </c>
      <c r="H60" s="50" t="n">
        <v>0</v>
      </c>
      <c r="I60" s="50">
        <f>ROUND(G60*AO60,2)</f>
      </c>
      <c r="J60" s="50">
        <f>ROUND(G60*AP60,2)</f>
      </c>
      <c r="K60" s="50">
        <f>ROUND(G60*H60,2)</f>
      </c>
      <c r="L60" s="51" t="s">
        <v>61</v>
      </c>
      <c r="Z60" s="50">
        <f>ROUND(IF(AQ60="5",BJ60,0),2)</f>
      </c>
      <c r="AB60" s="50">
        <f>ROUND(IF(AQ60="1",BH60,0),2)</f>
      </c>
      <c r="AC60" s="50">
        <f>ROUND(IF(AQ60="1",BI60,0),2)</f>
      </c>
      <c r="AD60" s="50">
        <f>ROUND(IF(AQ60="7",BH60,0),2)</f>
      </c>
      <c r="AE60" s="50">
        <f>ROUND(IF(AQ60="7",BI60,0),2)</f>
      </c>
      <c r="AF60" s="50">
        <f>ROUND(IF(AQ60="2",BH60,0),2)</f>
      </c>
      <c r="AG60" s="50">
        <f>ROUND(IF(AQ60="2",BI60,0),2)</f>
      </c>
      <c r="AH60" s="50">
        <f>ROUND(IF(AQ60="0",BJ60,0),2)</f>
      </c>
      <c r="AI60" s="28" t="s">
        <v>179</v>
      </c>
      <c r="AJ60" s="50">
        <f>IF(AN60=0,K60,0)</f>
      </c>
      <c r="AK60" s="50">
        <f>IF(AN60=12,K60,0)</f>
      </c>
      <c r="AL60" s="50">
        <f>IF(AN60=21,K60,0)</f>
      </c>
      <c r="AN60" s="50" t="n">
        <v>21</v>
      </c>
      <c r="AO60" s="50">
        <f>H60*0</f>
      </c>
      <c r="AP60" s="50">
        <f>H60*(1-0)</f>
      </c>
      <c r="AQ60" s="52" t="s">
        <v>57</v>
      </c>
      <c r="AV60" s="50">
        <f>ROUND(AW60+AX60,2)</f>
      </c>
      <c r="AW60" s="50">
        <f>ROUND(G60*AO60,2)</f>
      </c>
      <c r="AX60" s="50">
        <f>ROUND(G60*AP60,2)</f>
      </c>
      <c r="AY60" s="52" t="s">
        <v>185</v>
      </c>
      <c r="AZ60" s="52" t="s">
        <v>186</v>
      </c>
      <c r="BA60" s="28" t="s">
        <v>187</v>
      </c>
      <c r="BC60" s="50">
        <f>AW60+AX60</f>
      </c>
      <c r="BD60" s="50">
        <f>H60/(100-BE60)*100</f>
      </c>
      <c r="BE60" s="50" t="n">
        <v>0</v>
      </c>
      <c r="BF60" s="50">
        <f>60</f>
      </c>
      <c r="BH60" s="50">
        <f>G60*AO60</f>
      </c>
      <c r="BI60" s="50">
        <f>G60*AP60</f>
      </c>
      <c r="BJ60" s="50">
        <f>G60*H60</f>
      </c>
      <c r="BK60" s="52" t="s">
        <v>65</v>
      </c>
      <c r="BL60" s="50" t="n">
        <v>11</v>
      </c>
      <c r="BW60" s="50" t="n">
        <v>21</v>
      </c>
      <c r="BX60" s="14" t="s">
        <v>184</v>
      </c>
    </row>
    <row r="61" ht="24.75">
      <c r="A61" s="53"/>
      <c r="C61" s="54" t="s">
        <v>127</v>
      </c>
      <c r="D61" s="55" t="s">
        <v>188</v>
      </c>
      <c r="E61" s="56"/>
      <c r="F61" s="56"/>
      <c r="G61" s="56"/>
      <c r="H61" s="56"/>
      <c r="I61" s="56"/>
      <c r="J61" s="56"/>
      <c r="K61" s="56"/>
      <c r="L61" s="57"/>
      <c r="BX61" s="55" t="s">
        <v>188</v>
      </c>
    </row>
    <row r="62">
      <c r="A62" s="9" t="s">
        <v>192</v>
      </c>
      <c r="B62" s="10" t="s">
        <v>179</v>
      </c>
      <c r="C62" s="10" t="s">
        <v>193</v>
      </c>
      <c r="D62" s="14" t="s">
        <v>194</v>
      </c>
      <c r="E62" s="10"/>
      <c r="F62" s="10" t="s">
        <v>195</v>
      </c>
      <c r="G62" s="50" t="n">
        <v>2500</v>
      </c>
      <c r="H62" s="50" t="n">
        <v>0</v>
      </c>
      <c r="I62" s="50">
        <f>ROUND(G62*AO62,2)</f>
      </c>
      <c r="J62" s="50">
        <f>ROUND(G62*AP62,2)</f>
      </c>
      <c r="K62" s="50">
        <f>ROUND(G62*H62,2)</f>
      </c>
      <c r="L62" s="51" t="s">
        <v>61</v>
      </c>
      <c r="Z62" s="50">
        <f>ROUND(IF(AQ62="5",BJ62,0),2)</f>
      </c>
      <c r="AB62" s="50">
        <f>ROUND(IF(AQ62="1",BH62,0),2)</f>
      </c>
      <c r="AC62" s="50">
        <f>ROUND(IF(AQ62="1",BI62,0),2)</f>
      </c>
      <c r="AD62" s="50">
        <f>ROUND(IF(AQ62="7",BH62,0),2)</f>
      </c>
      <c r="AE62" s="50">
        <f>ROUND(IF(AQ62="7",BI62,0),2)</f>
      </c>
      <c r="AF62" s="50">
        <f>ROUND(IF(AQ62="2",BH62,0),2)</f>
      </c>
      <c r="AG62" s="50">
        <f>ROUND(IF(AQ62="2",BI62,0),2)</f>
      </c>
      <c r="AH62" s="50">
        <f>ROUND(IF(AQ62="0",BJ62,0),2)</f>
      </c>
      <c r="AI62" s="28" t="s">
        <v>179</v>
      </c>
      <c r="AJ62" s="50">
        <f>IF(AN62=0,K62,0)</f>
      </c>
      <c r="AK62" s="50">
        <f>IF(AN62=12,K62,0)</f>
      </c>
      <c r="AL62" s="50">
        <f>IF(AN62=21,K62,0)</f>
      </c>
      <c r="AN62" s="50" t="n">
        <v>21</v>
      </c>
      <c r="AO62" s="50">
        <f>H62*0</f>
      </c>
      <c r="AP62" s="50">
        <f>H62*(1-0)</f>
      </c>
      <c r="AQ62" s="52" t="s">
        <v>57</v>
      </c>
      <c r="AV62" s="50">
        <f>ROUND(AW62+AX62,2)</f>
      </c>
      <c r="AW62" s="50">
        <f>ROUND(G62*AO62,2)</f>
      </c>
      <c r="AX62" s="50">
        <f>ROUND(G62*AP62,2)</f>
      </c>
      <c r="AY62" s="52" t="s">
        <v>185</v>
      </c>
      <c r="AZ62" s="52" t="s">
        <v>186</v>
      </c>
      <c r="BA62" s="28" t="s">
        <v>187</v>
      </c>
      <c r="BC62" s="50">
        <f>AW62+AX62</f>
      </c>
      <c r="BD62" s="50">
        <f>H62/(100-BE62)*100</f>
      </c>
      <c r="BE62" s="50" t="n">
        <v>0</v>
      </c>
      <c r="BF62" s="50">
        <f>62</f>
      </c>
      <c r="BH62" s="50">
        <f>G62*AO62</f>
      </c>
      <c r="BI62" s="50">
        <f>G62*AP62</f>
      </c>
      <c r="BJ62" s="50">
        <f>G62*H62</f>
      </c>
      <c r="BK62" s="52" t="s">
        <v>65</v>
      </c>
      <c r="BL62" s="50" t="n">
        <v>11</v>
      </c>
      <c r="BW62" s="50" t="n">
        <v>21</v>
      </c>
      <c r="BX62" s="14" t="s">
        <v>194</v>
      </c>
    </row>
    <row r="63">
      <c r="A63" s="9" t="s">
        <v>196</v>
      </c>
      <c r="B63" s="10" t="s">
        <v>179</v>
      </c>
      <c r="C63" s="10" t="s">
        <v>197</v>
      </c>
      <c r="D63" s="14" t="s">
        <v>198</v>
      </c>
      <c r="E63" s="10"/>
      <c r="F63" s="10" t="s">
        <v>195</v>
      </c>
      <c r="G63" s="50" t="n">
        <v>940</v>
      </c>
      <c r="H63" s="50" t="n">
        <v>0</v>
      </c>
      <c r="I63" s="50">
        <f>ROUND(G63*AO63,2)</f>
      </c>
      <c r="J63" s="50">
        <f>ROUND(G63*AP63,2)</f>
      </c>
      <c r="K63" s="50">
        <f>ROUND(G63*H63,2)</f>
      </c>
      <c r="L63" s="51" t="s">
        <v>61</v>
      </c>
      <c r="Z63" s="50">
        <f>ROUND(IF(AQ63="5",BJ63,0),2)</f>
      </c>
      <c r="AB63" s="50">
        <f>ROUND(IF(AQ63="1",BH63,0),2)</f>
      </c>
      <c r="AC63" s="50">
        <f>ROUND(IF(AQ63="1",BI63,0),2)</f>
      </c>
      <c r="AD63" s="50">
        <f>ROUND(IF(AQ63="7",BH63,0),2)</f>
      </c>
      <c r="AE63" s="50">
        <f>ROUND(IF(AQ63="7",BI63,0),2)</f>
      </c>
      <c r="AF63" s="50">
        <f>ROUND(IF(AQ63="2",BH63,0),2)</f>
      </c>
      <c r="AG63" s="50">
        <f>ROUND(IF(AQ63="2",BI63,0),2)</f>
      </c>
      <c r="AH63" s="50">
        <f>ROUND(IF(AQ63="0",BJ63,0),2)</f>
      </c>
      <c r="AI63" s="28" t="s">
        <v>179</v>
      </c>
      <c r="AJ63" s="50">
        <f>IF(AN63=0,K63,0)</f>
      </c>
      <c r="AK63" s="50">
        <f>IF(AN63=12,K63,0)</f>
      </c>
      <c r="AL63" s="50">
        <f>IF(AN63=21,K63,0)</f>
      </c>
      <c r="AN63" s="50" t="n">
        <v>21</v>
      </c>
      <c r="AO63" s="50">
        <f>H63*0.018880143</f>
      </c>
      <c r="AP63" s="50">
        <f>H63*(1-0.018880143)</f>
      </c>
      <c r="AQ63" s="52" t="s">
        <v>57</v>
      </c>
      <c r="AV63" s="50">
        <f>ROUND(AW63+AX63,2)</f>
      </c>
      <c r="AW63" s="50">
        <f>ROUND(G63*AO63,2)</f>
      </c>
      <c r="AX63" s="50">
        <f>ROUND(G63*AP63,2)</f>
      </c>
      <c r="AY63" s="52" t="s">
        <v>185</v>
      </c>
      <c r="AZ63" s="52" t="s">
        <v>186</v>
      </c>
      <c r="BA63" s="28" t="s">
        <v>187</v>
      </c>
      <c r="BC63" s="50">
        <f>AW63+AX63</f>
      </c>
      <c r="BD63" s="50">
        <f>H63/(100-BE63)*100</f>
      </c>
      <c r="BE63" s="50" t="n">
        <v>0</v>
      </c>
      <c r="BF63" s="50">
        <f>63</f>
      </c>
      <c r="BH63" s="50">
        <f>G63*AO63</f>
      </c>
      <c r="BI63" s="50">
        <f>G63*AP63</f>
      </c>
      <c r="BJ63" s="50">
        <f>G63*H63</f>
      </c>
      <c r="BK63" s="52" t="s">
        <v>65</v>
      </c>
      <c r="BL63" s="50" t="n">
        <v>11</v>
      </c>
      <c r="BW63" s="50" t="n">
        <v>21</v>
      </c>
      <c r="BX63" s="14" t="s">
        <v>198</v>
      </c>
    </row>
    <row r="64" ht="36.75">
      <c r="A64" s="53"/>
      <c r="C64" s="54" t="s">
        <v>127</v>
      </c>
      <c r="D64" s="55" t="s">
        <v>199</v>
      </c>
      <c r="E64" s="56"/>
      <c r="F64" s="56"/>
      <c r="G64" s="56"/>
      <c r="H64" s="56"/>
      <c r="I64" s="56"/>
      <c r="J64" s="56"/>
      <c r="K64" s="56"/>
      <c r="L64" s="57"/>
      <c r="BX64" s="55" t="s">
        <v>199</v>
      </c>
    </row>
    <row r="65">
      <c r="A65" s="9" t="s">
        <v>200</v>
      </c>
      <c r="B65" s="10" t="s">
        <v>179</v>
      </c>
      <c r="C65" s="10" t="s">
        <v>201</v>
      </c>
      <c r="D65" s="14" t="s">
        <v>202</v>
      </c>
      <c r="E65" s="10"/>
      <c r="F65" s="10" t="s">
        <v>195</v>
      </c>
      <c r="G65" s="50" t="n">
        <v>198</v>
      </c>
      <c r="H65" s="50" t="n">
        <v>0</v>
      </c>
      <c r="I65" s="50">
        <f>ROUND(G65*AO65,2)</f>
      </c>
      <c r="J65" s="50">
        <f>ROUND(G65*AP65,2)</f>
      </c>
      <c r="K65" s="50">
        <f>ROUND(G65*H65,2)</f>
      </c>
      <c r="L65" s="51" t="s">
        <v>61</v>
      </c>
      <c r="Z65" s="50">
        <f>ROUND(IF(AQ65="5",BJ65,0),2)</f>
      </c>
      <c r="AB65" s="50">
        <f>ROUND(IF(AQ65="1",BH65,0),2)</f>
      </c>
      <c r="AC65" s="50">
        <f>ROUND(IF(AQ65="1",BI65,0),2)</f>
      </c>
      <c r="AD65" s="50">
        <f>ROUND(IF(AQ65="7",BH65,0),2)</f>
      </c>
      <c r="AE65" s="50">
        <f>ROUND(IF(AQ65="7",BI65,0),2)</f>
      </c>
      <c r="AF65" s="50">
        <f>ROUND(IF(AQ65="2",BH65,0),2)</f>
      </c>
      <c r="AG65" s="50">
        <f>ROUND(IF(AQ65="2",BI65,0),2)</f>
      </c>
      <c r="AH65" s="50">
        <f>ROUND(IF(AQ65="0",BJ65,0),2)</f>
      </c>
      <c r="AI65" s="28" t="s">
        <v>179</v>
      </c>
      <c r="AJ65" s="50">
        <f>IF(AN65=0,K65,0)</f>
      </c>
      <c r="AK65" s="50">
        <f>IF(AN65=12,K65,0)</f>
      </c>
      <c r="AL65" s="50">
        <f>IF(AN65=21,K65,0)</f>
      </c>
      <c r="AN65" s="50" t="n">
        <v>21</v>
      </c>
      <c r="AO65" s="50">
        <f>H65*0.004820159</f>
      </c>
      <c r="AP65" s="50">
        <f>H65*(1-0.004820159)</f>
      </c>
      <c r="AQ65" s="52" t="s">
        <v>57</v>
      </c>
      <c r="AV65" s="50">
        <f>ROUND(AW65+AX65,2)</f>
      </c>
      <c r="AW65" s="50">
        <f>ROUND(G65*AO65,2)</f>
      </c>
      <c r="AX65" s="50">
        <f>ROUND(G65*AP65,2)</f>
      </c>
      <c r="AY65" s="52" t="s">
        <v>185</v>
      </c>
      <c r="AZ65" s="52" t="s">
        <v>186</v>
      </c>
      <c r="BA65" s="28" t="s">
        <v>187</v>
      </c>
      <c r="BC65" s="50">
        <f>AW65+AX65</f>
      </c>
      <c r="BD65" s="50">
        <f>H65/(100-BE65)*100</f>
      </c>
      <c r="BE65" s="50" t="n">
        <v>0</v>
      </c>
      <c r="BF65" s="50">
        <f>65</f>
      </c>
      <c r="BH65" s="50">
        <f>G65*AO65</f>
      </c>
      <c r="BI65" s="50">
        <f>G65*AP65</f>
      </c>
      <c r="BJ65" s="50">
        <f>G65*H65</f>
      </c>
      <c r="BK65" s="52" t="s">
        <v>65</v>
      </c>
      <c r="BL65" s="50" t="n">
        <v>11</v>
      </c>
      <c r="BW65" s="50" t="n">
        <v>21</v>
      </c>
      <c r="BX65" s="14" t="s">
        <v>202</v>
      </c>
    </row>
    <row r="66" ht="24.75">
      <c r="A66" s="53"/>
      <c r="C66" s="54" t="s">
        <v>127</v>
      </c>
      <c r="D66" s="55" t="s">
        <v>203</v>
      </c>
      <c r="E66" s="56"/>
      <c r="F66" s="56"/>
      <c r="G66" s="56"/>
      <c r="H66" s="56"/>
      <c r="I66" s="56"/>
      <c r="J66" s="56"/>
      <c r="K66" s="56"/>
      <c r="L66" s="57"/>
      <c r="BX66" s="55" t="s">
        <v>203</v>
      </c>
    </row>
    <row r="67">
      <c r="A67" s="45" t="s">
        <v>52</v>
      </c>
      <c r="B67" s="46" t="s">
        <v>179</v>
      </c>
      <c r="C67" s="46" t="s">
        <v>115</v>
      </c>
      <c r="D67" s="47" t="s">
        <v>204</v>
      </c>
      <c r="E67" s="46"/>
      <c r="F67" s="48" t="s">
        <v>8</v>
      </c>
      <c r="G67" s="48" t="s">
        <v>8</v>
      </c>
      <c r="H67" s="48" t="s">
        <v>8</v>
      </c>
      <c r="I67" s="2">
        <f>SUM(I68:I68)</f>
      </c>
      <c r="J67" s="2">
        <f>SUM(J68:J68)</f>
      </c>
      <c r="K67" s="2">
        <f>SUM(K68:K68)</f>
      </c>
      <c r="L67" s="49" t="s">
        <v>52</v>
      </c>
      <c r="AI67" s="28" t="s">
        <v>179</v>
      </c>
      <c r="AS67" s="2">
        <f>SUM(AJ68:AJ68)</f>
      </c>
      <c r="AT67" s="2">
        <f>SUM(AK68:AK68)</f>
      </c>
      <c r="AU67" s="2">
        <f>SUM(AL68:AL68)</f>
      </c>
    </row>
    <row r="68">
      <c r="A68" s="9" t="s">
        <v>205</v>
      </c>
      <c r="B68" s="10" t="s">
        <v>179</v>
      </c>
      <c r="C68" s="10" t="s">
        <v>206</v>
      </c>
      <c r="D68" s="14" t="s">
        <v>207</v>
      </c>
      <c r="E68" s="10"/>
      <c r="F68" s="10" t="s">
        <v>60</v>
      </c>
      <c r="G68" s="50" t="n">
        <v>1305</v>
      </c>
      <c r="H68" s="50" t="n">
        <v>0</v>
      </c>
      <c r="I68" s="50">
        <f>ROUND(G68*AO68,2)</f>
      </c>
      <c r="J68" s="50">
        <f>ROUND(G68*AP68,2)</f>
      </c>
      <c r="K68" s="50">
        <f>ROUND(G68*H68,2)</f>
      </c>
      <c r="L68" s="51" t="s">
        <v>61</v>
      </c>
      <c r="Z68" s="50">
        <f>ROUND(IF(AQ68="5",BJ68,0),2)</f>
      </c>
      <c r="AB68" s="50">
        <f>ROUND(IF(AQ68="1",BH68,0),2)</f>
      </c>
      <c r="AC68" s="50">
        <f>ROUND(IF(AQ68="1",BI68,0),2)</f>
      </c>
      <c r="AD68" s="50">
        <f>ROUND(IF(AQ68="7",BH68,0),2)</f>
      </c>
      <c r="AE68" s="50">
        <f>ROUND(IF(AQ68="7",BI68,0),2)</f>
      </c>
      <c r="AF68" s="50">
        <f>ROUND(IF(AQ68="2",BH68,0),2)</f>
      </c>
      <c r="AG68" s="50">
        <f>ROUND(IF(AQ68="2",BI68,0),2)</f>
      </c>
      <c r="AH68" s="50">
        <f>ROUND(IF(AQ68="0",BJ68,0),2)</f>
      </c>
      <c r="AI68" s="28" t="s">
        <v>179</v>
      </c>
      <c r="AJ68" s="50">
        <f>IF(AN68=0,K68,0)</f>
      </c>
      <c r="AK68" s="50">
        <f>IF(AN68=12,K68,0)</f>
      </c>
      <c r="AL68" s="50">
        <f>IF(AN68=21,K68,0)</f>
      </c>
      <c r="AN68" s="50" t="n">
        <v>21</v>
      </c>
      <c r="AO68" s="50">
        <f>H68*0</f>
      </c>
      <c r="AP68" s="50">
        <f>H68*(1-0)</f>
      </c>
      <c r="AQ68" s="52" t="s">
        <v>57</v>
      </c>
      <c r="AV68" s="50">
        <f>ROUND(AW68+AX68,2)</f>
      </c>
      <c r="AW68" s="50">
        <f>ROUND(G68*AO68,2)</f>
      </c>
      <c r="AX68" s="50">
        <f>ROUND(G68*AP68,2)</f>
      </c>
      <c r="AY68" s="52" t="s">
        <v>208</v>
      </c>
      <c r="AZ68" s="52" t="s">
        <v>186</v>
      </c>
      <c r="BA68" s="28" t="s">
        <v>187</v>
      </c>
      <c r="BC68" s="50">
        <f>AW68+AX68</f>
      </c>
      <c r="BD68" s="50">
        <f>H68/(100-BE68)*100</f>
      </c>
      <c r="BE68" s="50" t="n">
        <v>0</v>
      </c>
      <c r="BF68" s="50">
        <f>68</f>
      </c>
      <c r="BH68" s="50">
        <f>G68*AO68</f>
      </c>
      <c r="BI68" s="50">
        <f>G68*AP68</f>
      </c>
      <c r="BJ68" s="50">
        <f>G68*H68</f>
      </c>
      <c r="BK68" s="52" t="s">
        <v>65</v>
      </c>
      <c r="BL68" s="50" t="n">
        <v>12</v>
      </c>
      <c r="BW68" s="50" t="n">
        <v>21</v>
      </c>
      <c r="BX68" s="14" t="s">
        <v>207</v>
      </c>
    </row>
    <row r="69">
      <c r="A69" s="45" t="s">
        <v>52</v>
      </c>
      <c r="B69" s="46" t="s">
        <v>179</v>
      </c>
      <c r="C69" s="46" t="s">
        <v>145</v>
      </c>
      <c r="D69" s="47" t="s">
        <v>209</v>
      </c>
      <c r="E69" s="46"/>
      <c r="F69" s="48" t="s">
        <v>8</v>
      </c>
      <c r="G69" s="48" t="s">
        <v>8</v>
      </c>
      <c r="H69" s="48" t="s">
        <v>8</v>
      </c>
      <c r="I69" s="2">
        <f>SUM(I70:I70)</f>
      </c>
      <c r="J69" s="2">
        <f>SUM(J70:J70)</f>
      </c>
      <c r="K69" s="2">
        <f>SUM(K70:K70)</f>
      </c>
      <c r="L69" s="49" t="s">
        <v>52</v>
      </c>
      <c r="AI69" s="28" t="s">
        <v>179</v>
      </c>
      <c r="AS69" s="2">
        <f>SUM(AJ70:AJ70)</f>
      </c>
      <c r="AT69" s="2">
        <f>SUM(AK70:AK70)</f>
      </c>
      <c r="AU69" s="2">
        <f>SUM(AL70:AL70)</f>
      </c>
    </row>
    <row r="70">
      <c r="A70" s="9" t="s">
        <v>210</v>
      </c>
      <c r="B70" s="10" t="s">
        <v>179</v>
      </c>
      <c r="C70" s="10" t="s">
        <v>211</v>
      </c>
      <c r="D70" s="14" t="s">
        <v>212</v>
      </c>
      <c r="E70" s="10"/>
      <c r="F70" s="10" t="s">
        <v>195</v>
      </c>
      <c r="G70" s="50" t="n">
        <v>1305</v>
      </c>
      <c r="H70" s="50" t="n">
        <v>0</v>
      </c>
      <c r="I70" s="50">
        <f>ROUND(G70*AO70,2)</f>
      </c>
      <c r="J70" s="50">
        <f>ROUND(G70*AP70,2)</f>
      </c>
      <c r="K70" s="50">
        <f>ROUND(G70*H70,2)</f>
      </c>
      <c r="L70" s="51" t="s">
        <v>61</v>
      </c>
      <c r="Z70" s="50">
        <f>ROUND(IF(AQ70="5",BJ70,0),2)</f>
      </c>
      <c r="AB70" s="50">
        <f>ROUND(IF(AQ70="1",BH70,0),2)</f>
      </c>
      <c r="AC70" s="50">
        <f>ROUND(IF(AQ70="1",BI70,0),2)</f>
      </c>
      <c r="AD70" s="50">
        <f>ROUND(IF(AQ70="7",BH70,0),2)</f>
      </c>
      <c r="AE70" s="50">
        <f>ROUND(IF(AQ70="7",BI70,0),2)</f>
      </c>
      <c r="AF70" s="50">
        <f>ROUND(IF(AQ70="2",BH70,0),2)</f>
      </c>
      <c r="AG70" s="50">
        <f>ROUND(IF(AQ70="2",BI70,0),2)</f>
      </c>
      <c r="AH70" s="50">
        <f>ROUND(IF(AQ70="0",BJ70,0),2)</f>
      </c>
      <c r="AI70" s="28" t="s">
        <v>179</v>
      </c>
      <c r="AJ70" s="50">
        <f>IF(AN70=0,K70,0)</f>
      </c>
      <c r="AK70" s="50">
        <f>IF(AN70=12,K70,0)</f>
      </c>
      <c r="AL70" s="50">
        <f>IF(AN70=21,K70,0)</f>
      </c>
      <c r="AN70" s="50" t="n">
        <v>21</v>
      </c>
      <c r="AO70" s="50">
        <f>H70*0</f>
      </c>
      <c r="AP70" s="50">
        <f>H70*(1-0)</f>
      </c>
      <c r="AQ70" s="52" t="s">
        <v>57</v>
      </c>
      <c r="AV70" s="50">
        <f>ROUND(AW70+AX70,2)</f>
      </c>
      <c r="AW70" s="50">
        <f>ROUND(G70*AO70,2)</f>
      </c>
      <c r="AX70" s="50">
        <f>ROUND(G70*AP70,2)</f>
      </c>
      <c r="AY70" s="52" t="s">
        <v>213</v>
      </c>
      <c r="AZ70" s="52" t="s">
        <v>186</v>
      </c>
      <c r="BA70" s="28" t="s">
        <v>187</v>
      </c>
      <c r="BC70" s="50">
        <f>AW70+AX70</f>
      </c>
      <c r="BD70" s="50">
        <f>H70/(100-BE70)*100</f>
      </c>
      <c r="BE70" s="50" t="n">
        <v>0</v>
      </c>
      <c r="BF70" s="50">
        <f>70</f>
      </c>
      <c r="BH70" s="50">
        <f>G70*AO70</f>
      </c>
      <c r="BI70" s="50">
        <f>G70*AP70</f>
      </c>
      <c r="BJ70" s="50">
        <f>G70*H70</f>
      </c>
      <c r="BK70" s="52" t="s">
        <v>65</v>
      </c>
      <c r="BL70" s="50" t="n">
        <v>18</v>
      </c>
      <c r="BW70" s="50" t="n">
        <v>21</v>
      </c>
      <c r="BX70" s="14" t="s">
        <v>212</v>
      </c>
    </row>
    <row r="71">
      <c r="A71" s="45" t="s">
        <v>52</v>
      </c>
      <c r="B71" s="46" t="s">
        <v>179</v>
      </c>
      <c r="C71" s="46" t="s">
        <v>161</v>
      </c>
      <c r="D71" s="47" t="s">
        <v>214</v>
      </c>
      <c r="E71" s="46"/>
      <c r="F71" s="48" t="s">
        <v>8</v>
      </c>
      <c r="G71" s="48" t="s">
        <v>8</v>
      </c>
      <c r="H71" s="48" t="s">
        <v>8</v>
      </c>
      <c r="I71" s="2">
        <f>SUM(I72:I72)</f>
      </c>
      <c r="J71" s="2">
        <f>SUM(J72:J72)</f>
      </c>
      <c r="K71" s="2">
        <f>SUM(K72:K72)</f>
      </c>
      <c r="L71" s="49" t="s">
        <v>52</v>
      </c>
      <c r="AI71" s="28" t="s">
        <v>179</v>
      </c>
      <c r="AS71" s="2">
        <f>SUM(AJ72:AJ72)</f>
      </c>
      <c r="AT71" s="2">
        <f>SUM(AK72:AK72)</f>
      </c>
      <c r="AU71" s="2">
        <f>SUM(AL72:AL72)</f>
      </c>
    </row>
    <row r="72">
      <c r="A72" s="9" t="s">
        <v>215</v>
      </c>
      <c r="B72" s="10" t="s">
        <v>179</v>
      </c>
      <c r="C72" s="10" t="s">
        <v>216</v>
      </c>
      <c r="D72" s="14" t="s">
        <v>217</v>
      </c>
      <c r="E72" s="10"/>
      <c r="F72" s="10" t="s">
        <v>95</v>
      </c>
      <c r="G72" s="50" t="n">
        <v>265</v>
      </c>
      <c r="H72" s="50" t="n">
        <v>0</v>
      </c>
      <c r="I72" s="50">
        <f>ROUND(G72*AO72,2)</f>
      </c>
      <c r="J72" s="50">
        <f>ROUND(G72*AP72,2)</f>
      </c>
      <c r="K72" s="50">
        <f>ROUND(G72*H72,2)</f>
      </c>
      <c r="L72" s="51" t="s">
        <v>61</v>
      </c>
      <c r="Z72" s="50">
        <f>ROUND(IF(AQ72="5",BJ72,0),2)</f>
      </c>
      <c r="AB72" s="50">
        <f>ROUND(IF(AQ72="1",BH72,0),2)</f>
      </c>
      <c r="AC72" s="50">
        <f>ROUND(IF(AQ72="1",BI72,0),2)</f>
      </c>
      <c r="AD72" s="50">
        <f>ROUND(IF(AQ72="7",BH72,0),2)</f>
      </c>
      <c r="AE72" s="50">
        <f>ROUND(IF(AQ72="7",BI72,0),2)</f>
      </c>
      <c r="AF72" s="50">
        <f>ROUND(IF(AQ72="2",BH72,0),2)</f>
      </c>
      <c r="AG72" s="50">
        <f>ROUND(IF(AQ72="2",BI72,0),2)</f>
      </c>
      <c r="AH72" s="50">
        <f>ROUND(IF(AQ72="0",BJ72,0),2)</f>
      </c>
      <c r="AI72" s="28" t="s">
        <v>179</v>
      </c>
      <c r="AJ72" s="50">
        <f>IF(AN72=0,K72,0)</f>
      </c>
      <c r="AK72" s="50">
        <f>IF(AN72=12,K72,0)</f>
      </c>
      <c r="AL72" s="50">
        <f>IF(AN72=21,K72,0)</f>
      </c>
      <c r="AN72" s="50" t="n">
        <v>21</v>
      </c>
      <c r="AO72" s="50">
        <f>H72*0.445958432</f>
      </c>
      <c r="AP72" s="50">
        <f>H72*(1-0.445958432)</f>
      </c>
      <c r="AQ72" s="52" t="s">
        <v>57</v>
      </c>
      <c r="AV72" s="50">
        <f>ROUND(AW72+AX72,2)</f>
      </c>
      <c r="AW72" s="50">
        <f>ROUND(G72*AO72,2)</f>
      </c>
      <c r="AX72" s="50">
        <f>ROUND(G72*AP72,2)</f>
      </c>
      <c r="AY72" s="52" t="s">
        <v>218</v>
      </c>
      <c r="AZ72" s="52" t="s">
        <v>219</v>
      </c>
      <c r="BA72" s="28" t="s">
        <v>187</v>
      </c>
      <c r="BC72" s="50">
        <f>AW72+AX72</f>
      </c>
      <c r="BD72" s="50">
        <f>H72/(100-BE72)*100</f>
      </c>
      <c r="BE72" s="50" t="n">
        <v>0</v>
      </c>
      <c r="BF72" s="50">
        <f>72</f>
      </c>
      <c r="BH72" s="50">
        <f>G72*AO72</f>
      </c>
      <c r="BI72" s="50">
        <f>G72*AP72</f>
      </c>
      <c r="BJ72" s="50">
        <f>G72*H72</f>
      </c>
      <c r="BK72" s="52" t="s">
        <v>65</v>
      </c>
      <c r="BL72" s="50" t="n">
        <v>21</v>
      </c>
      <c r="BW72" s="50" t="n">
        <v>21</v>
      </c>
      <c r="BX72" s="14" t="s">
        <v>217</v>
      </c>
    </row>
    <row r="73">
      <c r="A73" s="53"/>
      <c r="C73" s="54" t="s">
        <v>127</v>
      </c>
      <c r="D73" s="55" t="s">
        <v>220</v>
      </c>
      <c r="E73" s="56"/>
      <c r="F73" s="56"/>
      <c r="G73" s="56"/>
      <c r="H73" s="56"/>
      <c r="I73" s="56"/>
      <c r="J73" s="56"/>
      <c r="K73" s="56"/>
      <c r="L73" s="57"/>
      <c r="BX73" s="55" t="s">
        <v>220</v>
      </c>
    </row>
    <row r="74">
      <c r="A74" s="45" t="s">
        <v>52</v>
      </c>
      <c r="B74" s="46" t="s">
        <v>179</v>
      </c>
      <c r="C74" s="46" t="s">
        <v>221</v>
      </c>
      <c r="D74" s="47" t="s">
        <v>222</v>
      </c>
      <c r="E74" s="46"/>
      <c r="F74" s="48" t="s">
        <v>8</v>
      </c>
      <c r="G74" s="48" t="s">
        <v>8</v>
      </c>
      <c r="H74" s="48" t="s">
        <v>8</v>
      </c>
      <c r="I74" s="2">
        <f>SUM(I75:I76)</f>
      </c>
      <c r="J74" s="2">
        <f>SUM(J75:J76)</f>
      </c>
      <c r="K74" s="2">
        <f>SUM(K75:K76)</f>
      </c>
      <c r="L74" s="49" t="s">
        <v>52</v>
      </c>
      <c r="AI74" s="28" t="s">
        <v>179</v>
      </c>
      <c r="AS74" s="2">
        <f>SUM(AJ75:AJ76)</f>
      </c>
      <c r="AT74" s="2">
        <f>SUM(AK75:AK76)</f>
      </c>
      <c r="AU74" s="2">
        <f>SUM(AL75:AL76)</f>
      </c>
    </row>
    <row r="75">
      <c r="A75" s="9" t="s">
        <v>223</v>
      </c>
      <c r="B75" s="10" t="s">
        <v>179</v>
      </c>
      <c r="C75" s="10" t="s">
        <v>224</v>
      </c>
      <c r="D75" s="14" t="s">
        <v>225</v>
      </c>
      <c r="E75" s="10"/>
      <c r="F75" s="10" t="s">
        <v>195</v>
      </c>
      <c r="G75" s="50" t="n">
        <v>820</v>
      </c>
      <c r="H75" s="50" t="n">
        <v>0</v>
      </c>
      <c r="I75" s="50">
        <f>ROUND(G75*AO75,2)</f>
      </c>
      <c r="J75" s="50">
        <f>ROUND(G75*AP75,2)</f>
      </c>
      <c r="K75" s="50">
        <f>ROUND(G75*H75,2)</f>
      </c>
      <c r="L75" s="51" t="s">
        <v>61</v>
      </c>
      <c r="Z75" s="50">
        <f>ROUND(IF(AQ75="5",BJ75,0),2)</f>
      </c>
      <c r="AB75" s="50">
        <f>ROUND(IF(AQ75="1",BH75,0),2)</f>
      </c>
      <c r="AC75" s="50">
        <f>ROUND(IF(AQ75="1",BI75,0),2)</f>
      </c>
      <c r="AD75" s="50">
        <f>ROUND(IF(AQ75="7",BH75,0),2)</f>
      </c>
      <c r="AE75" s="50">
        <f>ROUND(IF(AQ75="7",BI75,0),2)</f>
      </c>
      <c r="AF75" s="50">
        <f>ROUND(IF(AQ75="2",BH75,0),2)</f>
      </c>
      <c r="AG75" s="50">
        <f>ROUND(IF(AQ75="2",BI75,0),2)</f>
      </c>
      <c r="AH75" s="50">
        <f>ROUND(IF(AQ75="0",BJ75,0),2)</f>
      </c>
      <c r="AI75" s="28" t="s">
        <v>179</v>
      </c>
      <c r="AJ75" s="50">
        <f>IF(AN75=0,K75,0)</f>
      </c>
      <c r="AK75" s="50">
        <f>IF(AN75=12,K75,0)</f>
      </c>
      <c r="AL75" s="50">
        <f>IF(AN75=21,K75,0)</f>
      </c>
      <c r="AN75" s="50" t="n">
        <v>21</v>
      </c>
      <c r="AO75" s="50">
        <f>H75*0.818686869</f>
      </c>
      <c r="AP75" s="50">
        <f>H75*(1-0.818686869)</f>
      </c>
      <c r="AQ75" s="52" t="s">
        <v>57</v>
      </c>
      <c r="AV75" s="50">
        <f>ROUND(AW75+AX75,2)</f>
      </c>
      <c r="AW75" s="50">
        <f>ROUND(G75*AO75,2)</f>
      </c>
      <c r="AX75" s="50">
        <f>ROUND(G75*AP75,2)</f>
      </c>
      <c r="AY75" s="52" t="s">
        <v>226</v>
      </c>
      <c r="AZ75" s="52" t="s">
        <v>227</v>
      </c>
      <c r="BA75" s="28" t="s">
        <v>187</v>
      </c>
      <c r="BC75" s="50">
        <f>AW75+AX75</f>
      </c>
      <c r="BD75" s="50">
        <f>H75/(100-BE75)*100</f>
      </c>
      <c r="BE75" s="50" t="n">
        <v>0</v>
      </c>
      <c r="BF75" s="50">
        <f>75</f>
      </c>
      <c r="BH75" s="50">
        <f>G75*AO75</f>
      </c>
      <c r="BI75" s="50">
        <f>G75*AP75</f>
      </c>
      <c r="BJ75" s="50">
        <f>G75*H75</f>
      </c>
      <c r="BK75" s="52" t="s">
        <v>65</v>
      </c>
      <c r="BL75" s="50" t="n">
        <v>56</v>
      </c>
      <c r="BW75" s="50" t="n">
        <v>21</v>
      </c>
      <c r="BX75" s="14" t="s">
        <v>225</v>
      </c>
    </row>
    <row r="76">
      <c r="A76" s="9" t="s">
        <v>228</v>
      </c>
      <c r="B76" s="10" t="s">
        <v>179</v>
      </c>
      <c r="C76" s="10" t="s">
        <v>224</v>
      </c>
      <c r="D76" s="14" t="s">
        <v>225</v>
      </c>
      <c r="E76" s="10"/>
      <c r="F76" s="10" t="s">
        <v>195</v>
      </c>
      <c r="G76" s="50" t="n">
        <v>820</v>
      </c>
      <c r="H76" s="50" t="n">
        <v>0</v>
      </c>
      <c r="I76" s="50">
        <f>ROUND(G76*AO76,2)</f>
      </c>
      <c r="J76" s="50">
        <f>ROUND(G76*AP76,2)</f>
      </c>
      <c r="K76" s="50">
        <f>ROUND(G76*H76,2)</f>
      </c>
      <c r="L76" s="51" t="s">
        <v>61</v>
      </c>
      <c r="Z76" s="50">
        <f>ROUND(IF(AQ76="5",BJ76,0),2)</f>
      </c>
      <c r="AB76" s="50">
        <f>ROUND(IF(AQ76="1",BH76,0),2)</f>
      </c>
      <c r="AC76" s="50">
        <f>ROUND(IF(AQ76="1",BI76,0),2)</f>
      </c>
      <c r="AD76" s="50">
        <f>ROUND(IF(AQ76="7",BH76,0),2)</f>
      </c>
      <c r="AE76" s="50">
        <f>ROUND(IF(AQ76="7",BI76,0),2)</f>
      </c>
      <c r="AF76" s="50">
        <f>ROUND(IF(AQ76="2",BH76,0),2)</f>
      </c>
      <c r="AG76" s="50">
        <f>ROUND(IF(AQ76="2",BI76,0),2)</f>
      </c>
      <c r="AH76" s="50">
        <f>ROUND(IF(AQ76="0",BJ76,0),2)</f>
      </c>
      <c r="AI76" s="28" t="s">
        <v>179</v>
      </c>
      <c r="AJ76" s="50">
        <f>IF(AN76=0,K76,0)</f>
      </c>
      <c r="AK76" s="50">
        <f>IF(AN76=12,K76,0)</f>
      </c>
      <c r="AL76" s="50">
        <f>IF(AN76=21,K76,0)</f>
      </c>
      <c r="AN76" s="50" t="n">
        <v>21</v>
      </c>
      <c r="AO76" s="50">
        <f>H76*0.818686869</f>
      </c>
      <c r="AP76" s="50">
        <f>H76*(1-0.818686869)</f>
      </c>
      <c r="AQ76" s="52" t="s">
        <v>57</v>
      </c>
      <c r="AV76" s="50">
        <f>ROUND(AW76+AX76,2)</f>
      </c>
      <c r="AW76" s="50">
        <f>ROUND(G76*AO76,2)</f>
      </c>
      <c r="AX76" s="50">
        <f>ROUND(G76*AP76,2)</f>
      </c>
      <c r="AY76" s="52" t="s">
        <v>226</v>
      </c>
      <c r="AZ76" s="52" t="s">
        <v>227</v>
      </c>
      <c r="BA76" s="28" t="s">
        <v>187</v>
      </c>
      <c r="BC76" s="50">
        <f>AW76+AX76</f>
      </c>
      <c r="BD76" s="50">
        <f>H76/(100-BE76)*100</f>
      </c>
      <c r="BE76" s="50" t="n">
        <v>0</v>
      </c>
      <c r="BF76" s="50">
        <f>76</f>
      </c>
      <c r="BH76" s="50">
        <f>G76*AO76</f>
      </c>
      <c r="BI76" s="50">
        <f>G76*AP76</f>
      </c>
      <c r="BJ76" s="50">
        <f>G76*H76</f>
      </c>
      <c r="BK76" s="52" t="s">
        <v>65</v>
      </c>
      <c r="BL76" s="50" t="n">
        <v>56</v>
      </c>
      <c r="BW76" s="50" t="n">
        <v>21</v>
      </c>
      <c r="BX76" s="14" t="s">
        <v>225</v>
      </c>
    </row>
    <row r="77">
      <c r="A77" s="45" t="s">
        <v>52</v>
      </c>
      <c r="B77" s="46" t="s">
        <v>179</v>
      </c>
      <c r="C77" s="46" t="s">
        <v>229</v>
      </c>
      <c r="D77" s="47" t="s">
        <v>230</v>
      </c>
      <c r="E77" s="46"/>
      <c r="F77" s="48" t="s">
        <v>8</v>
      </c>
      <c r="G77" s="48" t="s">
        <v>8</v>
      </c>
      <c r="H77" s="48" t="s">
        <v>8</v>
      </c>
      <c r="I77" s="2">
        <f>SUM(I78:I81)</f>
      </c>
      <c r="J77" s="2">
        <f>SUM(J78:J81)</f>
      </c>
      <c r="K77" s="2">
        <f>SUM(K78:K81)</f>
      </c>
      <c r="L77" s="49" t="s">
        <v>52</v>
      </c>
      <c r="AI77" s="28" t="s">
        <v>179</v>
      </c>
      <c r="AS77" s="2">
        <f>SUM(AJ78:AJ81)</f>
      </c>
      <c r="AT77" s="2">
        <f>SUM(AK78:AK81)</f>
      </c>
      <c r="AU77" s="2">
        <f>SUM(AL78:AL81)</f>
      </c>
    </row>
    <row r="78">
      <c r="A78" s="9" t="s">
        <v>231</v>
      </c>
      <c r="B78" s="10" t="s">
        <v>179</v>
      </c>
      <c r="C78" s="10" t="s">
        <v>232</v>
      </c>
      <c r="D78" s="14" t="s">
        <v>233</v>
      </c>
      <c r="E78" s="10"/>
      <c r="F78" s="10" t="s">
        <v>195</v>
      </c>
      <c r="G78" s="50" t="n">
        <v>680</v>
      </c>
      <c r="H78" s="50" t="n">
        <v>0</v>
      </c>
      <c r="I78" s="50">
        <f>ROUND(G78*AO78,2)</f>
      </c>
      <c r="J78" s="50">
        <f>ROUND(G78*AP78,2)</f>
      </c>
      <c r="K78" s="50">
        <f>ROUND(G78*H78,2)</f>
      </c>
      <c r="L78" s="51" t="s">
        <v>61</v>
      </c>
      <c r="Z78" s="50">
        <f>ROUND(IF(AQ78="5",BJ78,0),2)</f>
      </c>
      <c r="AB78" s="50">
        <f>ROUND(IF(AQ78="1",BH78,0),2)</f>
      </c>
      <c r="AC78" s="50">
        <f>ROUND(IF(AQ78="1",BI78,0),2)</f>
      </c>
      <c r="AD78" s="50">
        <f>ROUND(IF(AQ78="7",BH78,0),2)</f>
      </c>
      <c r="AE78" s="50">
        <f>ROUND(IF(AQ78="7",BI78,0),2)</f>
      </c>
      <c r="AF78" s="50">
        <f>ROUND(IF(AQ78="2",BH78,0),2)</f>
      </c>
      <c r="AG78" s="50">
        <f>ROUND(IF(AQ78="2",BI78,0),2)</f>
      </c>
      <c r="AH78" s="50">
        <f>ROUND(IF(AQ78="0",BJ78,0),2)</f>
      </c>
      <c r="AI78" s="28" t="s">
        <v>179</v>
      </c>
      <c r="AJ78" s="50">
        <f>IF(AN78=0,K78,0)</f>
      </c>
      <c r="AK78" s="50">
        <f>IF(AN78=12,K78,0)</f>
      </c>
      <c r="AL78" s="50">
        <f>IF(AN78=21,K78,0)</f>
      </c>
      <c r="AN78" s="50" t="n">
        <v>21</v>
      </c>
      <c r="AO78" s="50">
        <f>H78*0.635192744</f>
      </c>
      <c r="AP78" s="50">
        <f>H78*(1-0.635192744)</f>
      </c>
      <c r="AQ78" s="52" t="s">
        <v>57</v>
      </c>
      <c r="AV78" s="50">
        <f>ROUND(AW78+AX78,2)</f>
      </c>
      <c r="AW78" s="50">
        <f>ROUND(G78*AO78,2)</f>
      </c>
      <c r="AX78" s="50">
        <f>ROUND(G78*AP78,2)</f>
      </c>
      <c r="AY78" s="52" t="s">
        <v>234</v>
      </c>
      <c r="AZ78" s="52" t="s">
        <v>227</v>
      </c>
      <c r="BA78" s="28" t="s">
        <v>187</v>
      </c>
      <c r="BC78" s="50">
        <f>AW78+AX78</f>
      </c>
      <c r="BD78" s="50">
        <f>H78/(100-BE78)*100</f>
      </c>
      <c r="BE78" s="50" t="n">
        <v>0</v>
      </c>
      <c r="BF78" s="50">
        <f>78</f>
      </c>
      <c r="BH78" s="50">
        <f>G78*AO78</f>
      </c>
      <c r="BI78" s="50">
        <f>G78*AP78</f>
      </c>
      <c r="BJ78" s="50">
        <f>G78*H78</f>
      </c>
      <c r="BK78" s="52" t="s">
        <v>65</v>
      </c>
      <c r="BL78" s="50" t="n">
        <v>57</v>
      </c>
      <c r="BW78" s="50" t="n">
        <v>21</v>
      </c>
      <c r="BX78" s="14" t="s">
        <v>233</v>
      </c>
    </row>
    <row r="79">
      <c r="A79" s="9" t="s">
        <v>235</v>
      </c>
      <c r="B79" s="10" t="s">
        <v>179</v>
      </c>
      <c r="C79" s="10" t="s">
        <v>236</v>
      </c>
      <c r="D79" s="14" t="s">
        <v>237</v>
      </c>
      <c r="E79" s="10"/>
      <c r="F79" s="10" t="s">
        <v>195</v>
      </c>
      <c r="G79" s="50" t="n">
        <v>680</v>
      </c>
      <c r="H79" s="50" t="n">
        <v>0</v>
      </c>
      <c r="I79" s="50">
        <f>ROUND(G79*AO79,2)</f>
      </c>
      <c r="J79" s="50">
        <f>ROUND(G79*AP79,2)</f>
      </c>
      <c r="K79" s="50">
        <f>ROUND(G79*H79,2)</f>
      </c>
      <c r="L79" s="51" t="s">
        <v>61</v>
      </c>
      <c r="Z79" s="50">
        <f>ROUND(IF(AQ79="5",BJ79,0),2)</f>
      </c>
      <c r="AB79" s="50">
        <f>ROUND(IF(AQ79="1",BH79,0),2)</f>
      </c>
      <c r="AC79" s="50">
        <f>ROUND(IF(AQ79="1",BI79,0),2)</f>
      </c>
      <c r="AD79" s="50">
        <f>ROUND(IF(AQ79="7",BH79,0),2)</f>
      </c>
      <c r="AE79" s="50">
        <f>ROUND(IF(AQ79="7",BI79,0),2)</f>
      </c>
      <c r="AF79" s="50">
        <f>ROUND(IF(AQ79="2",BH79,0),2)</f>
      </c>
      <c r="AG79" s="50">
        <f>ROUND(IF(AQ79="2",BI79,0),2)</f>
      </c>
      <c r="AH79" s="50">
        <f>ROUND(IF(AQ79="0",BJ79,0),2)</f>
      </c>
      <c r="AI79" s="28" t="s">
        <v>179</v>
      </c>
      <c r="AJ79" s="50">
        <f>IF(AN79=0,K79,0)</f>
      </c>
      <c r="AK79" s="50">
        <f>IF(AN79=12,K79,0)</f>
      </c>
      <c r="AL79" s="50">
        <f>IF(AN79=21,K79,0)</f>
      </c>
      <c r="AN79" s="50" t="n">
        <v>21</v>
      </c>
      <c r="AO79" s="50">
        <f>H79*0.688265896</f>
      </c>
      <c r="AP79" s="50">
        <f>H79*(1-0.688265896)</f>
      </c>
      <c r="AQ79" s="52" t="s">
        <v>57</v>
      </c>
      <c r="AV79" s="50">
        <f>ROUND(AW79+AX79,2)</f>
      </c>
      <c r="AW79" s="50">
        <f>ROUND(G79*AO79,2)</f>
      </c>
      <c r="AX79" s="50">
        <f>ROUND(G79*AP79,2)</f>
      </c>
      <c r="AY79" s="52" t="s">
        <v>234</v>
      </c>
      <c r="AZ79" s="52" t="s">
        <v>227</v>
      </c>
      <c r="BA79" s="28" t="s">
        <v>187</v>
      </c>
      <c r="BC79" s="50">
        <f>AW79+AX79</f>
      </c>
      <c r="BD79" s="50">
        <f>H79/(100-BE79)*100</f>
      </c>
      <c r="BE79" s="50" t="n">
        <v>0</v>
      </c>
      <c r="BF79" s="50">
        <f>79</f>
      </c>
      <c r="BH79" s="50">
        <f>G79*AO79</f>
      </c>
      <c r="BI79" s="50">
        <f>G79*AP79</f>
      </c>
      <c r="BJ79" s="50">
        <f>G79*H79</f>
      </c>
      <c r="BK79" s="52" t="s">
        <v>65</v>
      </c>
      <c r="BL79" s="50" t="n">
        <v>57</v>
      </c>
      <c r="BW79" s="50" t="n">
        <v>21</v>
      </c>
      <c r="BX79" s="14" t="s">
        <v>237</v>
      </c>
    </row>
    <row r="80">
      <c r="A80" s="9" t="s">
        <v>238</v>
      </c>
      <c r="B80" s="10" t="s">
        <v>179</v>
      </c>
      <c r="C80" s="10" t="s">
        <v>239</v>
      </c>
      <c r="D80" s="14" t="s">
        <v>240</v>
      </c>
      <c r="E80" s="10"/>
      <c r="F80" s="10" t="s">
        <v>195</v>
      </c>
      <c r="G80" s="50" t="n">
        <v>680</v>
      </c>
      <c r="H80" s="50" t="n">
        <v>0</v>
      </c>
      <c r="I80" s="50">
        <f>ROUND(G80*AO80,2)</f>
      </c>
      <c r="J80" s="50">
        <f>ROUND(G80*AP80,2)</f>
      </c>
      <c r="K80" s="50">
        <f>ROUND(G80*H80,2)</f>
      </c>
      <c r="L80" s="51" t="s">
        <v>61</v>
      </c>
      <c r="Z80" s="50">
        <f>ROUND(IF(AQ80="5",BJ80,0),2)</f>
      </c>
      <c r="AB80" s="50">
        <f>ROUND(IF(AQ80="1",BH80,0),2)</f>
      </c>
      <c r="AC80" s="50">
        <f>ROUND(IF(AQ80="1",BI80,0),2)</f>
      </c>
      <c r="AD80" s="50">
        <f>ROUND(IF(AQ80="7",BH80,0),2)</f>
      </c>
      <c r="AE80" s="50">
        <f>ROUND(IF(AQ80="7",BI80,0),2)</f>
      </c>
      <c r="AF80" s="50">
        <f>ROUND(IF(AQ80="2",BH80,0),2)</f>
      </c>
      <c r="AG80" s="50">
        <f>ROUND(IF(AQ80="2",BI80,0),2)</f>
      </c>
      <c r="AH80" s="50">
        <f>ROUND(IF(AQ80="0",BJ80,0),2)</f>
      </c>
      <c r="AI80" s="28" t="s">
        <v>179</v>
      </c>
      <c r="AJ80" s="50">
        <f>IF(AN80=0,K80,0)</f>
      </c>
      <c r="AK80" s="50">
        <f>IF(AN80=12,K80,0)</f>
      </c>
      <c r="AL80" s="50">
        <f>IF(AN80=21,K80,0)</f>
      </c>
      <c r="AN80" s="50" t="n">
        <v>21</v>
      </c>
      <c r="AO80" s="50">
        <f>H80*0.907001603</f>
      </c>
      <c r="AP80" s="50">
        <f>H80*(1-0.907001603)</f>
      </c>
      <c r="AQ80" s="52" t="s">
        <v>57</v>
      </c>
      <c r="AV80" s="50">
        <f>ROUND(AW80+AX80,2)</f>
      </c>
      <c r="AW80" s="50">
        <f>ROUND(G80*AO80,2)</f>
      </c>
      <c r="AX80" s="50">
        <f>ROUND(G80*AP80,2)</f>
      </c>
      <c r="AY80" s="52" t="s">
        <v>234</v>
      </c>
      <c r="AZ80" s="52" t="s">
        <v>227</v>
      </c>
      <c r="BA80" s="28" t="s">
        <v>187</v>
      </c>
      <c r="BC80" s="50">
        <f>AW80+AX80</f>
      </c>
      <c r="BD80" s="50">
        <f>H80/(100-BE80)*100</f>
      </c>
      <c r="BE80" s="50" t="n">
        <v>0</v>
      </c>
      <c r="BF80" s="50">
        <f>80</f>
      </c>
      <c r="BH80" s="50">
        <f>G80*AO80</f>
      </c>
      <c r="BI80" s="50">
        <f>G80*AP80</f>
      </c>
      <c r="BJ80" s="50">
        <f>G80*H80</f>
      </c>
      <c r="BK80" s="52" t="s">
        <v>65</v>
      </c>
      <c r="BL80" s="50" t="n">
        <v>57</v>
      </c>
      <c r="BW80" s="50" t="n">
        <v>21</v>
      </c>
      <c r="BX80" s="14" t="s">
        <v>240</v>
      </c>
    </row>
    <row r="81">
      <c r="A81" s="9" t="s">
        <v>241</v>
      </c>
      <c r="B81" s="10" t="s">
        <v>179</v>
      </c>
      <c r="C81" s="10" t="s">
        <v>242</v>
      </c>
      <c r="D81" s="14" t="s">
        <v>243</v>
      </c>
      <c r="E81" s="10"/>
      <c r="F81" s="10" t="s">
        <v>195</v>
      </c>
      <c r="G81" s="50" t="n">
        <v>680</v>
      </c>
      <c r="H81" s="50" t="n">
        <v>0</v>
      </c>
      <c r="I81" s="50">
        <f>ROUND(G81*AO81,2)</f>
      </c>
      <c r="J81" s="50">
        <f>ROUND(G81*AP81,2)</f>
      </c>
      <c r="K81" s="50">
        <f>ROUND(G81*H81,2)</f>
      </c>
      <c r="L81" s="51" t="s">
        <v>61</v>
      </c>
      <c r="Z81" s="50">
        <f>ROUND(IF(AQ81="5",BJ81,0),2)</f>
      </c>
      <c r="AB81" s="50">
        <f>ROUND(IF(AQ81="1",BH81,0),2)</f>
      </c>
      <c r="AC81" s="50">
        <f>ROUND(IF(AQ81="1",BI81,0),2)</f>
      </c>
      <c r="AD81" s="50">
        <f>ROUND(IF(AQ81="7",BH81,0),2)</f>
      </c>
      <c r="AE81" s="50">
        <f>ROUND(IF(AQ81="7",BI81,0),2)</f>
      </c>
      <c r="AF81" s="50">
        <f>ROUND(IF(AQ81="2",BH81,0),2)</f>
      </c>
      <c r="AG81" s="50">
        <f>ROUND(IF(AQ81="2",BI81,0),2)</f>
      </c>
      <c r="AH81" s="50">
        <f>ROUND(IF(AQ81="0",BJ81,0),2)</f>
      </c>
      <c r="AI81" s="28" t="s">
        <v>179</v>
      </c>
      <c r="AJ81" s="50">
        <f>IF(AN81=0,K81,0)</f>
      </c>
      <c r="AK81" s="50">
        <f>IF(AN81=12,K81,0)</f>
      </c>
      <c r="AL81" s="50">
        <f>IF(AN81=21,K81,0)</f>
      </c>
      <c r="AN81" s="50" t="n">
        <v>21</v>
      </c>
      <c r="AO81" s="50">
        <f>H81*0.964504465</f>
      </c>
      <c r="AP81" s="50">
        <f>H81*(1-0.964504465)</f>
      </c>
      <c r="AQ81" s="52" t="s">
        <v>57</v>
      </c>
      <c r="AV81" s="50">
        <f>ROUND(AW81+AX81,2)</f>
      </c>
      <c r="AW81" s="50">
        <f>ROUND(G81*AO81,2)</f>
      </c>
      <c r="AX81" s="50">
        <f>ROUND(G81*AP81,2)</f>
      </c>
      <c r="AY81" s="52" t="s">
        <v>234</v>
      </c>
      <c r="AZ81" s="52" t="s">
        <v>227</v>
      </c>
      <c r="BA81" s="28" t="s">
        <v>187</v>
      </c>
      <c r="BC81" s="50">
        <f>AW81+AX81</f>
      </c>
      <c r="BD81" s="50">
        <f>H81/(100-BE81)*100</f>
      </c>
      <c r="BE81" s="50" t="n">
        <v>0</v>
      </c>
      <c r="BF81" s="50">
        <f>81</f>
      </c>
      <c r="BH81" s="50">
        <f>G81*AO81</f>
      </c>
      <c r="BI81" s="50">
        <f>G81*AP81</f>
      </c>
      <c r="BJ81" s="50">
        <f>G81*H81</f>
      </c>
      <c r="BK81" s="52" t="s">
        <v>65</v>
      </c>
      <c r="BL81" s="50" t="n">
        <v>57</v>
      </c>
      <c r="BW81" s="50" t="n">
        <v>21</v>
      </c>
      <c r="BX81" s="14" t="s">
        <v>243</v>
      </c>
    </row>
    <row r="82">
      <c r="A82" s="45" t="s">
        <v>52</v>
      </c>
      <c r="B82" s="46" t="s">
        <v>179</v>
      </c>
      <c r="C82" s="46" t="s">
        <v>244</v>
      </c>
      <c r="D82" s="47" t="s">
        <v>245</v>
      </c>
      <c r="E82" s="46"/>
      <c r="F82" s="48" t="s">
        <v>8</v>
      </c>
      <c r="G82" s="48" t="s">
        <v>8</v>
      </c>
      <c r="H82" s="48" t="s">
        <v>8</v>
      </c>
      <c r="I82" s="2">
        <f>SUM(I83:I89)</f>
      </c>
      <c r="J82" s="2">
        <f>SUM(J83:J89)</f>
      </c>
      <c r="K82" s="2">
        <f>SUM(K83:K89)</f>
      </c>
      <c r="L82" s="49" t="s">
        <v>52</v>
      </c>
      <c r="AI82" s="28" t="s">
        <v>179</v>
      </c>
      <c r="AS82" s="2">
        <f>SUM(AJ83:AJ89)</f>
      </c>
      <c r="AT82" s="2">
        <f>SUM(AK83:AK89)</f>
      </c>
      <c r="AU82" s="2">
        <f>SUM(AL83:AL89)</f>
      </c>
    </row>
    <row r="83">
      <c r="A83" s="9" t="s">
        <v>246</v>
      </c>
      <c r="B83" s="10" t="s">
        <v>179</v>
      </c>
      <c r="C83" s="10" t="s">
        <v>247</v>
      </c>
      <c r="D83" s="14" t="s">
        <v>248</v>
      </c>
      <c r="E83" s="10"/>
      <c r="F83" s="10" t="s">
        <v>195</v>
      </c>
      <c r="G83" s="50" t="n">
        <v>542</v>
      </c>
      <c r="H83" s="50" t="n">
        <v>0</v>
      </c>
      <c r="I83" s="50">
        <f>ROUND(G83*AO83,2)</f>
      </c>
      <c r="J83" s="50">
        <f>ROUND(G83*AP83,2)</f>
      </c>
      <c r="K83" s="50">
        <f>ROUND(G83*H83,2)</f>
      </c>
      <c r="L83" s="51" t="s">
        <v>61</v>
      </c>
      <c r="Z83" s="50">
        <f>ROUND(IF(AQ83="5",BJ83,0),2)</f>
      </c>
      <c r="AB83" s="50">
        <f>ROUND(IF(AQ83="1",BH83,0),2)</f>
      </c>
      <c r="AC83" s="50">
        <f>ROUND(IF(AQ83="1",BI83,0),2)</f>
      </c>
      <c r="AD83" s="50">
        <f>ROUND(IF(AQ83="7",BH83,0),2)</f>
      </c>
      <c r="AE83" s="50">
        <f>ROUND(IF(AQ83="7",BI83,0),2)</f>
      </c>
      <c r="AF83" s="50">
        <f>ROUND(IF(AQ83="2",BH83,0),2)</f>
      </c>
      <c r="AG83" s="50">
        <f>ROUND(IF(AQ83="2",BI83,0),2)</f>
      </c>
      <c r="AH83" s="50">
        <f>ROUND(IF(AQ83="0",BJ83,0),2)</f>
      </c>
      <c r="AI83" s="28" t="s">
        <v>179</v>
      </c>
      <c r="AJ83" s="50">
        <f>IF(AN83=0,K83,0)</f>
      </c>
      <c r="AK83" s="50">
        <f>IF(AN83=12,K83,0)</f>
      </c>
      <c r="AL83" s="50">
        <f>IF(AN83=21,K83,0)</f>
      </c>
      <c r="AN83" s="50" t="n">
        <v>21</v>
      </c>
      <c r="AO83" s="50">
        <f>H83*0.47352943</f>
      </c>
      <c r="AP83" s="50">
        <f>H83*(1-0.47352943)</f>
      </c>
      <c r="AQ83" s="52" t="s">
        <v>57</v>
      </c>
      <c r="AV83" s="50">
        <f>ROUND(AW83+AX83,2)</f>
      </c>
      <c r="AW83" s="50">
        <f>ROUND(G83*AO83,2)</f>
      </c>
      <c r="AX83" s="50">
        <f>ROUND(G83*AP83,2)</f>
      </c>
      <c r="AY83" s="52" t="s">
        <v>249</v>
      </c>
      <c r="AZ83" s="52" t="s">
        <v>227</v>
      </c>
      <c r="BA83" s="28" t="s">
        <v>187</v>
      </c>
      <c r="BC83" s="50">
        <f>AW83+AX83</f>
      </c>
      <c r="BD83" s="50">
        <f>H83/(100-BE83)*100</f>
      </c>
      <c r="BE83" s="50" t="n">
        <v>0</v>
      </c>
      <c r="BF83" s="50">
        <f>83</f>
      </c>
      <c r="BH83" s="50">
        <f>G83*AO83</f>
      </c>
      <c r="BI83" s="50">
        <f>G83*AP83</f>
      </c>
      <c r="BJ83" s="50">
        <f>G83*H83</f>
      </c>
      <c r="BK83" s="52" t="s">
        <v>65</v>
      </c>
      <c r="BL83" s="50" t="n">
        <v>59</v>
      </c>
      <c r="BW83" s="50" t="n">
        <v>21</v>
      </c>
      <c r="BX83" s="14" t="s">
        <v>248</v>
      </c>
    </row>
    <row r="84" ht="36.75">
      <c r="A84" s="53"/>
      <c r="C84" s="54" t="s">
        <v>127</v>
      </c>
      <c r="D84" s="55" t="s">
        <v>250</v>
      </c>
      <c r="E84" s="56"/>
      <c r="F84" s="56"/>
      <c r="G84" s="56"/>
      <c r="H84" s="56"/>
      <c r="I84" s="56"/>
      <c r="J84" s="56"/>
      <c r="K84" s="56"/>
      <c r="L84" s="57"/>
      <c r="BX84" s="55" t="s">
        <v>250</v>
      </c>
    </row>
    <row r="85">
      <c r="A85" s="9" t="s">
        <v>251</v>
      </c>
      <c r="B85" s="10" t="s">
        <v>179</v>
      </c>
      <c r="C85" s="10" t="s">
        <v>252</v>
      </c>
      <c r="D85" s="14" t="s">
        <v>253</v>
      </c>
      <c r="E85" s="10"/>
      <c r="F85" s="10" t="s">
        <v>195</v>
      </c>
      <c r="G85" s="50" t="n">
        <v>585</v>
      </c>
      <c r="H85" s="50" t="n">
        <v>0</v>
      </c>
      <c r="I85" s="50">
        <f>ROUND(G85*AO85,2)</f>
      </c>
      <c r="J85" s="50">
        <f>ROUND(G85*AP85,2)</f>
      </c>
      <c r="K85" s="50">
        <f>ROUND(G85*H85,2)</f>
      </c>
      <c r="L85" s="51" t="s">
        <v>61</v>
      </c>
      <c r="Z85" s="50">
        <f>ROUND(IF(AQ85="5",BJ85,0),2)</f>
      </c>
      <c r="AB85" s="50">
        <f>ROUND(IF(AQ85="1",BH85,0),2)</f>
      </c>
      <c r="AC85" s="50">
        <f>ROUND(IF(AQ85="1",BI85,0),2)</f>
      </c>
      <c r="AD85" s="50">
        <f>ROUND(IF(AQ85="7",BH85,0),2)</f>
      </c>
      <c r="AE85" s="50">
        <f>ROUND(IF(AQ85="7",BI85,0),2)</f>
      </c>
      <c r="AF85" s="50">
        <f>ROUND(IF(AQ85="2",BH85,0),2)</f>
      </c>
      <c r="AG85" s="50">
        <f>ROUND(IF(AQ85="2",BI85,0),2)</f>
      </c>
      <c r="AH85" s="50">
        <f>ROUND(IF(AQ85="0",BJ85,0),2)</f>
      </c>
      <c r="AI85" s="28" t="s">
        <v>179</v>
      </c>
      <c r="AJ85" s="50">
        <f>IF(AN85=0,K85,0)</f>
      </c>
      <c r="AK85" s="50">
        <f>IF(AN85=12,K85,0)</f>
      </c>
      <c r="AL85" s="50">
        <f>IF(AN85=21,K85,0)</f>
      </c>
      <c r="AN85" s="50" t="n">
        <v>21</v>
      </c>
      <c r="AO85" s="50">
        <f>H85*0.467231726</f>
      </c>
      <c r="AP85" s="50">
        <f>H85*(1-0.467231726)</f>
      </c>
      <c r="AQ85" s="52" t="s">
        <v>57</v>
      </c>
      <c r="AV85" s="50">
        <f>ROUND(AW85+AX85,2)</f>
      </c>
      <c r="AW85" s="50">
        <f>ROUND(G85*AO85,2)</f>
      </c>
      <c r="AX85" s="50">
        <f>ROUND(G85*AP85,2)</f>
      </c>
      <c r="AY85" s="52" t="s">
        <v>249</v>
      </c>
      <c r="AZ85" s="52" t="s">
        <v>227</v>
      </c>
      <c r="BA85" s="28" t="s">
        <v>187</v>
      </c>
      <c r="BC85" s="50">
        <f>AW85+AX85</f>
      </c>
      <c r="BD85" s="50">
        <f>H85/(100-BE85)*100</f>
      </c>
      <c r="BE85" s="50" t="n">
        <v>0</v>
      </c>
      <c r="BF85" s="50">
        <f>85</f>
      </c>
      <c r="BH85" s="50">
        <f>G85*AO85</f>
      </c>
      <c r="BI85" s="50">
        <f>G85*AP85</f>
      </c>
      <c r="BJ85" s="50">
        <f>G85*H85</f>
      </c>
      <c r="BK85" s="52" t="s">
        <v>65</v>
      </c>
      <c r="BL85" s="50" t="n">
        <v>59</v>
      </c>
      <c r="BW85" s="50" t="n">
        <v>21</v>
      </c>
      <c r="BX85" s="14" t="s">
        <v>253</v>
      </c>
    </row>
    <row r="86" ht="24.75">
      <c r="A86" s="53"/>
      <c r="C86" s="54" t="s">
        <v>127</v>
      </c>
      <c r="D86" s="55" t="s">
        <v>254</v>
      </c>
      <c r="E86" s="56"/>
      <c r="F86" s="56"/>
      <c r="G86" s="56"/>
      <c r="H86" s="56"/>
      <c r="I86" s="56"/>
      <c r="J86" s="56"/>
      <c r="K86" s="56"/>
      <c r="L86" s="57"/>
      <c r="BX86" s="55" t="s">
        <v>254</v>
      </c>
    </row>
    <row r="87">
      <c r="A87" s="9" t="s">
        <v>255</v>
      </c>
      <c r="B87" s="10" t="s">
        <v>179</v>
      </c>
      <c r="C87" s="10" t="s">
        <v>256</v>
      </c>
      <c r="D87" s="14" t="s">
        <v>257</v>
      </c>
      <c r="E87" s="10"/>
      <c r="F87" s="10" t="s">
        <v>195</v>
      </c>
      <c r="G87" s="50" t="n">
        <v>115</v>
      </c>
      <c r="H87" s="50" t="n">
        <v>0</v>
      </c>
      <c r="I87" s="50">
        <f>ROUND(G87*AO87,2)</f>
      </c>
      <c r="J87" s="50">
        <f>ROUND(G87*AP87,2)</f>
      </c>
      <c r="K87" s="50">
        <f>ROUND(G87*H87,2)</f>
      </c>
      <c r="L87" s="51" t="s">
        <v>61</v>
      </c>
      <c r="Z87" s="50">
        <f>ROUND(IF(AQ87="5",BJ87,0),2)</f>
      </c>
      <c r="AB87" s="50">
        <f>ROUND(IF(AQ87="1",BH87,0),2)</f>
      </c>
      <c r="AC87" s="50">
        <f>ROUND(IF(AQ87="1",BI87,0),2)</f>
      </c>
      <c r="AD87" s="50">
        <f>ROUND(IF(AQ87="7",BH87,0),2)</f>
      </c>
      <c r="AE87" s="50">
        <f>ROUND(IF(AQ87="7",BI87,0),2)</f>
      </c>
      <c r="AF87" s="50">
        <f>ROUND(IF(AQ87="2",BH87,0),2)</f>
      </c>
      <c r="AG87" s="50">
        <f>ROUND(IF(AQ87="2",BI87,0),2)</f>
      </c>
      <c r="AH87" s="50">
        <f>ROUND(IF(AQ87="0",BJ87,0),2)</f>
      </c>
      <c r="AI87" s="28" t="s">
        <v>179</v>
      </c>
      <c r="AJ87" s="50">
        <f>IF(AN87=0,K87,0)</f>
      </c>
      <c r="AK87" s="50">
        <f>IF(AN87=12,K87,0)</f>
      </c>
      <c r="AL87" s="50">
        <f>IF(AN87=21,K87,0)</f>
      </c>
      <c r="AN87" s="50" t="n">
        <v>21</v>
      </c>
      <c r="AO87" s="50">
        <f>H87*0.604372456</f>
      </c>
      <c r="AP87" s="50">
        <f>H87*(1-0.604372456)</f>
      </c>
      <c r="AQ87" s="52" t="s">
        <v>57</v>
      </c>
      <c r="AV87" s="50">
        <f>ROUND(AW87+AX87,2)</f>
      </c>
      <c r="AW87" s="50">
        <f>ROUND(G87*AO87,2)</f>
      </c>
      <c r="AX87" s="50">
        <f>ROUND(G87*AP87,2)</f>
      </c>
      <c r="AY87" s="52" t="s">
        <v>249</v>
      </c>
      <c r="AZ87" s="52" t="s">
        <v>227</v>
      </c>
      <c r="BA87" s="28" t="s">
        <v>187</v>
      </c>
      <c r="BC87" s="50">
        <f>AW87+AX87</f>
      </c>
      <c r="BD87" s="50">
        <f>H87/(100-BE87)*100</f>
      </c>
      <c r="BE87" s="50" t="n">
        <v>0</v>
      </c>
      <c r="BF87" s="50">
        <f>87</f>
      </c>
      <c r="BH87" s="50">
        <f>G87*AO87</f>
      </c>
      <c r="BI87" s="50">
        <f>G87*AP87</f>
      </c>
      <c r="BJ87" s="50">
        <f>G87*H87</f>
      </c>
      <c r="BK87" s="52" t="s">
        <v>65</v>
      </c>
      <c r="BL87" s="50" t="n">
        <v>59</v>
      </c>
      <c r="BW87" s="50" t="n">
        <v>21</v>
      </c>
      <c r="BX87" s="14" t="s">
        <v>257</v>
      </c>
    </row>
    <row r="88">
      <c r="A88" s="53"/>
      <c r="C88" s="54" t="s">
        <v>127</v>
      </c>
      <c r="D88" s="55" t="s">
        <v>258</v>
      </c>
      <c r="E88" s="56"/>
      <c r="F88" s="56"/>
      <c r="G88" s="56"/>
      <c r="H88" s="56"/>
      <c r="I88" s="56"/>
      <c r="J88" s="56"/>
      <c r="K88" s="56"/>
      <c r="L88" s="57"/>
      <c r="BX88" s="55" t="s">
        <v>258</v>
      </c>
    </row>
    <row r="89">
      <c r="A89" s="9" t="s">
        <v>259</v>
      </c>
      <c r="B89" s="10" t="s">
        <v>179</v>
      </c>
      <c r="C89" s="10" t="s">
        <v>260</v>
      </c>
      <c r="D89" s="14" t="s">
        <v>261</v>
      </c>
      <c r="E89" s="10"/>
      <c r="F89" s="10" t="s">
        <v>195</v>
      </c>
      <c r="G89" s="50" t="n">
        <v>115</v>
      </c>
      <c r="H89" s="50" t="n">
        <v>0</v>
      </c>
      <c r="I89" s="50">
        <f>ROUND(G89*AO89,2)</f>
      </c>
      <c r="J89" s="50">
        <f>ROUND(G89*AP89,2)</f>
      </c>
      <c r="K89" s="50">
        <f>ROUND(G89*H89,2)</f>
      </c>
      <c r="L89" s="51" t="s">
        <v>61</v>
      </c>
      <c r="Z89" s="50">
        <f>ROUND(IF(AQ89="5",BJ89,0),2)</f>
      </c>
      <c r="AB89" s="50">
        <f>ROUND(IF(AQ89="1",BH89,0),2)</f>
      </c>
      <c r="AC89" s="50">
        <f>ROUND(IF(AQ89="1",BI89,0),2)</f>
      </c>
      <c r="AD89" s="50">
        <f>ROUND(IF(AQ89="7",BH89,0),2)</f>
      </c>
      <c r="AE89" s="50">
        <f>ROUND(IF(AQ89="7",BI89,0),2)</f>
      </c>
      <c r="AF89" s="50">
        <f>ROUND(IF(AQ89="2",BH89,0),2)</f>
      </c>
      <c r="AG89" s="50">
        <f>ROUND(IF(AQ89="2",BI89,0),2)</f>
      </c>
      <c r="AH89" s="50">
        <f>ROUND(IF(AQ89="0",BJ89,0),2)</f>
      </c>
      <c r="AI89" s="28" t="s">
        <v>179</v>
      </c>
      <c r="AJ89" s="50">
        <f>IF(AN89=0,K89,0)</f>
      </c>
      <c r="AK89" s="50">
        <f>IF(AN89=12,K89,0)</f>
      </c>
      <c r="AL89" s="50">
        <f>IF(AN89=21,K89,0)</f>
      </c>
      <c r="AN89" s="50" t="n">
        <v>21</v>
      </c>
      <c r="AO89" s="50">
        <f>H89*0.072804726</f>
      </c>
      <c r="AP89" s="50">
        <f>H89*(1-0.072804726)</f>
      </c>
      <c r="AQ89" s="52" t="s">
        <v>57</v>
      </c>
      <c r="AV89" s="50">
        <f>ROUND(AW89+AX89,2)</f>
      </c>
      <c r="AW89" s="50">
        <f>ROUND(G89*AO89,2)</f>
      </c>
      <c r="AX89" s="50">
        <f>ROUND(G89*AP89,2)</f>
      </c>
      <c r="AY89" s="52" t="s">
        <v>249</v>
      </c>
      <c r="AZ89" s="52" t="s">
        <v>227</v>
      </c>
      <c r="BA89" s="28" t="s">
        <v>187</v>
      </c>
      <c r="BC89" s="50">
        <f>AW89+AX89</f>
      </c>
      <c r="BD89" s="50">
        <f>H89/(100-BE89)*100</f>
      </c>
      <c r="BE89" s="50" t="n">
        <v>0</v>
      </c>
      <c r="BF89" s="50">
        <f>89</f>
      </c>
      <c r="BH89" s="50">
        <f>G89*AO89</f>
      </c>
      <c r="BI89" s="50">
        <f>G89*AP89</f>
      </c>
      <c r="BJ89" s="50">
        <f>G89*H89</f>
      </c>
      <c r="BK89" s="52" t="s">
        <v>65</v>
      </c>
      <c r="BL89" s="50" t="n">
        <v>59</v>
      </c>
      <c r="BW89" s="50" t="n">
        <v>21</v>
      </c>
      <c r="BX89" s="14" t="s">
        <v>261</v>
      </c>
    </row>
    <row r="90" ht="24.75">
      <c r="A90" s="53"/>
      <c r="C90" s="54" t="s">
        <v>127</v>
      </c>
      <c r="D90" s="55" t="s">
        <v>262</v>
      </c>
      <c r="E90" s="56"/>
      <c r="F90" s="56"/>
      <c r="G90" s="56"/>
      <c r="H90" s="56"/>
      <c r="I90" s="56"/>
      <c r="J90" s="56"/>
      <c r="K90" s="56"/>
      <c r="L90" s="57"/>
      <c r="BX90" s="55" t="s">
        <v>262</v>
      </c>
    </row>
    <row r="91">
      <c r="A91" s="45" t="s">
        <v>52</v>
      </c>
      <c r="B91" s="46" t="s">
        <v>179</v>
      </c>
      <c r="C91" s="46" t="s">
        <v>263</v>
      </c>
      <c r="D91" s="47" t="s">
        <v>264</v>
      </c>
      <c r="E91" s="46"/>
      <c r="F91" s="48" t="s">
        <v>8</v>
      </c>
      <c r="G91" s="48" t="s">
        <v>8</v>
      </c>
      <c r="H91" s="48" t="s">
        <v>8</v>
      </c>
      <c r="I91" s="2">
        <f>SUM(I92:I102)</f>
      </c>
      <c r="J91" s="2">
        <f>SUM(J92:J102)</f>
      </c>
      <c r="K91" s="2">
        <f>SUM(K92:K102)</f>
      </c>
      <c r="L91" s="49" t="s">
        <v>52</v>
      </c>
      <c r="AI91" s="28" t="s">
        <v>179</v>
      </c>
      <c r="AS91" s="2">
        <f>SUM(AJ92:AJ102)</f>
      </c>
      <c r="AT91" s="2">
        <f>SUM(AK92:AK102)</f>
      </c>
      <c r="AU91" s="2">
        <f>SUM(AL92:AL102)</f>
      </c>
    </row>
    <row r="92">
      <c r="A92" s="9" t="s">
        <v>265</v>
      </c>
      <c r="B92" s="10" t="s">
        <v>179</v>
      </c>
      <c r="C92" s="10" t="s">
        <v>266</v>
      </c>
      <c r="D92" s="14" t="s">
        <v>267</v>
      </c>
      <c r="E92" s="10"/>
      <c r="F92" s="10" t="s">
        <v>95</v>
      </c>
      <c r="G92" s="50" t="n">
        <v>367</v>
      </c>
      <c r="H92" s="50" t="n">
        <v>0</v>
      </c>
      <c r="I92" s="50">
        <f>ROUND(G92*AO92,2)</f>
      </c>
      <c r="J92" s="50">
        <f>ROUND(G92*AP92,2)</f>
      </c>
      <c r="K92" s="50">
        <f>ROUND(G92*H92,2)</f>
      </c>
      <c r="L92" s="51" t="s">
        <v>61</v>
      </c>
      <c r="Z92" s="50">
        <f>ROUND(IF(AQ92="5",BJ92,0),2)</f>
      </c>
      <c r="AB92" s="50">
        <f>ROUND(IF(AQ92="1",BH92,0),2)</f>
      </c>
      <c r="AC92" s="50">
        <f>ROUND(IF(AQ92="1",BI92,0),2)</f>
      </c>
      <c r="AD92" s="50">
        <f>ROUND(IF(AQ92="7",BH92,0),2)</f>
      </c>
      <c r="AE92" s="50">
        <f>ROUND(IF(AQ92="7",BI92,0),2)</f>
      </c>
      <c r="AF92" s="50">
        <f>ROUND(IF(AQ92="2",BH92,0),2)</f>
      </c>
      <c r="AG92" s="50">
        <f>ROUND(IF(AQ92="2",BI92,0),2)</f>
      </c>
      <c r="AH92" s="50">
        <f>ROUND(IF(AQ92="0",BJ92,0),2)</f>
      </c>
      <c r="AI92" s="28" t="s">
        <v>179</v>
      </c>
      <c r="AJ92" s="50">
        <f>IF(AN92=0,K92,0)</f>
      </c>
      <c r="AK92" s="50">
        <f>IF(AN92=12,K92,0)</f>
      </c>
      <c r="AL92" s="50">
        <f>IF(AN92=21,K92,0)</f>
      </c>
      <c r="AN92" s="50" t="n">
        <v>21</v>
      </c>
      <c r="AO92" s="50">
        <f>H92*0.74353658</f>
      </c>
      <c r="AP92" s="50">
        <f>H92*(1-0.74353658)</f>
      </c>
      <c r="AQ92" s="52" t="s">
        <v>57</v>
      </c>
      <c r="AV92" s="50">
        <f>ROUND(AW92+AX92,2)</f>
      </c>
      <c r="AW92" s="50">
        <f>ROUND(G92*AO92,2)</f>
      </c>
      <c r="AX92" s="50">
        <f>ROUND(G92*AP92,2)</f>
      </c>
      <c r="AY92" s="52" t="s">
        <v>268</v>
      </c>
      <c r="AZ92" s="52" t="s">
        <v>269</v>
      </c>
      <c r="BA92" s="28" t="s">
        <v>187</v>
      </c>
      <c r="BC92" s="50">
        <f>AW92+AX92</f>
      </c>
      <c r="BD92" s="50">
        <f>H92/(100-BE92)*100</f>
      </c>
      <c r="BE92" s="50" t="n">
        <v>0</v>
      </c>
      <c r="BF92" s="50">
        <f>92</f>
      </c>
      <c r="BH92" s="50">
        <f>G92*AO92</f>
      </c>
      <c r="BI92" s="50">
        <f>G92*AP92</f>
      </c>
      <c r="BJ92" s="50">
        <f>G92*H92</f>
      </c>
      <c r="BK92" s="52" t="s">
        <v>65</v>
      </c>
      <c r="BL92" s="50" t="n">
        <v>91</v>
      </c>
      <c r="BW92" s="50" t="n">
        <v>21</v>
      </c>
      <c r="BX92" s="14" t="s">
        <v>267</v>
      </c>
    </row>
    <row r="93">
      <c r="A93" s="9" t="s">
        <v>270</v>
      </c>
      <c r="B93" s="10" t="s">
        <v>179</v>
      </c>
      <c r="C93" s="10" t="s">
        <v>271</v>
      </c>
      <c r="D93" s="14" t="s">
        <v>267</v>
      </c>
      <c r="E93" s="10"/>
      <c r="F93" s="10" t="s">
        <v>95</v>
      </c>
      <c r="G93" s="50" t="n">
        <v>438</v>
      </c>
      <c r="H93" s="50" t="n">
        <v>0</v>
      </c>
      <c r="I93" s="50">
        <f>ROUND(G93*AO93,2)</f>
      </c>
      <c r="J93" s="50">
        <f>ROUND(G93*AP93,2)</f>
      </c>
      <c r="K93" s="50">
        <f>ROUND(G93*H93,2)</f>
      </c>
      <c r="L93" s="51" t="s">
        <v>61</v>
      </c>
      <c r="Z93" s="50">
        <f>ROUND(IF(AQ93="5",BJ93,0),2)</f>
      </c>
      <c r="AB93" s="50">
        <f>ROUND(IF(AQ93="1",BH93,0),2)</f>
      </c>
      <c r="AC93" s="50">
        <f>ROUND(IF(AQ93="1",BI93,0),2)</f>
      </c>
      <c r="AD93" s="50">
        <f>ROUND(IF(AQ93="7",BH93,0),2)</f>
      </c>
      <c r="AE93" s="50">
        <f>ROUND(IF(AQ93="7",BI93,0),2)</f>
      </c>
      <c r="AF93" s="50">
        <f>ROUND(IF(AQ93="2",BH93,0),2)</f>
      </c>
      <c r="AG93" s="50">
        <f>ROUND(IF(AQ93="2",BI93,0),2)</f>
      </c>
      <c r="AH93" s="50">
        <f>ROUND(IF(AQ93="0",BJ93,0),2)</f>
      </c>
      <c r="AI93" s="28" t="s">
        <v>179</v>
      </c>
      <c r="AJ93" s="50">
        <f>IF(AN93=0,K93,0)</f>
      </c>
      <c r="AK93" s="50">
        <f>IF(AN93=12,K93,0)</f>
      </c>
      <c r="AL93" s="50">
        <f>IF(AN93=21,K93,0)</f>
      </c>
      <c r="AN93" s="50" t="n">
        <v>21</v>
      </c>
      <c r="AO93" s="50">
        <f>H93*0.679306513</f>
      </c>
      <c r="AP93" s="50">
        <f>H93*(1-0.679306513)</f>
      </c>
      <c r="AQ93" s="52" t="s">
        <v>57</v>
      </c>
      <c r="AV93" s="50">
        <f>ROUND(AW93+AX93,2)</f>
      </c>
      <c r="AW93" s="50">
        <f>ROUND(G93*AO93,2)</f>
      </c>
      <c r="AX93" s="50">
        <f>ROUND(G93*AP93,2)</f>
      </c>
      <c r="AY93" s="52" t="s">
        <v>268</v>
      </c>
      <c r="AZ93" s="52" t="s">
        <v>269</v>
      </c>
      <c r="BA93" s="28" t="s">
        <v>187</v>
      </c>
      <c r="BC93" s="50">
        <f>AW93+AX93</f>
      </c>
      <c r="BD93" s="50">
        <f>H93/(100-BE93)*100</f>
      </c>
      <c r="BE93" s="50" t="n">
        <v>0</v>
      </c>
      <c r="BF93" s="50">
        <f>93</f>
      </c>
      <c r="BH93" s="50">
        <f>G93*AO93</f>
      </c>
      <c r="BI93" s="50">
        <f>G93*AP93</f>
      </c>
      <c r="BJ93" s="50">
        <f>G93*H93</f>
      </c>
      <c r="BK93" s="52" t="s">
        <v>65</v>
      </c>
      <c r="BL93" s="50" t="n">
        <v>91</v>
      </c>
      <c r="BW93" s="50" t="n">
        <v>21</v>
      </c>
      <c r="BX93" s="14" t="s">
        <v>267</v>
      </c>
    </row>
    <row r="94">
      <c r="A94" s="9" t="s">
        <v>272</v>
      </c>
      <c r="B94" s="10" t="s">
        <v>179</v>
      </c>
      <c r="C94" s="10" t="s">
        <v>273</v>
      </c>
      <c r="D94" s="14" t="s">
        <v>274</v>
      </c>
      <c r="E94" s="10"/>
      <c r="F94" s="10" t="s">
        <v>275</v>
      </c>
      <c r="G94" s="50" t="n">
        <v>4</v>
      </c>
      <c r="H94" s="50" t="n">
        <v>0</v>
      </c>
      <c r="I94" s="50">
        <f>ROUND(G94*AO94,2)</f>
      </c>
      <c r="J94" s="50">
        <f>ROUND(G94*AP94,2)</f>
      </c>
      <c r="K94" s="50">
        <f>ROUND(G94*H94,2)</f>
      </c>
      <c r="L94" s="51" t="s">
        <v>61</v>
      </c>
      <c r="Z94" s="50">
        <f>ROUND(IF(AQ94="5",BJ94,0),2)</f>
      </c>
      <c r="AB94" s="50">
        <f>ROUND(IF(AQ94="1",BH94,0),2)</f>
      </c>
      <c r="AC94" s="50">
        <f>ROUND(IF(AQ94="1",BI94,0),2)</f>
      </c>
      <c r="AD94" s="50">
        <f>ROUND(IF(AQ94="7",BH94,0),2)</f>
      </c>
      <c r="AE94" s="50">
        <f>ROUND(IF(AQ94="7",BI94,0),2)</f>
      </c>
      <c r="AF94" s="50">
        <f>ROUND(IF(AQ94="2",BH94,0),2)</f>
      </c>
      <c r="AG94" s="50">
        <f>ROUND(IF(AQ94="2",BI94,0),2)</f>
      </c>
      <c r="AH94" s="50">
        <f>ROUND(IF(AQ94="0",BJ94,0),2)</f>
      </c>
      <c r="AI94" s="28" t="s">
        <v>179</v>
      </c>
      <c r="AJ94" s="50">
        <f>IF(AN94=0,K94,0)</f>
      </c>
      <c r="AK94" s="50">
        <f>IF(AN94=12,K94,0)</f>
      </c>
      <c r="AL94" s="50">
        <f>IF(AN94=21,K94,0)</f>
      </c>
      <c r="AN94" s="50" t="n">
        <v>21</v>
      </c>
      <c r="AO94" s="50">
        <f>H94*0.917135572</f>
      </c>
      <c r="AP94" s="50">
        <f>H94*(1-0.917135572)</f>
      </c>
      <c r="AQ94" s="52" t="s">
        <v>57</v>
      </c>
      <c r="AV94" s="50">
        <f>ROUND(AW94+AX94,2)</f>
      </c>
      <c r="AW94" s="50">
        <f>ROUND(G94*AO94,2)</f>
      </c>
      <c r="AX94" s="50">
        <f>ROUND(G94*AP94,2)</f>
      </c>
      <c r="AY94" s="52" t="s">
        <v>268</v>
      </c>
      <c r="AZ94" s="52" t="s">
        <v>269</v>
      </c>
      <c r="BA94" s="28" t="s">
        <v>187</v>
      </c>
      <c r="BC94" s="50">
        <f>AW94+AX94</f>
      </c>
      <c r="BD94" s="50">
        <f>H94/(100-BE94)*100</f>
      </c>
      <c r="BE94" s="50" t="n">
        <v>0</v>
      </c>
      <c r="BF94" s="50">
        <f>94</f>
      </c>
      <c r="BH94" s="50">
        <f>G94*AO94</f>
      </c>
      <c r="BI94" s="50">
        <f>G94*AP94</f>
      </c>
      <c r="BJ94" s="50">
        <f>G94*H94</f>
      </c>
      <c r="BK94" s="52" t="s">
        <v>65</v>
      </c>
      <c r="BL94" s="50" t="n">
        <v>91</v>
      </c>
      <c r="BW94" s="50" t="n">
        <v>21</v>
      </c>
      <c r="BX94" s="14" t="s">
        <v>274</v>
      </c>
    </row>
    <row r="95" ht="24.75">
      <c r="A95" s="53"/>
      <c r="C95" s="54" t="s">
        <v>127</v>
      </c>
      <c r="D95" s="55" t="s">
        <v>276</v>
      </c>
      <c r="E95" s="56"/>
      <c r="F95" s="56"/>
      <c r="G95" s="56"/>
      <c r="H95" s="56"/>
      <c r="I95" s="56"/>
      <c r="J95" s="56"/>
      <c r="K95" s="56"/>
      <c r="L95" s="57"/>
      <c r="BX95" s="55" t="s">
        <v>276</v>
      </c>
    </row>
    <row r="96">
      <c r="A96" s="9" t="s">
        <v>277</v>
      </c>
      <c r="B96" s="10" t="s">
        <v>179</v>
      </c>
      <c r="C96" s="10" t="s">
        <v>278</v>
      </c>
      <c r="D96" s="14" t="s">
        <v>279</v>
      </c>
      <c r="E96" s="10"/>
      <c r="F96" s="10" t="s">
        <v>80</v>
      </c>
      <c r="G96" s="50" t="n">
        <v>24</v>
      </c>
      <c r="H96" s="50" t="n">
        <v>0</v>
      </c>
      <c r="I96" s="50">
        <f>ROUND(G96*AO96,2)</f>
      </c>
      <c r="J96" s="50">
        <f>ROUND(G96*AP96,2)</f>
      </c>
      <c r="K96" s="50">
        <f>ROUND(G96*H96,2)</f>
      </c>
      <c r="L96" s="51" t="s">
        <v>61</v>
      </c>
      <c r="Z96" s="50">
        <f>ROUND(IF(AQ96="5",BJ96,0),2)</f>
      </c>
      <c r="AB96" s="50">
        <f>ROUND(IF(AQ96="1",BH96,0),2)</f>
      </c>
      <c r="AC96" s="50">
        <f>ROUND(IF(AQ96="1",BI96,0),2)</f>
      </c>
      <c r="AD96" s="50">
        <f>ROUND(IF(AQ96="7",BH96,0),2)</f>
      </c>
      <c r="AE96" s="50">
        <f>ROUND(IF(AQ96="7",BI96,0),2)</f>
      </c>
      <c r="AF96" s="50">
        <f>ROUND(IF(AQ96="2",BH96,0),2)</f>
      </c>
      <c r="AG96" s="50">
        <f>ROUND(IF(AQ96="2",BI96,0),2)</f>
      </c>
      <c r="AH96" s="50">
        <f>ROUND(IF(AQ96="0",BJ96,0),2)</f>
      </c>
      <c r="AI96" s="28" t="s">
        <v>179</v>
      </c>
      <c r="AJ96" s="50">
        <f>IF(AN96=0,K96,0)</f>
      </c>
      <c r="AK96" s="50">
        <f>IF(AN96=12,K96,0)</f>
      </c>
      <c r="AL96" s="50">
        <f>IF(AN96=21,K96,0)</f>
      </c>
      <c r="AN96" s="50" t="n">
        <v>21</v>
      </c>
      <c r="AO96" s="50">
        <f>H96*0.92455991</f>
      </c>
      <c r="AP96" s="50">
        <f>H96*(1-0.92455991)</f>
      </c>
      <c r="AQ96" s="52" t="s">
        <v>57</v>
      </c>
      <c r="AV96" s="50">
        <f>ROUND(AW96+AX96,2)</f>
      </c>
      <c r="AW96" s="50">
        <f>ROUND(G96*AO96,2)</f>
      </c>
      <c r="AX96" s="50">
        <f>ROUND(G96*AP96,2)</f>
      </c>
      <c r="AY96" s="52" t="s">
        <v>268</v>
      </c>
      <c r="AZ96" s="52" t="s">
        <v>269</v>
      </c>
      <c r="BA96" s="28" t="s">
        <v>187</v>
      </c>
      <c r="BC96" s="50">
        <f>AW96+AX96</f>
      </c>
      <c r="BD96" s="50">
        <f>H96/(100-BE96)*100</f>
      </c>
      <c r="BE96" s="50" t="n">
        <v>0</v>
      </c>
      <c r="BF96" s="50">
        <f>96</f>
      </c>
      <c r="BH96" s="50">
        <f>G96*AO96</f>
      </c>
      <c r="BI96" s="50">
        <f>G96*AP96</f>
      </c>
      <c r="BJ96" s="50">
        <f>G96*H96</f>
      </c>
      <c r="BK96" s="52" t="s">
        <v>65</v>
      </c>
      <c r="BL96" s="50" t="n">
        <v>91</v>
      </c>
      <c r="BW96" s="50" t="n">
        <v>21</v>
      </c>
      <c r="BX96" s="14" t="s">
        <v>279</v>
      </c>
    </row>
    <row r="97">
      <c r="A97" s="9" t="s">
        <v>280</v>
      </c>
      <c r="B97" s="10" t="s">
        <v>179</v>
      </c>
      <c r="C97" s="10" t="s">
        <v>281</v>
      </c>
      <c r="D97" s="14" t="s">
        <v>282</v>
      </c>
      <c r="E97" s="10"/>
      <c r="F97" s="10" t="s">
        <v>95</v>
      </c>
      <c r="G97" s="50" t="n">
        <v>25</v>
      </c>
      <c r="H97" s="50" t="n">
        <v>0</v>
      </c>
      <c r="I97" s="50">
        <f>ROUND(G97*AO97,2)</f>
      </c>
      <c r="J97" s="50">
        <f>ROUND(G97*AP97,2)</f>
      </c>
      <c r="K97" s="50">
        <f>ROUND(G97*H97,2)</f>
      </c>
      <c r="L97" s="51" t="s">
        <v>61</v>
      </c>
      <c r="Z97" s="50">
        <f>ROUND(IF(AQ97="5",BJ97,0),2)</f>
      </c>
      <c r="AB97" s="50">
        <f>ROUND(IF(AQ97="1",BH97,0),2)</f>
      </c>
      <c r="AC97" s="50">
        <f>ROUND(IF(AQ97="1",BI97,0),2)</f>
      </c>
      <c r="AD97" s="50">
        <f>ROUND(IF(AQ97="7",BH97,0),2)</f>
      </c>
      <c r="AE97" s="50">
        <f>ROUND(IF(AQ97="7",BI97,0),2)</f>
      </c>
      <c r="AF97" s="50">
        <f>ROUND(IF(AQ97="2",BH97,0),2)</f>
      </c>
      <c r="AG97" s="50">
        <f>ROUND(IF(AQ97="2",BI97,0),2)</f>
      </c>
      <c r="AH97" s="50">
        <f>ROUND(IF(AQ97="0",BJ97,0),2)</f>
      </c>
      <c r="AI97" s="28" t="s">
        <v>179</v>
      </c>
      <c r="AJ97" s="50">
        <f>IF(AN97=0,K97,0)</f>
      </c>
      <c r="AK97" s="50">
        <f>IF(AN97=12,K97,0)</f>
      </c>
      <c r="AL97" s="50">
        <f>IF(AN97=21,K97,0)</f>
      </c>
      <c r="AN97" s="50" t="n">
        <v>21</v>
      </c>
      <c r="AO97" s="50">
        <f>H97*0.287229386</f>
      </c>
      <c r="AP97" s="50">
        <f>H97*(1-0.287229386)</f>
      </c>
      <c r="AQ97" s="52" t="s">
        <v>57</v>
      </c>
      <c r="AV97" s="50">
        <f>ROUND(AW97+AX97,2)</f>
      </c>
      <c r="AW97" s="50">
        <f>ROUND(G97*AO97,2)</f>
      </c>
      <c r="AX97" s="50">
        <f>ROUND(G97*AP97,2)</f>
      </c>
      <c r="AY97" s="52" t="s">
        <v>268</v>
      </c>
      <c r="AZ97" s="52" t="s">
        <v>269</v>
      </c>
      <c r="BA97" s="28" t="s">
        <v>187</v>
      </c>
      <c r="BC97" s="50">
        <f>AW97+AX97</f>
      </c>
      <c r="BD97" s="50">
        <f>H97/(100-BE97)*100</f>
      </c>
      <c r="BE97" s="50" t="n">
        <v>0</v>
      </c>
      <c r="BF97" s="50">
        <f>97</f>
      </c>
      <c r="BH97" s="50">
        <f>G97*AO97</f>
      </c>
      <c r="BI97" s="50">
        <f>G97*AP97</f>
      </c>
      <c r="BJ97" s="50">
        <f>G97*H97</f>
      </c>
      <c r="BK97" s="52" t="s">
        <v>65</v>
      </c>
      <c r="BL97" s="50" t="n">
        <v>91</v>
      </c>
      <c r="BW97" s="50" t="n">
        <v>21</v>
      </c>
      <c r="BX97" s="14" t="s">
        <v>282</v>
      </c>
    </row>
    <row r="98">
      <c r="A98" s="9" t="s">
        <v>283</v>
      </c>
      <c r="B98" s="10" t="s">
        <v>179</v>
      </c>
      <c r="C98" s="10" t="s">
        <v>284</v>
      </c>
      <c r="D98" s="14" t="s">
        <v>285</v>
      </c>
      <c r="E98" s="10"/>
      <c r="F98" s="10" t="s">
        <v>95</v>
      </c>
      <c r="G98" s="50" t="n">
        <v>25</v>
      </c>
      <c r="H98" s="50" t="n">
        <v>0</v>
      </c>
      <c r="I98" s="50">
        <f>ROUND(G98*AO98,2)</f>
      </c>
      <c r="J98" s="50">
        <f>ROUND(G98*AP98,2)</f>
      </c>
      <c r="K98" s="50">
        <f>ROUND(G98*H98,2)</f>
      </c>
      <c r="L98" s="51" t="s">
        <v>61</v>
      </c>
      <c r="Z98" s="50">
        <f>ROUND(IF(AQ98="5",BJ98,0),2)</f>
      </c>
      <c r="AB98" s="50">
        <f>ROUND(IF(AQ98="1",BH98,0),2)</f>
      </c>
      <c r="AC98" s="50">
        <f>ROUND(IF(AQ98="1",BI98,0),2)</f>
      </c>
      <c r="AD98" s="50">
        <f>ROUND(IF(AQ98="7",BH98,0),2)</f>
      </c>
      <c r="AE98" s="50">
        <f>ROUND(IF(AQ98="7",BI98,0),2)</f>
      </c>
      <c r="AF98" s="50">
        <f>ROUND(IF(AQ98="2",BH98,0),2)</f>
      </c>
      <c r="AG98" s="50">
        <f>ROUND(IF(AQ98="2",BI98,0),2)</f>
      </c>
      <c r="AH98" s="50">
        <f>ROUND(IF(AQ98="0",BJ98,0),2)</f>
      </c>
      <c r="AI98" s="28" t="s">
        <v>179</v>
      </c>
      <c r="AJ98" s="50">
        <f>IF(AN98=0,K98,0)</f>
      </c>
      <c r="AK98" s="50">
        <f>IF(AN98=12,K98,0)</f>
      </c>
      <c r="AL98" s="50">
        <f>IF(AN98=21,K98,0)</f>
      </c>
      <c r="AN98" s="50" t="n">
        <v>21</v>
      </c>
      <c r="AO98" s="50">
        <f>H98*0.511687764</f>
      </c>
      <c r="AP98" s="50">
        <f>H98*(1-0.511687764)</f>
      </c>
      <c r="AQ98" s="52" t="s">
        <v>57</v>
      </c>
      <c r="AV98" s="50">
        <f>ROUND(AW98+AX98,2)</f>
      </c>
      <c r="AW98" s="50">
        <f>ROUND(G98*AO98,2)</f>
      </c>
      <c r="AX98" s="50">
        <f>ROUND(G98*AP98,2)</f>
      </c>
      <c r="AY98" s="52" t="s">
        <v>268</v>
      </c>
      <c r="AZ98" s="52" t="s">
        <v>269</v>
      </c>
      <c r="BA98" s="28" t="s">
        <v>187</v>
      </c>
      <c r="BC98" s="50">
        <f>AW98+AX98</f>
      </c>
      <c r="BD98" s="50">
        <f>H98/(100-BE98)*100</f>
      </c>
      <c r="BE98" s="50" t="n">
        <v>0</v>
      </c>
      <c r="BF98" s="50">
        <f>98</f>
      </c>
      <c r="BH98" s="50">
        <f>G98*AO98</f>
      </c>
      <c r="BI98" s="50">
        <f>G98*AP98</f>
      </c>
      <c r="BJ98" s="50">
        <f>G98*H98</f>
      </c>
      <c r="BK98" s="52" t="s">
        <v>65</v>
      </c>
      <c r="BL98" s="50" t="n">
        <v>91</v>
      </c>
      <c r="BW98" s="50" t="n">
        <v>21</v>
      </c>
      <c r="BX98" s="14" t="s">
        <v>285</v>
      </c>
    </row>
    <row r="99">
      <c r="A99" s="53"/>
      <c r="C99" s="54" t="s">
        <v>127</v>
      </c>
      <c r="D99" s="55" t="s">
        <v>286</v>
      </c>
      <c r="E99" s="56"/>
      <c r="F99" s="56"/>
      <c r="G99" s="56"/>
      <c r="H99" s="56"/>
      <c r="I99" s="56"/>
      <c r="J99" s="56"/>
      <c r="K99" s="56"/>
      <c r="L99" s="57"/>
      <c r="BX99" s="55" t="s">
        <v>286</v>
      </c>
    </row>
    <row r="100" ht="24.75">
      <c r="A100" s="9" t="s">
        <v>287</v>
      </c>
      <c r="B100" s="10" t="s">
        <v>179</v>
      </c>
      <c r="C100" s="10" t="s">
        <v>288</v>
      </c>
      <c r="D100" s="14" t="s">
        <v>289</v>
      </c>
      <c r="E100" s="10"/>
      <c r="F100" s="10" t="s">
        <v>80</v>
      </c>
      <c r="G100" s="50" t="n">
        <v>7</v>
      </c>
      <c r="H100" s="50" t="n">
        <v>0</v>
      </c>
      <c r="I100" s="50">
        <f>ROUND(G100*AO100,2)</f>
      </c>
      <c r="J100" s="50">
        <f>ROUND(G100*AP100,2)</f>
      </c>
      <c r="K100" s="50">
        <f>ROUND(G100*H100,2)</f>
      </c>
      <c r="L100" s="51" t="s">
        <v>61</v>
      </c>
      <c r="Z100" s="50">
        <f>ROUND(IF(AQ100="5",BJ100,0),2)</f>
      </c>
      <c r="AB100" s="50">
        <f>ROUND(IF(AQ100="1",BH100,0),2)</f>
      </c>
      <c r="AC100" s="50">
        <f>ROUND(IF(AQ100="1",BI100,0),2)</f>
      </c>
      <c r="AD100" s="50">
        <f>ROUND(IF(AQ100="7",BH100,0),2)</f>
      </c>
      <c r="AE100" s="50">
        <f>ROUND(IF(AQ100="7",BI100,0),2)</f>
      </c>
      <c r="AF100" s="50">
        <f>ROUND(IF(AQ100="2",BH100,0),2)</f>
      </c>
      <c r="AG100" s="50">
        <f>ROUND(IF(AQ100="2",BI100,0),2)</f>
      </c>
      <c r="AH100" s="50">
        <f>ROUND(IF(AQ100="0",BJ100,0),2)</f>
      </c>
      <c r="AI100" s="28" t="s">
        <v>179</v>
      </c>
      <c r="AJ100" s="50">
        <f>IF(AN100=0,K100,0)</f>
      </c>
      <c r="AK100" s="50">
        <f>IF(AN100=12,K100,0)</f>
      </c>
      <c r="AL100" s="50">
        <f>IF(AN100=21,K100,0)</f>
      </c>
      <c r="AN100" s="50" t="n">
        <v>21</v>
      </c>
      <c r="AO100" s="50">
        <f>H100*0.803406632</f>
      </c>
      <c r="AP100" s="50">
        <f>H100*(1-0.803406632)</f>
      </c>
      <c r="AQ100" s="52" t="s">
        <v>57</v>
      </c>
      <c r="AV100" s="50">
        <f>ROUND(AW100+AX100,2)</f>
      </c>
      <c r="AW100" s="50">
        <f>ROUND(G100*AO100,2)</f>
      </c>
      <c r="AX100" s="50">
        <f>ROUND(G100*AP100,2)</f>
      </c>
      <c r="AY100" s="52" t="s">
        <v>268</v>
      </c>
      <c r="AZ100" s="52" t="s">
        <v>269</v>
      </c>
      <c r="BA100" s="28" t="s">
        <v>187</v>
      </c>
      <c r="BC100" s="50">
        <f>AW100+AX100</f>
      </c>
      <c r="BD100" s="50">
        <f>H100/(100-BE100)*100</f>
      </c>
      <c r="BE100" s="50" t="n">
        <v>0</v>
      </c>
      <c r="BF100" s="50">
        <f>100</f>
      </c>
      <c r="BH100" s="50">
        <f>G100*AO100</f>
      </c>
      <c r="BI100" s="50">
        <f>G100*AP100</f>
      </c>
      <c r="BJ100" s="50">
        <f>G100*H100</f>
      </c>
      <c r="BK100" s="52" t="s">
        <v>65</v>
      </c>
      <c r="BL100" s="50" t="n">
        <v>91</v>
      </c>
      <c r="BW100" s="50" t="n">
        <v>21</v>
      </c>
      <c r="BX100" s="14" t="s">
        <v>289</v>
      </c>
    </row>
    <row r="101" ht="24.75">
      <c r="A101" s="53"/>
      <c r="C101" s="54" t="s">
        <v>127</v>
      </c>
      <c r="D101" s="55" t="s">
        <v>290</v>
      </c>
      <c r="E101" s="56"/>
      <c r="F101" s="56"/>
      <c r="G101" s="56"/>
      <c r="H101" s="56"/>
      <c r="I101" s="56"/>
      <c r="J101" s="56"/>
      <c r="K101" s="56"/>
      <c r="L101" s="57"/>
      <c r="BX101" s="55" t="s">
        <v>290</v>
      </c>
    </row>
    <row r="102">
      <c r="A102" s="9" t="s">
        <v>291</v>
      </c>
      <c r="B102" s="10" t="s">
        <v>179</v>
      </c>
      <c r="C102" s="10" t="s">
        <v>292</v>
      </c>
      <c r="D102" s="14" t="s">
        <v>293</v>
      </c>
      <c r="E102" s="10"/>
      <c r="F102" s="10" t="s">
        <v>195</v>
      </c>
      <c r="G102" s="50" t="n">
        <v>35</v>
      </c>
      <c r="H102" s="50" t="n">
        <v>0</v>
      </c>
      <c r="I102" s="50">
        <f>ROUND(G102*AO102,2)</f>
      </c>
      <c r="J102" s="50">
        <f>ROUND(G102*AP102,2)</f>
      </c>
      <c r="K102" s="50">
        <f>ROUND(G102*H102,2)</f>
      </c>
      <c r="L102" s="51" t="s">
        <v>61</v>
      </c>
      <c r="Z102" s="50">
        <f>ROUND(IF(AQ102="5",BJ102,0),2)</f>
      </c>
      <c r="AB102" s="50">
        <f>ROUND(IF(AQ102="1",BH102,0),2)</f>
      </c>
      <c r="AC102" s="50">
        <f>ROUND(IF(AQ102="1",BI102,0),2)</f>
      </c>
      <c r="AD102" s="50">
        <f>ROUND(IF(AQ102="7",BH102,0),2)</f>
      </c>
      <c r="AE102" s="50">
        <f>ROUND(IF(AQ102="7",BI102,0),2)</f>
      </c>
      <c r="AF102" s="50">
        <f>ROUND(IF(AQ102="2",BH102,0),2)</f>
      </c>
      <c r="AG102" s="50">
        <f>ROUND(IF(AQ102="2",BI102,0),2)</f>
      </c>
      <c r="AH102" s="50">
        <f>ROUND(IF(AQ102="0",BJ102,0),2)</f>
      </c>
      <c r="AI102" s="28" t="s">
        <v>179</v>
      </c>
      <c r="AJ102" s="50">
        <f>IF(AN102=0,K102,0)</f>
      </c>
      <c r="AK102" s="50">
        <f>IF(AN102=12,K102,0)</f>
      </c>
      <c r="AL102" s="50">
        <f>IF(AN102=21,K102,0)</f>
      </c>
      <c r="AN102" s="50" t="n">
        <v>21</v>
      </c>
      <c r="AO102" s="50">
        <f>H102*0.410345423</f>
      </c>
      <c r="AP102" s="50">
        <f>H102*(1-0.410345423)</f>
      </c>
      <c r="AQ102" s="52" t="s">
        <v>57</v>
      </c>
      <c r="AV102" s="50">
        <f>ROUND(AW102+AX102,2)</f>
      </c>
      <c r="AW102" s="50">
        <f>ROUND(G102*AO102,2)</f>
      </c>
      <c r="AX102" s="50">
        <f>ROUND(G102*AP102,2)</f>
      </c>
      <c r="AY102" s="52" t="s">
        <v>268</v>
      </c>
      <c r="AZ102" s="52" t="s">
        <v>269</v>
      </c>
      <c r="BA102" s="28" t="s">
        <v>187</v>
      </c>
      <c r="BC102" s="50">
        <f>AW102+AX102</f>
      </c>
      <c r="BD102" s="50">
        <f>H102/(100-BE102)*100</f>
      </c>
      <c r="BE102" s="50" t="n">
        <v>0</v>
      </c>
      <c r="BF102" s="50">
        <f>102</f>
      </c>
      <c r="BH102" s="50">
        <f>G102*AO102</f>
      </c>
      <c r="BI102" s="50">
        <f>G102*AP102</f>
      </c>
      <c r="BJ102" s="50">
        <f>G102*H102</f>
      </c>
      <c r="BK102" s="52" t="s">
        <v>65</v>
      </c>
      <c r="BL102" s="50" t="n">
        <v>91</v>
      </c>
      <c r="BW102" s="50" t="n">
        <v>21</v>
      </c>
      <c r="BX102" s="14" t="s">
        <v>293</v>
      </c>
    </row>
    <row r="103">
      <c r="A103" s="53"/>
      <c r="C103" s="54" t="s">
        <v>127</v>
      </c>
      <c r="D103" s="55" t="s">
        <v>294</v>
      </c>
      <c r="E103" s="56"/>
      <c r="F103" s="56"/>
      <c r="G103" s="56"/>
      <c r="H103" s="56"/>
      <c r="I103" s="56"/>
      <c r="J103" s="56"/>
      <c r="K103" s="56"/>
      <c r="L103" s="57"/>
      <c r="BX103" s="55" t="s">
        <v>294</v>
      </c>
    </row>
    <row r="104">
      <c r="A104" s="45" t="s">
        <v>52</v>
      </c>
      <c r="B104" s="46" t="s">
        <v>179</v>
      </c>
      <c r="C104" s="46" t="s">
        <v>295</v>
      </c>
      <c r="D104" s="47" t="s">
        <v>296</v>
      </c>
      <c r="E104" s="46"/>
      <c r="F104" s="48" t="s">
        <v>8</v>
      </c>
      <c r="G104" s="48" t="s">
        <v>8</v>
      </c>
      <c r="H104" s="48" t="s">
        <v>8</v>
      </c>
      <c r="I104" s="2">
        <f>SUM(I105:I105)</f>
      </c>
      <c r="J104" s="2">
        <f>SUM(J105:J105)</f>
      </c>
      <c r="K104" s="2">
        <f>SUM(K105:K105)</f>
      </c>
      <c r="L104" s="49" t="s">
        <v>52</v>
      </c>
      <c r="AI104" s="28" t="s">
        <v>179</v>
      </c>
      <c r="AS104" s="2">
        <f>SUM(AJ105:AJ105)</f>
      </c>
      <c r="AT104" s="2">
        <f>SUM(AK105:AK105)</f>
      </c>
      <c r="AU104" s="2">
        <f>SUM(AL105:AL105)</f>
      </c>
    </row>
    <row r="105">
      <c r="A105" s="9" t="s">
        <v>297</v>
      </c>
      <c r="B105" s="10" t="s">
        <v>179</v>
      </c>
      <c r="C105" s="10" t="s">
        <v>298</v>
      </c>
      <c r="D105" s="14" t="s">
        <v>299</v>
      </c>
      <c r="E105" s="10"/>
      <c r="F105" s="10" t="s">
        <v>80</v>
      </c>
      <c r="G105" s="50" t="n">
        <v>2</v>
      </c>
      <c r="H105" s="50" t="n">
        <v>0</v>
      </c>
      <c r="I105" s="50">
        <f>ROUND(G105*AO105,2)</f>
      </c>
      <c r="J105" s="50">
        <f>ROUND(G105*AP105,2)</f>
      </c>
      <c r="K105" s="50">
        <f>ROUND(G105*H105,2)</f>
      </c>
      <c r="L105" s="51" t="s">
        <v>61</v>
      </c>
      <c r="Z105" s="50">
        <f>ROUND(IF(AQ105="5",BJ105,0),2)</f>
      </c>
      <c r="AB105" s="50">
        <f>ROUND(IF(AQ105="1",BH105,0),2)</f>
      </c>
      <c r="AC105" s="50">
        <f>ROUND(IF(AQ105="1",BI105,0),2)</f>
      </c>
      <c r="AD105" s="50">
        <f>ROUND(IF(AQ105="7",BH105,0),2)</f>
      </c>
      <c r="AE105" s="50">
        <f>ROUND(IF(AQ105="7",BI105,0),2)</f>
      </c>
      <c r="AF105" s="50">
        <f>ROUND(IF(AQ105="2",BH105,0),2)</f>
      </c>
      <c r="AG105" s="50">
        <f>ROUND(IF(AQ105="2",BI105,0),2)</f>
      </c>
      <c r="AH105" s="50">
        <f>ROUND(IF(AQ105="0",BJ105,0),2)</f>
      </c>
      <c r="AI105" s="28" t="s">
        <v>179</v>
      </c>
      <c r="AJ105" s="50">
        <f>IF(AN105=0,K105,0)</f>
      </c>
      <c r="AK105" s="50">
        <f>IF(AN105=12,K105,0)</f>
      </c>
      <c r="AL105" s="50">
        <f>IF(AN105=21,K105,0)</f>
      </c>
      <c r="AN105" s="50" t="n">
        <v>21</v>
      </c>
      <c r="AO105" s="50">
        <f>H105*0.538975095</f>
      </c>
      <c r="AP105" s="50">
        <f>H105*(1-0.538975095)</f>
      </c>
      <c r="AQ105" s="52" t="s">
        <v>57</v>
      </c>
      <c r="AV105" s="50">
        <f>ROUND(AW105+AX105,2)</f>
      </c>
      <c r="AW105" s="50">
        <f>ROUND(G105*AO105,2)</f>
      </c>
      <c r="AX105" s="50">
        <f>ROUND(G105*AP105,2)</f>
      </c>
      <c r="AY105" s="52" t="s">
        <v>300</v>
      </c>
      <c r="AZ105" s="52" t="s">
        <v>269</v>
      </c>
      <c r="BA105" s="28" t="s">
        <v>187</v>
      </c>
      <c r="BC105" s="50">
        <f>AW105+AX105</f>
      </c>
      <c r="BD105" s="50">
        <f>H105/(100-BE105)*100</f>
      </c>
      <c r="BE105" s="50" t="n">
        <v>0</v>
      </c>
      <c r="BF105" s="50">
        <f>105</f>
      </c>
      <c r="BH105" s="50">
        <f>G105*AO105</f>
      </c>
      <c r="BI105" s="50">
        <f>G105*AP105</f>
      </c>
      <c r="BJ105" s="50">
        <f>G105*H105</f>
      </c>
      <c r="BK105" s="52" t="s">
        <v>65</v>
      </c>
      <c r="BL105" s="50" t="n">
        <v>92</v>
      </c>
      <c r="BW105" s="50" t="n">
        <v>21</v>
      </c>
      <c r="BX105" s="14" t="s">
        <v>299</v>
      </c>
    </row>
    <row r="106">
      <c r="A106" s="45" t="s">
        <v>52</v>
      </c>
      <c r="B106" s="46" t="s">
        <v>179</v>
      </c>
      <c r="C106" s="46" t="s">
        <v>301</v>
      </c>
      <c r="D106" s="47" t="s">
        <v>302</v>
      </c>
      <c r="E106" s="46"/>
      <c r="F106" s="48" t="s">
        <v>8</v>
      </c>
      <c r="G106" s="48" t="s">
        <v>8</v>
      </c>
      <c r="H106" s="48" t="s">
        <v>8</v>
      </c>
      <c r="I106" s="2">
        <f>SUM(I107:I107)</f>
      </c>
      <c r="J106" s="2">
        <f>SUM(J107:J107)</f>
      </c>
      <c r="K106" s="2">
        <f>SUM(K107:K107)</f>
      </c>
      <c r="L106" s="49" t="s">
        <v>52</v>
      </c>
      <c r="AI106" s="28" t="s">
        <v>179</v>
      </c>
      <c r="AS106" s="2">
        <f>SUM(AJ107:AJ107)</f>
      </c>
      <c r="AT106" s="2">
        <f>SUM(AK107:AK107)</f>
      </c>
      <c r="AU106" s="2">
        <f>SUM(AL107:AL107)</f>
      </c>
    </row>
    <row r="107">
      <c r="A107" s="9" t="s">
        <v>303</v>
      </c>
      <c r="B107" s="10" t="s">
        <v>179</v>
      </c>
      <c r="C107" s="10" t="s">
        <v>304</v>
      </c>
      <c r="D107" s="14" t="s">
        <v>305</v>
      </c>
      <c r="E107" s="10"/>
      <c r="F107" s="10" t="s">
        <v>80</v>
      </c>
      <c r="G107" s="50" t="n">
        <v>5</v>
      </c>
      <c r="H107" s="50" t="n">
        <v>0</v>
      </c>
      <c r="I107" s="50">
        <f>ROUND(G107*AO107,2)</f>
      </c>
      <c r="J107" s="50">
        <f>ROUND(G107*AP107,2)</f>
      </c>
      <c r="K107" s="50">
        <f>ROUND(G107*H107,2)</f>
      </c>
      <c r="L107" s="51" t="s">
        <v>61</v>
      </c>
      <c r="Z107" s="50">
        <f>ROUND(IF(AQ107="5",BJ107,0),2)</f>
      </c>
      <c r="AB107" s="50">
        <f>ROUND(IF(AQ107="1",BH107,0),2)</f>
      </c>
      <c r="AC107" s="50">
        <f>ROUND(IF(AQ107="1",BI107,0),2)</f>
      </c>
      <c r="AD107" s="50">
        <f>ROUND(IF(AQ107="7",BH107,0),2)</f>
      </c>
      <c r="AE107" s="50">
        <f>ROUND(IF(AQ107="7",BI107,0),2)</f>
      </c>
      <c r="AF107" s="50">
        <f>ROUND(IF(AQ107="2",BH107,0),2)</f>
      </c>
      <c r="AG107" s="50">
        <f>ROUND(IF(AQ107="2",BI107,0),2)</f>
      </c>
      <c r="AH107" s="50">
        <f>ROUND(IF(AQ107="0",BJ107,0),2)</f>
      </c>
      <c r="AI107" s="28" t="s">
        <v>179</v>
      </c>
      <c r="AJ107" s="50">
        <f>IF(AN107=0,K107,0)</f>
      </c>
      <c r="AK107" s="50">
        <f>IF(AN107=12,K107,0)</f>
      </c>
      <c r="AL107" s="50">
        <f>IF(AN107=21,K107,0)</f>
      </c>
      <c r="AN107" s="50" t="n">
        <v>21</v>
      </c>
      <c r="AO107" s="50">
        <f>H107*0</f>
      </c>
      <c r="AP107" s="50">
        <f>H107*(1-0)</f>
      </c>
      <c r="AQ107" s="52" t="s">
        <v>57</v>
      </c>
      <c r="AV107" s="50">
        <f>ROUND(AW107+AX107,2)</f>
      </c>
      <c r="AW107" s="50">
        <f>ROUND(G107*AO107,2)</f>
      </c>
      <c r="AX107" s="50">
        <f>ROUND(G107*AP107,2)</f>
      </c>
      <c r="AY107" s="52" t="s">
        <v>306</v>
      </c>
      <c r="AZ107" s="52" t="s">
        <v>269</v>
      </c>
      <c r="BA107" s="28" t="s">
        <v>187</v>
      </c>
      <c r="BC107" s="50">
        <f>AW107+AX107</f>
      </c>
      <c r="BD107" s="50">
        <f>H107/(100-BE107)*100</f>
      </c>
      <c r="BE107" s="50" t="n">
        <v>0</v>
      </c>
      <c r="BF107" s="50">
        <f>107</f>
      </c>
      <c r="BH107" s="50">
        <f>G107*AO107</f>
      </c>
      <c r="BI107" s="50">
        <f>G107*AP107</f>
      </c>
      <c r="BJ107" s="50">
        <f>G107*H107</f>
      </c>
      <c r="BK107" s="52" t="s">
        <v>65</v>
      </c>
      <c r="BL107" s="50" t="n">
        <v>96</v>
      </c>
      <c r="BW107" s="50" t="n">
        <v>21</v>
      </c>
      <c r="BX107" s="14" t="s">
        <v>305</v>
      </c>
    </row>
    <row r="108">
      <c r="A108" s="45" t="s">
        <v>52</v>
      </c>
      <c r="B108" s="46" t="s">
        <v>179</v>
      </c>
      <c r="C108" s="46" t="s">
        <v>307</v>
      </c>
      <c r="D108" s="47" t="s">
        <v>308</v>
      </c>
      <c r="E108" s="46"/>
      <c r="F108" s="48" t="s">
        <v>8</v>
      </c>
      <c r="G108" s="48" t="s">
        <v>8</v>
      </c>
      <c r="H108" s="48" t="s">
        <v>8</v>
      </c>
      <c r="I108" s="2">
        <f>SUM(I109:I109)</f>
      </c>
      <c r="J108" s="2">
        <f>SUM(J109:J109)</f>
      </c>
      <c r="K108" s="2">
        <f>SUM(K109:K109)</f>
      </c>
      <c r="L108" s="49" t="s">
        <v>52</v>
      </c>
      <c r="AI108" s="28" t="s">
        <v>179</v>
      </c>
      <c r="AS108" s="2">
        <f>SUM(AJ109:AJ109)</f>
      </c>
      <c r="AT108" s="2">
        <f>SUM(AK109:AK109)</f>
      </c>
      <c r="AU108" s="2">
        <f>SUM(AL109:AL109)</f>
      </c>
    </row>
    <row r="109">
      <c r="A109" s="9" t="s">
        <v>309</v>
      </c>
      <c r="B109" s="10" t="s">
        <v>179</v>
      </c>
      <c r="C109" s="10" t="s">
        <v>310</v>
      </c>
      <c r="D109" s="14" t="s">
        <v>311</v>
      </c>
      <c r="E109" s="10"/>
      <c r="F109" s="10" t="s">
        <v>71</v>
      </c>
      <c r="G109" s="50" t="n">
        <v>2599.0165</v>
      </c>
      <c r="H109" s="50" t="n">
        <v>0</v>
      </c>
      <c r="I109" s="50">
        <f>ROUND(G109*AO109,2)</f>
      </c>
      <c r="J109" s="50">
        <f>ROUND(G109*AP109,2)</f>
      </c>
      <c r="K109" s="50">
        <f>ROUND(G109*H109,2)</f>
      </c>
      <c r="L109" s="51" t="s">
        <v>61</v>
      </c>
      <c r="Z109" s="50">
        <f>ROUND(IF(AQ109="5",BJ109,0),2)</f>
      </c>
      <c r="AB109" s="50">
        <f>ROUND(IF(AQ109="1",BH109,0),2)</f>
      </c>
      <c r="AC109" s="50">
        <f>ROUND(IF(AQ109="1",BI109,0),2)</f>
      </c>
      <c r="AD109" s="50">
        <f>ROUND(IF(AQ109="7",BH109,0),2)</f>
      </c>
      <c r="AE109" s="50">
        <f>ROUND(IF(AQ109="7",BI109,0),2)</f>
      </c>
      <c r="AF109" s="50">
        <f>ROUND(IF(AQ109="2",BH109,0),2)</f>
      </c>
      <c r="AG109" s="50">
        <f>ROUND(IF(AQ109="2",BI109,0),2)</f>
      </c>
      <c r="AH109" s="50">
        <f>ROUND(IF(AQ109="0",BJ109,0),2)</f>
      </c>
      <c r="AI109" s="28" t="s">
        <v>179</v>
      </c>
      <c r="AJ109" s="50">
        <f>IF(AN109=0,K109,0)</f>
      </c>
      <c r="AK109" s="50">
        <f>IF(AN109=12,K109,0)</f>
      </c>
      <c r="AL109" s="50">
        <f>IF(AN109=21,K109,0)</f>
      </c>
      <c r="AN109" s="50" t="n">
        <v>21</v>
      </c>
      <c r="AO109" s="50">
        <f>H109*0</f>
      </c>
      <c r="AP109" s="50">
        <f>H109*(1-0)</f>
      </c>
      <c r="AQ109" s="52" t="s">
        <v>72</v>
      </c>
      <c r="AV109" s="50">
        <f>ROUND(AW109+AX109,2)</f>
      </c>
      <c r="AW109" s="50">
        <f>ROUND(G109*AO109,2)</f>
      </c>
      <c r="AX109" s="50">
        <f>ROUND(G109*AP109,2)</f>
      </c>
      <c r="AY109" s="52" t="s">
        <v>312</v>
      </c>
      <c r="AZ109" s="52" t="s">
        <v>269</v>
      </c>
      <c r="BA109" s="28" t="s">
        <v>187</v>
      </c>
      <c r="BC109" s="50">
        <f>AW109+AX109</f>
      </c>
      <c r="BD109" s="50">
        <f>H109/(100-BE109)*100</f>
      </c>
      <c r="BE109" s="50" t="n">
        <v>0</v>
      </c>
      <c r="BF109" s="50">
        <f>109</f>
      </c>
      <c r="BH109" s="50">
        <f>G109*AO109</f>
      </c>
      <c r="BI109" s="50">
        <f>G109*AP109</f>
      </c>
      <c r="BJ109" s="50">
        <f>G109*H109</f>
      </c>
      <c r="BK109" s="52" t="s">
        <v>65</v>
      </c>
      <c r="BL109" s="50"/>
      <c r="BW109" s="50" t="n">
        <v>21</v>
      </c>
      <c r="BX109" s="14" t="s">
        <v>311</v>
      </c>
    </row>
    <row r="110">
      <c r="A110" s="45" t="s">
        <v>52</v>
      </c>
      <c r="B110" s="46" t="s">
        <v>179</v>
      </c>
      <c r="C110" s="46" t="s">
        <v>90</v>
      </c>
      <c r="D110" s="47" t="s">
        <v>91</v>
      </c>
      <c r="E110" s="46"/>
      <c r="F110" s="48" t="s">
        <v>8</v>
      </c>
      <c r="G110" s="48" t="s">
        <v>8</v>
      </c>
      <c r="H110" s="48" t="s">
        <v>8</v>
      </c>
      <c r="I110" s="2">
        <f>SUM(I111:I111)</f>
      </c>
      <c r="J110" s="2">
        <f>SUM(J111:J111)</f>
      </c>
      <c r="K110" s="2">
        <f>SUM(K111:K111)</f>
      </c>
      <c r="L110" s="49" t="s">
        <v>52</v>
      </c>
      <c r="AI110" s="28" t="s">
        <v>179</v>
      </c>
      <c r="AS110" s="2">
        <f>SUM(AJ111:AJ111)</f>
      </c>
      <c r="AT110" s="2">
        <f>SUM(AK111:AK111)</f>
      </c>
      <c r="AU110" s="2">
        <f>SUM(AL111:AL111)</f>
      </c>
    </row>
    <row r="111">
      <c r="A111" s="9" t="s">
        <v>313</v>
      </c>
      <c r="B111" s="10" t="s">
        <v>179</v>
      </c>
      <c r="C111" s="10" t="s">
        <v>314</v>
      </c>
      <c r="D111" s="14" t="s">
        <v>315</v>
      </c>
      <c r="E111" s="10"/>
      <c r="F111" s="10" t="s">
        <v>195</v>
      </c>
      <c r="G111" s="50" t="n">
        <v>115</v>
      </c>
      <c r="H111" s="50" t="n">
        <v>0</v>
      </c>
      <c r="I111" s="50">
        <f>ROUND(G111*AO111,2)</f>
      </c>
      <c r="J111" s="50">
        <f>ROUND(G111*AP111,2)</f>
      </c>
      <c r="K111" s="50">
        <f>ROUND(G111*H111,2)</f>
      </c>
      <c r="L111" s="51" t="s">
        <v>61</v>
      </c>
      <c r="Z111" s="50">
        <f>ROUND(IF(AQ111="5",BJ111,0),2)</f>
      </c>
      <c r="AB111" s="50">
        <f>ROUND(IF(AQ111="1",BH111,0),2)</f>
      </c>
      <c r="AC111" s="50">
        <f>ROUND(IF(AQ111="1",BI111,0),2)</f>
      </c>
      <c r="AD111" s="50">
        <f>ROUND(IF(AQ111="7",BH111,0),2)</f>
      </c>
      <c r="AE111" s="50">
        <f>ROUND(IF(AQ111="7",BI111,0),2)</f>
      </c>
      <c r="AF111" s="50">
        <f>ROUND(IF(AQ111="2",BH111,0),2)</f>
      </c>
      <c r="AG111" s="50">
        <f>ROUND(IF(AQ111="2",BI111,0),2)</f>
      </c>
      <c r="AH111" s="50">
        <f>ROUND(IF(AQ111="0",BJ111,0),2)</f>
      </c>
      <c r="AI111" s="28" t="s">
        <v>179</v>
      </c>
      <c r="AJ111" s="50">
        <f>IF(AN111=0,K111,0)</f>
      </c>
      <c r="AK111" s="50">
        <f>IF(AN111=12,K111,0)</f>
      </c>
      <c r="AL111" s="50">
        <f>IF(AN111=21,K111,0)</f>
      </c>
      <c r="AN111" s="50" t="n">
        <v>21</v>
      </c>
      <c r="AO111" s="50">
        <f>H111*0.638604651</f>
      </c>
      <c r="AP111" s="50">
        <f>H111*(1-0.638604651)</f>
      </c>
      <c r="AQ111" s="52" t="s">
        <v>68</v>
      </c>
      <c r="AV111" s="50">
        <f>ROUND(AW111+AX111,2)</f>
      </c>
      <c r="AW111" s="50">
        <f>ROUND(G111*AO111,2)</f>
      </c>
      <c r="AX111" s="50">
        <f>ROUND(G111*AP111,2)</f>
      </c>
      <c r="AY111" s="52" t="s">
        <v>96</v>
      </c>
      <c r="AZ111" s="52" t="s">
        <v>269</v>
      </c>
      <c r="BA111" s="28" t="s">
        <v>187</v>
      </c>
      <c r="BC111" s="50">
        <f>AW111+AX111</f>
      </c>
      <c r="BD111" s="50">
        <f>H111/(100-BE111)*100</f>
      </c>
      <c r="BE111" s="50" t="n">
        <v>0</v>
      </c>
      <c r="BF111" s="50">
        <f>111</f>
      </c>
      <c r="BH111" s="50">
        <f>G111*AO111</f>
      </c>
      <c r="BI111" s="50">
        <f>G111*AP111</f>
      </c>
      <c r="BJ111" s="50">
        <f>G111*H111</f>
      </c>
      <c r="BK111" s="52" t="s">
        <v>65</v>
      </c>
      <c r="BL111" s="50"/>
      <c r="BW111" s="50" t="n">
        <v>21</v>
      </c>
      <c r="BX111" s="14" t="s">
        <v>315</v>
      </c>
    </row>
    <row r="112">
      <c r="A112" s="45" t="s">
        <v>52</v>
      </c>
      <c r="B112" s="46" t="s">
        <v>179</v>
      </c>
      <c r="C112" s="46" t="s">
        <v>316</v>
      </c>
      <c r="D112" s="47" t="s">
        <v>317</v>
      </c>
      <c r="E112" s="46"/>
      <c r="F112" s="48" t="s">
        <v>8</v>
      </c>
      <c r="G112" s="48" t="s">
        <v>8</v>
      </c>
      <c r="H112" s="48" t="s">
        <v>8</v>
      </c>
      <c r="I112" s="2">
        <f>SUM(I113:I117)</f>
      </c>
      <c r="J112" s="2">
        <f>SUM(J113:J117)</f>
      </c>
      <c r="K112" s="2">
        <f>SUM(K113:K117)</f>
      </c>
      <c r="L112" s="49" t="s">
        <v>52</v>
      </c>
      <c r="AI112" s="28" t="s">
        <v>179</v>
      </c>
      <c r="AS112" s="2">
        <f>SUM(AJ113:AJ117)</f>
      </c>
      <c r="AT112" s="2">
        <f>SUM(AK113:AK117)</f>
      </c>
      <c r="AU112" s="2">
        <f>SUM(AL113:AL117)</f>
      </c>
    </row>
    <row r="113">
      <c r="A113" s="9" t="s">
        <v>318</v>
      </c>
      <c r="B113" s="10" t="s">
        <v>179</v>
      </c>
      <c r="C113" s="10" t="s">
        <v>319</v>
      </c>
      <c r="D113" s="14" t="s">
        <v>320</v>
      </c>
      <c r="E113" s="10"/>
      <c r="F113" s="10" t="s">
        <v>71</v>
      </c>
      <c r="G113" s="50" t="n">
        <v>235</v>
      </c>
      <c r="H113" s="50" t="n">
        <v>0</v>
      </c>
      <c r="I113" s="50">
        <f>ROUND(G113*AO113,2)</f>
      </c>
      <c r="J113" s="50">
        <f>ROUND(G113*AP113,2)</f>
      </c>
      <c r="K113" s="50">
        <f>ROUND(G113*H113,2)</f>
      </c>
      <c r="L113" s="51" t="s">
        <v>61</v>
      </c>
      <c r="Z113" s="50">
        <f>ROUND(IF(AQ113="5",BJ113,0),2)</f>
      </c>
      <c r="AB113" s="50">
        <f>ROUND(IF(AQ113="1",BH113,0),2)</f>
      </c>
      <c r="AC113" s="50">
        <f>ROUND(IF(AQ113="1",BI113,0),2)</f>
      </c>
      <c r="AD113" s="50">
        <f>ROUND(IF(AQ113="7",BH113,0),2)</f>
      </c>
      <c r="AE113" s="50">
        <f>ROUND(IF(AQ113="7",BI113,0),2)</f>
      </c>
      <c r="AF113" s="50">
        <f>ROUND(IF(AQ113="2",BH113,0),2)</f>
      </c>
      <c r="AG113" s="50">
        <f>ROUND(IF(AQ113="2",BI113,0),2)</f>
      </c>
      <c r="AH113" s="50">
        <f>ROUND(IF(AQ113="0",BJ113,0),2)</f>
      </c>
      <c r="AI113" s="28" t="s">
        <v>179</v>
      </c>
      <c r="AJ113" s="50">
        <f>IF(AN113=0,K113,0)</f>
      </c>
      <c r="AK113" s="50">
        <f>IF(AN113=12,K113,0)</f>
      </c>
      <c r="AL113" s="50">
        <f>IF(AN113=21,K113,0)</f>
      </c>
      <c r="AN113" s="50" t="n">
        <v>21</v>
      </c>
      <c r="AO113" s="50">
        <f>H113*0</f>
      </c>
      <c r="AP113" s="50">
        <f>H113*(1-0)</f>
      </c>
      <c r="AQ113" s="52" t="s">
        <v>72</v>
      </c>
      <c r="AV113" s="50">
        <f>ROUND(AW113+AX113,2)</f>
      </c>
      <c r="AW113" s="50">
        <f>ROUND(G113*AO113,2)</f>
      </c>
      <c r="AX113" s="50">
        <f>ROUND(G113*AP113,2)</f>
      </c>
      <c r="AY113" s="52" t="s">
        <v>321</v>
      </c>
      <c r="AZ113" s="52" t="s">
        <v>269</v>
      </c>
      <c r="BA113" s="28" t="s">
        <v>187</v>
      </c>
      <c r="BC113" s="50">
        <f>AW113+AX113</f>
      </c>
      <c r="BD113" s="50">
        <f>H113/(100-BE113)*100</f>
      </c>
      <c r="BE113" s="50" t="n">
        <v>0</v>
      </c>
      <c r="BF113" s="50">
        <f>113</f>
      </c>
      <c r="BH113" s="50">
        <f>G113*AO113</f>
      </c>
      <c r="BI113" s="50">
        <f>G113*AP113</f>
      </c>
      <c r="BJ113" s="50">
        <f>G113*H113</f>
      </c>
      <c r="BK113" s="52" t="s">
        <v>65</v>
      </c>
      <c r="BL113" s="50"/>
      <c r="BW113" s="50" t="n">
        <v>21</v>
      </c>
      <c r="BX113" s="14" t="s">
        <v>320</v>
      </c>
    </row>
    <row r="114">
      <c r="A114" s="53"/>
      <c r="C114" s="54" t="s">
        <v>127</v>
      </c>
      <c r="D114" s="55" t="s">
        <v>322</v>
      </c>
      <c r="E114" s="56"/>
      <c r="F114" s="56"/>
      <c r="G114" s="56"/>
      <c r="H114" s="56"/>
      <c r="I114" s="56"/>
      <c r="J114" s="56"/>
      <c r="K114" s="56"/>
      <c r="L114" s="57"/>
      <c r="BX114" s="55" t="s">
        <v>322</v>
      </c>
    </row>
    <row r="115">
      <c r="A115" s="9" t="s">
        <v>323</v>
      </c>
      <c r="B115" s="10" t="s">
        <v>179</v>
      </c>
      <c r="C115" s="10" t="s">
        <v>324</v>
      </c>
      <c r="D115" s="14" t="s">
        <v>325</v>
      </c>
      <c r="E115" s="10"/>
      <c r="F115" s="10" t="s">
        <v>71</v>
      </c>
      <c r="G115" s="50" t="n">
        <v>145</v>
      </c>
      <c r="H115" s="50" t="n">
        <v>0</v>
      </c>
      <c r="I115" s="50">
        <f>ROUND(G115*AO115,2)</f>
      </c>
      <c r="J115" s="50">
        <f>ROUND(G115*AP115,2)</f>
      </c>
      <c r="K115" s="50">
        <f>ROUND(G115*H115,2)</f>
      </c>
      <c r="L115" s="51" t="s">
        <v>61</v>
      </c>
      <c r="Z115" s="50">
        <f>ROUND(IF(AQ115="5",BJ115,0),2)</f>
      </c>
      <c r="AB115" s="50">
        <f>ROUND(IF(AQ115="1",BH115,0),2)</f>
      </c>
      <c r="AC115" s="50">
        <f>ROUND(IF(AQ115="1",BI115,0),2)</f>
      </c>
      <c r="AD115" s="50">
        <f>ROUND(IF(AQ115="7",BH115,0),2)</f>
      </c>
      <c r="AE115" s="50">
        <f>ROUND(IF(AQ115="7",BI115,0),2)</f>
      </c>
      <c r="AF115" s="50">
        <f>ROUND(IF(AQ115="2",BH115,0),2)</f>
      </c>
      <c r="AG115" s="50">
        <f>ROUND(IF(AQ115="2",BI115,0),2)</f>
      </c>
      <c r="AH115" s="50">
        <f>ROUND(IF(AQ115="0",BJ115,0),2)</f>
      </c>
      <c r="AI115" s="28" t="s">
        <v>179</v>
      </c>
      <c r="AJ115" s="50">
        <f>IF(AN115=0,K115,0)</f>
      </c>
      <c r="AK115" s="50">
        <f>IF(AN115=12,K115,0)</f>
      </c>
      <c r="AL115" s="50">
        <f>IF(AN115=21,K115,0)</f>
      </c>
      <c r="AN115" s="50" t="n">
        <v>21</v>
      </c>
      <c r="AO115" s="50">
        <f>H115*0</f>
      </c>
      <c r="AP115" s="50">
        <f>H115*(1-0)</f>
      </c>
      <c r="AQ115" s="52" t="s">
        <v>72</v>
      </c>
      <c r="AV115" s="50">
        <f>ROUND(AW115+AX115,2)</f>
      </c>
      <c r="AW115" s="50">
        <f>ROUND(G115*AO115,2)</f>
      </c>
      <c r="AX115" s="50">
        <f>ROUND(G115*AP115,2)</f>
      </c>
      <c r="AY115" s="52" t="s">
        <v>321</v>
      </c>
      <c r="AZ115" s="52" t="s">
        <v>269</v>
      </c>
      <c r="BA115" s="28" t="s">
        <v>187</v>
      </c>
      <c r="BC115" s="50">
        <f>AW115+AX115</f>
      </c>
      <c r="BD115" s="50">
        <f>H115/(100-BE115)*100</f>
      </c>
      <c r="BE115" s="50" t="n">
        <v>0</v>
      </c>
      <c r="BF115" s="50">
        <f>115</f>
      </c>
      <c r="BH115" s="50">
        <f>G115*AO115</f>
      </c>
      <c r="BI115" s="50">
        <f>G115*AP115</f>
      </c>
      <c r="BJ115" s="50">
        <f>G115*H115</f>
      </c>
      <c r="BK115" s="52" t="s">
        <v>65</v>
      </c>
      <c r="BL115" s="50"/>
      <c r="BW115" s="50" t="n">
        <v>21</v>
      </c>
      <c r="BX115" s="14" t="s">
        <v>325</v>
      </c>
    </row>
    <row r="116">
      <c r="A116" s="53"/>
      <c r="C116" s="54" t="s">
        <v>127</v>
      </c>
      <c r="D116" s="55" t="s">
        <v>326</v>
      </c>
      <c r="E116" s="56"/>
      <c r="F116" s="56"/>
      <c r="G116" s="56"/>
      <c r="H116" s="56"/>
      <c r="I116" s="56"/>
      <c r="J116" s="56"/>
      <c r="K116" s="56"/>
      <c r="L116" s="57"/>
      <c r="BX116" s="55" t="s">
        <v>326</v>
      </c>
    </row>
    <row r="117">
      <c r="A117" s="9" t="s">
        <v>221</v>
      </c>
      <c r="B117" s="10" t="s">
        <v>179</v>
      </c>
      <c r="C117" s="10" t="s">
        <v>327</v>
      </c>
      <c r="D117" s="14" t="s">
        <v>328</v>
      </c>
      <c r="E117" s="10"/>
      <c r="F117" s="10" t="s">
        <v>71</v>
      </c>
      <c r="G117" s="50" t="n">
        <v>260</v>
      </c>
      <c r="H117" s="50" t="n">
        <v>0</v>
      </c>
      <c r="I117" s="50">
        <f>ROUND(G117*AO117,2)</f>
      </c>
      <c r="J117" s="50">
        <f>ROUND(G117*AP117,2)</f>
      </c>
      <c r="K117" s="50">
        <f>ROUND(G117*H117,2)</f>
      </c>
      <c r="L117" s="51" t="s">
        <v>61</v>
      </c>
      <c r="Z117" s="50">
        <f>ROUND(IF(AQ117="5",BJ117,0),2)</f>
      </c>
      <c r="AB117" s="50">
        <f>ROUND(IF(AQ117="1",BH117,0),2)</f>
      </c>
      <c r="AC117" s="50">
        <f>ROUND(IF(AQ117="1",BI117,0),2)</f>
      </c>
      <c r="AD117" s="50">
        <f>ROUND(IF(AQ117="7",BH117,0),2)</f>
      </c>
      <c r="AE117" s="50">
        <f>ROUND(IF(AQ117="7",BI117,0),2)</f>
      </c>
      <c r="AF117" s="50">
        <f>ROUND(IF(AQ117="2",BH117,0),2)</f>
      </c>
      <c r="AG117" s="50">
        <f>ROUND(IF(AQ117="2",BI117,0),2)</f>
      </c>
      <c r="AH117" s="50">
        <f>ROUND(IF(AQ117="0",BJ117,0),2)</f>
      </c>
      <c r="AI117" s="28" t="s">
        <v>179</v>
      </c>
      <c r="AJ117" s="50">
        <f>IF(AN117=0,K117,0)</f>
      </c>
      <c r="AK117" s="50">
        <f>IF(AN117=12,K117,0)</f>
      </c>
      <c r="AL117" s="50">
        <f>IF(AN117=21,K117,0)</f>
      </c>
      <c r="AN117" s="50" t="n">
        <v>21</v>
      </c>
      <c r="AO117" s="50">
        <f>H117*0</f>
      </c>
      <c r="AP117" s="50">
        <f>H117*(1-0)</f>
      </c>
      <c r="AQ117" s="52" t="s">
        <v>72</v>
      </c>
      <c r="AV117" s="50">
        <f>ROUND(AW117+AX117,2)</f>
      </c>
      <c r="AW117" s="50">
        <f>ROUND(G117*AO117,2)</f>
      </c>
      <c r="AX117" s="50">
        <f>ROUND(G117*AP117,2)</f>
      </c>
      <c r="AY117" s="52" t="s">
        <v>321</v>
      </c>
      <c r="AZ117" s="52" t="s">
        <v>269</v>
      </c>
      <c r="BA117" s="28" t="s">
        <v>187</v>
      </c>
      <c r="BC117" s="50">
        <f>AW117+AX117</f>
      </c>
      <c r="BD117" s="50">
        <f>H117/(100-BE117)*100</f>
      </c>
      <c r="BE117" s="50" t="n">
        <v>0</v>
      </c>
      <c r="BF117" s="50">
        <f>117</f>
      </c>
      <c r="BH117" s="50">
        <f>G117*AO117</f>
      </c>
      <c r="BI117" s="50">
        <f>G117*AP117</f>
      </c>
      <c r="BJ117" s="50">
        <f>G117*H117</f>
      </c>
      <c r="BK117" s="52" t="s">
        <v>65</v>
      </c>
      <c r="BL117" s="50"/>
      <c r="BW117" s="50" t="n">
        <v>21</v>
      </c>
      <c r="BX117" s="14" t="s">
        <v>328</v>
      </c>
    </row>
    <row r="118">
      <c r="A118" s="53"/>
      <c r="C118" s="54" t="s">
        <v>127</v>
      </c>
      <c r="D118" s="55" t="s">
        <v>329</v>
      </c>
      <c r="E118" s="56"/>
      <c r="F118" s="56"/>
      <c r="G118" s="56"/>
      <c r="H118" s="56"/>
      <c r="I118" s="56"/>
      <c r="J118" s="56"/>
      <c r="K118" s="56"/>
      <c r="L118" s="57"/>
      <c r="BX118" s="55" t="s">
        <v>329</v>
      </c>
    </row>
    <row r="119">
      <c r="A119" s="45" t="s">
        <v>52</v>
      </c>
      <c r="B119" s="46" t="s">
        <v>179</v>
      </c>
      <c r="C119" s="46" t="s">
        <v>118</v>
      </c>
      <c r="D119" s="47" t="s">
        <v>119</v>
      </c>
      <c r="E119" s="46"/>
      <c r="F119" s="48" t="s">
        <v>8</v>
      </c>
      <c r="G119" s="48" t="s">
        <v>8</v>
      </c>
      <c r="H119" s="48" t="s">
        <v>8</v>
      </c>
      <c r="I119" s="2">
        <f>SUM(I120:I125)</f>
      </c>
      <c r="J119" s="2">
        <f>SUM(J120:J125)</f>
      </c>
      <c r="K119" s="2">
        <f>SUM(K120:K125)</f>
      </c>
      <c r="L119" s="49" t="s">
        <v>52</v>
      </c>
      <c r="AI119" s="28" t="s">
        <v>179</v>
      </c>
      <c r="AS119" s="2">
        <f>SUM(AJ120:AJ125)</f>
      </c>
      <c r="AT119" s="2">
        <f>SUM(AK120:AK125)</f>
      </c>
      <c r="AU119" s="2">
        <f>SUM(AL120:AL125)</f>
      </c>
    </row>
    <row r="120">
      <c r="A120" s="9" t="s">
        <v>229</v>
      </c>
      <c r="B120" s="10" t="s">
        <v>179</v>
      </c>
      <c r="C120" s="10" t="s">
        <v>330</v>
      </c>
      <c r="D120" s="14" t="s">
        <v>331</v>
      </c>
      <c r="E120" s="10"/>
      <c r="F120" s="10" t="s">
        <v>80</v>
      </c>
      <c r="G120" s="50" t="n">
        <v>2</v>
      </c>
      <c r="H120" s="50" t="n">
        <v>0</v>
      </c>
      <c r="I120" s="50">
        <f>ROUND(G120*AO120,2)</f>
      </c>
      <c r="J120" s="50">
        <f>ROUND(G120*AP120,2)</f>
      </c>
      <c r="K120" s="50">
        <f>ROUND(G120*H120,2)</f>
      </c>
      <c r="L120" s="51" t="s">
        <v>61</v>
      </c>
      <c r="Z120" s="50">
        <f>ROUND(IF(AQ120="5",BJ120,0),2)</f>
      </c>
      <c r="AB120" s="50">
        <f>ROUND(IF(AQ120="1",BH120,0),2)</f>
      </c>
      <c r="AC120" s="50">
        <f>ROUND(IF(AQ120="1",BI120,0),2)</f>
      </c>
      <c r="AD120" s="50">
        <f>ROUND(IF(AQ120="7",BH120,0),2)</f>
      </c>
      <c r="AE120" s="50">
        <f>ROUND(IF(AQ120="7",BI120,0),2)</f>
      </c>
      <c r="AF120" s="50">
        <f>ROUND(IF(AQ120="2",BH120,0),2)</f>
      </c>
      <c r="AG120" s="50">
        <f>ROUND(IF(AQ120="2",BI120,0),2)</f>
      </c>
      <c r="AH120" s="50">
        <f>ROUND(IF(AQ120="0",BJ120,0),2)</f>
      </c>
      <c r="AI120" s="28" t="s">
        <v>179</v>
      </c>
      <c r="AJ120" s="50">
        <f>IF(AN120=0,K120,0)</f>
      </c>
      <c r="AK120" s="50">
        <f>IF(AN120=12,K120,0)</f>
      </c>
      <c r="AL120" s="50">
        <f>IF(AN120=21,K120,0)</f>
      </c>
      <c r="AN120" s="50" t="n">
        <v>21</v>
      </c>
      <c r="AO120" s="50">
        <f>H120*1</f>
      </c>
      <c r="AP120" s="50">
        <f>H120*(1-1)</f>
      </c>
      <c r="AQ120" s="52" t="s">
        <v>124</v>
      </c>
      <c r="AV120" s="50">
        <f>ROUND(AW120+AX120,2)</f>
      </c>
      <c r="AW120" s="50">
        <f>ROUND(G120*AO120,2)</f>
      </c>
      <c r="AX120" s="50">
        <f>ROUND(G120*AP120,2)</f>
      </c>
      <c r="AY120" s="52" t="s">
        <v>125</v>
      </c>
      <c r="AZ120" s="52" t="s">
        <v>332</v>
      </c>
      <c r="BA120" s="28" t="s">
        <v>187</v>
      </c>
      <c r="BC120" s="50">
        <f>AW120+AX120</f>
      </c>
      <c r="BD120" s="50">
        <f>H120/(100-BE120)*100</f>
      </c>
      <c r="BE120" s="50" t="n">
        <v>0</v>
      </c>
      <c r="BF120" s="50">
        <f>120</f>
      </c>
      <c r="BH120" s="50">
        <f>G120*AO120</f>
      </c>
      <c r="BI120" s="50">
        <f>G120*AP120</f>
      </c>
      <c r="BJ120" s="50">
        <f>G120*H120</f>
      </c>
      <c r="BK120" s="52" t="s">
        <v>118</v>
      </c>
      <c r="BL120" s="50"/>
      <c r="BW120" s="50" t="n">
        <v>21</v>
      </c>
      <c r="BX120" s="14" t="s">
        <v>331</v>
      </c>
    </row>
    <row r="121">
      <c r="A121" s="53"/>
      <c r="C121" s="54" t="s">
        <v>127</v>
      </c>
      <c r="D121" s="55" t="s">
        <v>333</v>
      </c>
      <c r="E121" s="56"/>
      <c r="F121" s="56"/>
      <c r="G121" s="56"/>
      <c r="H121" s="56"/>
      <c r="I121" s="56"/>
      <c r="J121" s="56"/>
      <c r="K121" s="56"/>
      <c r="L121" s="57"/>
      <c r="BX121" s="55" t="s">
        <v>333</v>
      </c>
    </row>
    <row r="122">
      <c r="A122" s="9" t="s">
        <v>334</v>
      </c>
      <c r="B122" s="10" t="s">
        <v>179</v>
      </c>
      <c r="C122" s="10" t="s">
        <v>335</v>
      </c>
      <c r="D122" s="14" t="s">
        <v>336</v>
      </c>
      <c r="E122" s="10"/>
      <c r="F122" s="10" t="s">
        <v>195</v>
      </c>
      <c r="G122" s="50" t="n">
        <v>552</v>
      </c>
      <c r="H122" s="50" t="n">
        <v>0</v>
      </c>
      <c r="I122" s="50">
        <f>ROUND(G122*AO122,2)</f>
      </c>
      <c r="J122" s="50">
        <f>ROUND(G122*AP122,2)</f>
      </c>
      <c r="K122" s="50">
        <f>ROUND(G122*H122,2)</f>
      </c>
      <c r="L122" s="51" t="s">
        <v>61</v>
      </c>
      <c r="Z122" s="50">
        <f>ROUND(IF(AQ122="5",BJ122,0),2)</f>
      </c>
      <c r="AB122" s="50">
        <f>ROUND(IF(AQ122="1",BH122,0),2)</f>
      </c>
      <c r="AC122" s="50">
        <f>ROUND(IF(AQ122="1",BI122,0),2)</f>
      </c>
      <c r="AD122" s="50">
        <f>ROUND(IF(AQ122="7",BH122,0),2)</f>
      </c>
      <c r="AE122" s="50">
        <f>ROUND(IF(AQ122="7",BI122,0),2)</f>
      </c>
      <c r="AF122" s="50">
        <f>ROUND(IF(AQ122="2",BH122,0),2)</f>
      </c>
      <c r="AG122" s="50">
        <f>ROUND(IF(AQ122="2",BI122,0),2)</f>
      </c>
      <c r="AH122" s="50">
        <f>ROUND(IF(AQ122="0",BJ122,0),2)</f>
      </c>
      <c r="AI122" s="28" t="s">
        <v>179</v>
      </c>
      <c r="AJ122" s="50">
        <f>IF(AN122=0,K122,0)</f>
      </c>
      <c r="AK122" s="50">
        <f>IF(AN122=12,K122,0)</f>
      </c>
      <c r="AL122" s="50">
        <f>IF(AN122=21,K122,0)</f>
      </c>
      <c r="AN122" s="50" t="n">
        <v>21</v>
      </c>
      <c r="AO122" s="50">
        <f>H122*1</f>
      </c>
      <c r="AP122" s="50">
        <f>H122*(1-1)</f>
      </c>
      <c r="AQ122" s="52" t="s">
        <v>124</v>
      </c>
      <c r="AV122" s="50">
        <f>ROUND(AW122+AX122,2)</f>
      </c>
      <c r="AW122" s="50">
        <f>ROUND(G122*AO122,2)</f>
      </c>
      <c r="AX122" s="50">
        <f>ROUND(G122*AP122,2)</f>
      </c>
      <c r="AY122" s="52" t="s">
        <v>125</v>
      </c>
      <c r="AZ122" s="52" t="s">
        <v>332</v>
      </c>
      <c r="BA122" s="28" t="s">
        <v>187</v>
      </c>
      <c r="BC122" s="50">
        <f>AW122+AX122</f>
      </c>
      <c r="BD122" s="50">
        <f>H122/(100-BE122)*100</f>
      </c>
      <c r="BE122" s="50" t="n">
        <v>0</v>
      </c>
      <c r="BF122" s="50">
        <f>122</f>
      </c>
      <c r="BH122" s="50">
        <f>G122*AO122</f>
      </c>
      <c r="BI122" s="50">
        <f>G122*AP122</f>
      </c>
      <c r="BJ122" s="50">
        <f>G122*H122</f>
      </c>
      <c r="BK122" s="52" t="s">
        <v>118</v>
      </c>
      <c r="BL122" s="50"/>
      <c r="BW122" s="50" t="n">
        <v>21</v>
      </c>
      <c r="BX122" s="14" t="s">
        <v>336</v>
      </c>
    </row>
    <row r="123" ht="24.75">
      <c r="A123" s="53"/>
      <c r="C123" s="54" t="s">
        <v>127</v>
      </c>
      <c r="D123" s="55" t="s">
        <v>337</v>
      </c>
      <c r="E123" s="56"/>
      <c r="F123" s="56"/>
      <c r="G123" s="56"/>
      <c r="H123" s="56"/>
      <c r="I123" s="56"/>
      <c r="J123" s="56"/>
      <c r="K123" s="56"/>
      <c r="L123" s="57"/>
      <c r="BX123" s="55" t="s">
        <v>337</v>
      </c>
    </row>
    <row r="124" customHeight="true" ht="13.5">
      <c r="A124" s="53"/>
      <c r="C124" s="54" t="s">
        <v>189</v>
      </c>
      <c r="D124" s="55" t="s">
        <v>338</v>
      </c>
      <c r="E124" s="56"/>
      <c r="F124" s="56"/>
      <c r="G124" s="56"/>
      <c r="H124" s="56"/>
      <c r="I124" s="56"/>
      <c r="J124" s="56"/>
      <c r="K124" s="56"/>
      <c r="L124" s="57"/>
    </row>
    <row r="125">
      <c r="A125" s="9" t="s">
        <v>244</v>
      </c>
      <c r="B125" s="10" t="s">
        <v>179</v>
      </c>
      <c r="C125" s="10" t="s">
        <v>339</v>
      </c>
      <c r="D125" s="14" t="s">
        <v>340</v>
      </c>
      <c r="E125" s="10"/>
      <c r="F125" s="10" t="s">
        <v>195</v>
      </c>
      <c r="G125" s="50" t="n">
        <v>445</v>
      </c>
      <c r="H125" s="50" t="n">
        <v>0</v>
      </c>
      <c r="I125" s="50">
        <f>ROUND(G125*AO125,2)</f>
      </c>
      <c r="J125" s="50">
        <f>ROUND(G125*AP125,2)</f>
      </c>
      <c r="K125" s="50">
        <f>ROUND(G125*H125,2)</f>
      </c>
      <c r="L125" s="51" t="s">
        <v>123</v>
      </c>
      <c r="Z125" s="50">
        <f>ROUND(IF(AQ125="5",BJ125,0),2)</f>
      </c>
      <c r="AB125" s="50">
        <f>ROUND(IF(AQ125="1",BH125,0),2)</f>
      </c>
      <c r="AC125" s="50">
        <f>ROUND(IF(AQ125="1",BI125,0),2)</f>
      </c>
      <c r="AD125" s="50">
        <f>ROUND(IF(AQ125="7",BH125,0),2)</f>
      </c>
      <c r="AE125" s="50">
        <f>ROUND(IF(AQ125="7",BI125,0),2)</f>
      </c>
      <c r="AF125" s="50">
        <f>ROUND(IF(AQ125="2",BH125,0),2)</f>
      </c>
      <c r="AG125" s="50">
        <f>ROUND(IF(AQ125="2",BI125,0),2)</f>
      </c>
      <c r="AH125" s="50">
        <f>ROUND(IF(AQ125="0",BJ125,0),2)</f>
      </c>
      <c r="AI125" s="28" t="s">
        <v>179</v>
      </c>
      <c r="AJ125" s="50">
        <f>IF(AN125=0,K125,0)</f>
      </c>
      <c r="AK125" s="50">
        <f>IF(AN125=12,K125,0)</f>
      </c>
      <c r="AL125" s="50">
        <f>IF(AN125=21,K125,0)</f>
      </c>
      <c r="AN125" s="50" t="n">
        <v>21</v>
      </c>
      <c r="AO125" s="50">
        <f>H125*1</f>
      </c>
      <c r="AP125" s="50">
        <f>H125*(1-1)</f>
      </c>
      <c r="AQ125" s="52" t="s">
        <v>124</v>
      </c>
      <c r="AV125" s="50">
        <f>ROUND(AW125+AX125,2)</f>
      </c>
      <c r="AW125" s="50">
        <f>ROUND(G125*AO125,2)</f>
      </c>
      <c r="AX125" s="50">
        <f>ROUND(G125*AP125,2)</f>
      </c>
      <c r="AY125" s="52" t="s">
        <v>125</v>
      </c>
      <c r="AZ125" s="52" t="s">
        <v>332</v>
      </c>
      <c r="BA125" s="28" t="s">
        <v>187</v>
      </c>
      <c r="BC125" s="50">
        <f>AW125+AX125</f>
      </c>
      <c r="BD125" s="50">
        <f>H125/(100-BE125)*100</f>
      </c>
      <c r="BE125" s="50" t="n">
        <v>0</v>
      </c>
      <c r="BF125" s="50">
        <f>125</f>
      </c>
      <c r="BH125" s="50">
        <f>G125*AO125</f>
      </c>
      <c r="BI125" s="50">
        <f>G125*AP125</f>
      </c>
      <c r="BJ125" s="50">
        <f>G125*H125</f>
      </c>
      <c r="BK125" s="52" t="s">
        <v>118</v>
      </c>
      <c r="BL125" s="50"/>
      <c r="BW125" s="50" t="n">
        <v>21</v>
      </c>
      <c r="BX125" s="14" t="s">
        <v>340</v>
      </c>
    </row>
    <row r="126" ht="24.75">
      <c r="A126" s="53"/>
      <c r="C126" s="54" t="s">
        <v>127</v>
      </c>
      <c r="D126" s="55" t="s">
        <v>341</v>
      </c>
      <c r="E126" s="56"/>
      <c r="F126" s="56"/>
      <c r="G126" s="56"/>
      <c r="H126" s="56"/>
      <c r="I126" s="56"/>
      <c r="J126" s="56"/>
      <c r="K126" s="56"/>
      <c r="L126" s="57"/>
      <c r="BX126" s="55" t="s">
        <v>341</v>
      </c>
    </row>
    <row r="127">
      <c r="A127" s="45" t="s">
        <v>52</v>
      </c>
      <c r="B127" s="46" t="s">
        <v>179</v>
      </c>
      <c r="C127" s="46" t="s">
        <v>157</v>
      </c>
      <c r="D127" s="47" t="s">
        <v>158</v>
      </c>
      <c r="E127" s="46"/>
      <c r="F127" s="48" t="s">
        <v>8</v>
      </c>
      <c r="G127" s="48" t="s">
        <v>8</v>
      </c>
      <c r="H127" s="48" t="s">
        <v>8</v>
      </c>
      <c r="I127" s="2">
        <f>I128+I135+I137</f>
      </c>
      <c r="J127" s="2">
        <f>J128+J135+J137</f>
      </c>
      <c r="K127" s="2">
        <f>K128+K135+K137</f>
      </c>
      <c r="L127" s="49" t="s">
        <v>52</v>
      </c>
      <c r="AI127" s="28" t="s">
        <v>179</v>
      </c>
    </row>
    <row r="128">
      <c r="A128" s="45" t="s">
        <v>52</v>
      </c>
      <c r="B128" s="46" t="s">
        <v>179</v>
      </c>
      <c r="C128" s="46" t="s">
        <v>342</v>
      </c>
      <c r="D128" s="47" t="s">
        <v>343</v>
      </c>
      <c r="E128" s="46"/>
      <c r="F128" s="48" t="s">
        <v>8</v>
      </c>
      <c r="G128" s="48" t="s">
        <v>8</v>
      </c>
      <c r="H128" s="48" t="s">
        <v>8</v>
      </c>
      <c r="I128" s="2">
        <f>SUM(I129:I134)</f>
      </c>
      <c r="J128" s="2">
        <f>SUM(J129:J134)</f>
      </c>
      <c r="K128" s="2">
        <f>SUM(K129:K134)</f>
      </c>
      <c r="L128" s="49" t="s">
        <v>52</v>
      </c>
      <c r="AI128" s="28" t="s">
        <v>179</v>
      </c>
      <c r="AS128" s="2">
        <f>SUM(AJ129:AJ134)</f>
      </c>
      <c r="AT128" s="2">
        <f>SUM(AK129:AK134)</f>
      </c>
      <c r="AU128" s="2">
        <f>SUM(AL129:AL134)</f>
      </c>
    </row>
    <row r="129">
      <c r="A129" s="9" t="s">
        <v>344</v>
      </c>
      <c r="B129" s="10" t="s">
        <v>179</v>
      </c>
      <c r="C129" s="10" t="s">
        <v>57</v>
      </c>
      <c r="D129" s="14" t="s">
        <v>345</v>
      </c>
      <c r="E129" s="10"/>
      <c r="F129" s="10" t="s">
        <v>163</v>
      </c>
      <c r="G129" s="50" t="n">
        <v>2</v>
      </c>
      <c r="H129" s="50" t="n">
        <v>0</v>
      </c>
      <c r="I129" s="50">
        <f>ROUND(G129*AO129,2)</f>
      </c>
      <c r="J129" s="50">
        <f>ROUND(G129*AP129,2)</f>
      </c>
      <c r="K129" s="50">
        <f>ROUND(G129*H129,2)</f>
      </c>
      <c r="L129" s="51" t="s">
        <v>52</v>
      </c>
      <c r="Z129" s="50">
        <f>ROUND(IF(AQ129="5",BJ129,0),2)</f>
      </c>
      <c r="AB129" s="50">
        <f>ROUND(IF(AQ129="1",BH129,0),2)</f>
      </c>
      <c r="AC129" s="50">
        <f>ROUND(IF(AQ129="1",BI129,0),2)</f>
      </c>
      <c r="AD129" s="50">
        <f>ROUND(IF(AQ129="7",BH129,0),2)</f>
      </c>
      <c r="AE129" s="50">
        <f>ROUND(IF(AQ129="7",BI129,0),2)</f>
      </c>
      <c r="AF129" s="50">
        <f>ROUND(IF(AQ129="2",BH129,0),2)</f>
      </c>
      <c r="AG129" s="50">
        <f>ROUND(IF(AQ129="2",BI129,0),2)</f>
      </c>
      <c r="AH129" s="50">
        <f>ROUND(IF(AQ129="0",BJ129,0),2)</f>
      </c>
      <c r="AI129" s="28" t="s">
        <v>179</v>
      </c>
      <c r="AJ129" s="50">
        <f>IF(AN129=0,K129,0)</f>
      </c>
      <c r="AK129" s="50">
        <f>IF(AN129=12,K129,0)</f>
      </c>
      <c r="AL129" s="50">
        <f>IF(AN129=21,K129,0)</f>
      </c>
      <c r="AN129" s="50" t="n">
        <v>21</v>
      </c>
      <c r="AO129" s="50">
        <f>H129*0</f>
      </c>
      <c r="AP129" s="50">
        <f>H129*(1-0)</f>
      </c>
      <c r="AQ129" s="52" t="s">
        <v>164</v>
      </c>
      <c r="AV129" s="50">
        <f>ROUND(AW129+AX129,2)</f>
      </c>
      <c r="AW129" s="50">
        <f>ROUND(G129*AO129,2)</f>
      </c>
      <c r="AX129" s="50">
        <f>ROUND(G129*AP129,2)</f>
      </c>
      <c r="AY129" s="52" t="s">
        <v>346</v>
      </c>
      <c r="AZ129" s="52" t="s">
        <v>347</v>
      </c>
      <c r="BA129" s="28" t="s">
        <v>187</v>
      </c>
      <c r="BC129" s="50">
        <f>AW129+AX129</f>
      </c>
      <c r="BD129" s="50">
        <f>H129/(100-BE129)*100</f>
      </c>
      <c r="BE129" s="50" t="n">
        <v>0</v>
      </c>
      <c r="BF129" s="50">
        <f>129</f>
      </c>
      <c r="BH129" s="50">
        <f>G129*AO129</f>
      </c>
      <c r="BI129" s="50">
        <f>G129*AP129</f>
      </c>
      <c r="BJ129" s="50">
        <f>G129*H129</f>
      </c>
      <c r="BK129" s="52" t="s">
        <v>65</v>
      </c>
      <c r="BL129" s="50"/>
      <c r="BM129" s="50">
        <f>G129*H129</f>
      </c>
      <c r="BW129" s="50" t="n">
        <v>21</v>
      </c>
      <c r="BX129" s="14" t="s">
        <v>345</v>
      </c>
    </row>
    <row r="130">
      <c r="A130" s="9" t="s">
        <v>348</v>
      </c>
      <c r="B130" s="10" t="s">
        <v>179</v>
      </c>
      <c r="C130" s="10" t="s">
        <v>349</v>
      </c>
      <c r="D130" s="14" t="s">
        <v>350</v>
      </c>
      <c r="E130" s="10"/>
      <c r="F130" s="10" t="s">
        <v>163</v>
      </c>
      <c r="G130" s="50" t="n">
        <v>1</v>
      </c>
      <c r="H130" s="50" t="n">
        <v>0</v>
      </c>
      <c r="I130" s="50">
        <f>ROUND(G130*AO130,2)</f>
      </c>
      <c r="J130" s="50">
        <f>ROUND(G130*AP130,2)</f>
      </c>
      <c r="K130" s="50">
        <f>ROUND(G130*H130,2)</f>
      </c>
      <c r="L130" s="51" t="s">
        <v>61</v>
      </c>
      <c r="Z130" s="50">
        <f>ROUND(IF(AQ130="5",BJ130,0),2)</f>
      </c>
      <c r="AB130" s="50">
        <f>ROUND(IF(AQ130="1",BH130,0),2)</f>
      </c>
      <c r="AC130" s="50">
        <f>ROUND(IF(AQ130="1",BI130,0),2)</f>
      </c>
      <c r="AD130" s="50">
        <f>ROUND(IF(AQ130="7",BH130,0),2)</f>
      </c>
      <c r="AE130" s="50">
        <f>ROUND(IF(AQ130="7",BI130,0),2)</f>
      </c>
      <c r="AF130" s="50">
        <f>ROUND(IF(AQ130="2",BH130,0),2)</f>
      </c>
      <c r="AG130" s="50">
        <f>ROUND(IF(AQ130="2",BI130,0),2)</f>
      </c>
      <c r="AH130" s="50">
        <f>ROUND(IF(AQ130="0",BJ130,0),2)</f>
      </c>
      <c r="AI130" s="28" t="s">
        <v>179</v>
      </c>
      <c r="AJ130" s="50">
        <f>IF(AN130=0,K130,0)</f>
      </c>
      <c r="AK130" s="50">
        <f>IF(AN130=12,K130,0)</f>
      </c>
      <c r="AL130" s="50">
        <f>IF(AN130=21,K130,0)</f>
      </c>
      <c r="AN130" s="50" t="n">
        <v>21</v>
      </c>
      <c r="AO130" s="50">
        <f>H130*0</f>
      </c>
      <c r="AP130" s="50">
        <f>H130*(1-0)</f>
      </c>
      <c r="AQ130" s="52" t="s">
        <v>164</v>
      </c>
      <c r="AV130" s="50">
        <f>ROUND(AW130+AX130,2)</f>
      </c>
      <c r="AW130" s="50">
        <f>ROUND(G130*AO130,2)</f>
      </c>
      <c r="AX130" s="50">
        <f>ROUND(G130*AP130,2)</f>
      </c>
      <c r="AY130" s="52" t="s">
        <v>346</v>
      </c>
      <c r="AZ130" s="52" t="s">
        <v>347</v>
      </c>
      <c r="BA130" s="28" t="s">
        <v>187</v>
      </c>
      <c r="BC130" s="50">
        <f>AW130+AX130</f>
      </c>
      <c r="BD130" s="50">
        <f>H130/(100-BE130)*100</f>
      </c>
      <c r="BE130" s="50" t="n">
        <v>0</v>
      </c>
      <c r="BF130" s="50">
        <f>130</f>
      </c>
      <c r="BH130" s="50">
        <f>G130*AO130</f>
      </c>
      <c r="BI130" s="50">
        <f>G130*AP130</f>
      </c>
      <c r="BJ130" s="50">
        <f>G130*H130</f>
      </c>
      <c r="BK130" s="52" t="s">
        <v>65</v>
      </c>
      <c r="BL130" s="50"/>
      <c r="BM130" s="50">
        <f>G130*H130</f>
      </c>
      <c r="BW130" s="50" t="n">
        <v>21</v>
      </c>
      <c r="BX130" s="14" t="s">
        <v>350</v>
      </c>
    </row>
    <row r="131">
      <c r="A131" s="9" t="s">
        <v>351</v>
      </c>
      <c r="B131" s="10" t="s">
        <v>179</v>
      </c>
      <c r="C131" s="10" t="s">
        <v>352</v>
      </c>
      <c r="D131" s="14" t="s">
        <v>353</v>
      </c>
      <c r="E131" s="10"/>
      <c r="F131" s="10" t="s">
        <v>163</v>
      </c>
      <c r="G131" s="50" t="n">
        <v>1</v>
      </c>
      <c r="H131" s="50" t="n">
        <v>0</v>
      </c>
      <c r="I131" s="50">
        <f>ROUND(G131*AO131,2)</f>
      </c>
      <c r="J131" s="50">
        <f>ROUND(G131*AP131,2)</f>
      </c>
      <c r="K131" s="50">
        <f>ROUND(G131*H131,2)</f>
      </c>
      <c r="L131" s="51" t="s">
        <v>61</v>
      </c>
      <c r="Z131" s="50">
        <f>ROUND(IF(AQ131="5",BJ131,0),2)</f>
      </c>
      <c r="AB131" s="50">
        <f>ROUND(IF(AQ131="1",BH131,0),2)</f>
      </c>
      <c r="AC131" s="50">
        <f>ROUND(IF(AQ131="1",BI131,0),2)</f>
      </c>
      <c r="AD131" s="50">
        <f>ROUND(IF(AQ131="7",BH131,0),2)</f>
      </c>
      <c r="AE131" s="50">
        <f>ROUND(IF(AQ131="7",BI131,0),2)</f>
      </c>
      <c r="AF131" s="50">
        <f>ROUND(IF(AQ131="2",BH131,0),2)</f>
      </c>
      <c r="AG131" s="50">
        <f>ROUND(IF(AQ131="2",BI131,0),2)</f>
      </c>
      <c r="AH131" s="50">
        <f>ROUND(IF(AQ131="0",BJ131,0),2)</f>
      </c>
      <c r="AI131" s="28" t="s">
        <v>179</v>
      </c>
      <c r="AJ131" s="50">
        <f>IF(AN131=0,K131,0)</f>
      </c>
      <c r="AK131" s="50">
        <f>IF(AN131=12,K131,0)</f>
      </c>
      <c r="AL131" s="50">
        <f>IF(AN131=21,K131,0)</f>
      </c>
      <c r="AN131" s="50" t="n">
        <v>21</v>
      </c>
      <c r="AO131" s="50">
        <f>H131*0</f>
      </c>
      <c r="AP131" s="50">
        <f>H131*(1-0)</f>
      </c>
      <c r="AQ131" s="52" t="s">
        <v>164</v>
      </c>
      <c r="AV131" s="50">
        <f>ROUND(AW131+AX131,2)</f>
      </c>
      <c r="AW131" s="50">
        <f>ROUND(G131*AO131,2)</f>
      </c>
      <c r="AX131" s="50">
        <f>ROUND(G131*AP131,2)</f>
      </c>
      <c r="AY131" s="52" t="s">
        <v>346</v>
      </c>
      <c r="AZ131" s="52" t="s">
        <v>347</v>
      </c>
      <c r="BA131" s="28" t="s">
        <v>187</v>
      </c>
      <c r="BC131" s="50">
        <f>AW131+AX131</f>
      </c>
      <c r="BD131" s="50">
        <f>H131/(100-BE131)*100</f>
      </c>
      <c r="BE131" s="50" t="n">
        <v>0</v>
      </c>
      <c r="BF131" s="50">
        <f>131</f>
      </c>
      <c r="BH131" s="50">
        <f>G131*AO131</f>
      </c>
      <c r="BI131" s="50">
        <f>G131*AP131</f>
      </c>
      <c r="BJ131" s="50">
        <f>G131*H131</f>
      </c>
      <c r="BK131" s="52" t="s">
        <v>65</v>
      </c>
      <c r="BL131" s="50"/>
      <c r="BM131" s="50">
        <f>G131*H131</f>
      </c>
      <c r="BW131" s="50" t="n">
        <v>21</v>
      </c>
      <c r="BX131" s="14" t="s">
        <v>353</v>
      </c>
    </row>
    <row r="132">
      <c r="A132" s="9" t="s">
        <v>354</v>
      </c>
      <c r="B132" s="10" t="s">
        <v>179</v>
      </c>
      <c r="C132" s="10" t="s">
        <v>352</v>
      </c>
      <c r="D132" s="14" t="s">
        <v>355</v>
      </c>
      <c r="E132" s="10"/>
      <c r="F132" s="10" t="s">
        <v>163</v>
      </c>
      <c r="G132" s="50" t="n">
        <v>8</v>
      </c>
      <c r="H132" s="50" t="n">
        <v>0</v>
      </c>
      <c r="I132" s="50">
        <f>ROUND(G132*AO132,2)</f>
      </c>
      <c r="J132" s="50">
        <f>ROUND(G132*AP132,2)</f>
      </c>
      <c r="K132" s="50">
        <f>ROUND(G132*H132,2)</f>
      </c>
      <c r="L132" s="51" t="s">
        <v>61</v>
      </c>
      <c r="Z132" s="50">
        <f>ROUND(IF(AQ132="5",BJ132,0),2)</f>
      </c>
      <c r="AB132" s="50">
        <f>ROUND(IF(AQ132="1",BH132,0),2)</f>
      </c>
      <c r="AC132" s="50">
        <f>ROUND(IF(AQ132="1",BI132,0),2)</f>
      </c>
      <c r="AD132" s="50">
        <f>ROUND(IF(AQ132="7",BH132,0),2)</f>
      </c>
      <c r="AE132" s="50">
        <f>ROUND(IF(AQ132="7",BI132,0),2)</f>
      </c>
      <c r="AF132" s="50">
        <f>ROUND(IF(AQ132="2",BH132,0),2)</f>
      </c>
      <c r="AG132" s="50">
        <f>ROUND(IF(AQ132="2",BI132,0),2)</f>
      </c>
      <c r="AH132" s="50">
        <f>ROUND(IF(AQ132="0",BJ132,0),2)</f>
      </c>
      <c r="AI132" s="28" t="s">
        <v>179</v>
      </c>
      <c r="AJ132" s="50">
        <f>IF(AN132=0,K132,0)</f>
      </c>
      <c r="AK132" s="50">
        <f>IF(AN132=12,K132,0)</f>
      </c>
      <c r="AL132" s="50">
        <f>IF(AN132=21,K132,0)</f>
      </c>
      <c r="AN132" s="50" t="n">
        <v>21</v>
      </c>
      <c r="AO132" s="50">
        <f>H132*0</f>
      </c>
      <c r="AP132" s="50">
        <f>H132*(1-0)</f>
      </c>
      <c r="AQ132" s="52" t="s">
        <v>164</v>
      </c>
      <c r="AV132" s="50">
        <f>ROUND(AW132+AX132,2)</f>
      </c>
      <c r="AW132" s="50">
        <f>ROUND(G132*AO132,2)</f>
      </c>
      <c r="AX132" s="50">
        <f>ROUND(G132*AP132,2)</f>
      </c>
      <c r="AY132" s="52" t="s">
        <v>346</v>
      </c>
      <c r="AZ132" s="52" t="s">
        <v>347</v>
      </c>
      <c r="BA132" s="28" t="s">
        <v>187</v>
      </c>
      <c r="BC132" s="50">
        <f>AW132+AX132</f>
      </c>
      <c r="BD132" s="50">
        <f>H132/(100-BE132)*100</f>
      </c>
      <c r="BE132" s="50" t="n">
        <v>0</v>
      </c>
      <c r="BF132" s="50">
        <f>132</f>
      </c>
      <c r="BH132" s="50">
        <f>G132*AO132</f>
      </c>
      <c r="BI132" s="50">
        <f>G132*AP132</f>
      </c>
      <c r="BJ132" s="50">
        <f>G132*H132</f>
      </c>
      <c r="BK132" s="52" t="s">
        <v>65</v>
      </c>
      <c r="BL132" s="50"/>
      <c r="BM132" s="50">
        <f>G132*H132</f>
      </c>
      <c r="BW132" s="50" t="n">
        <v>21</v>
      </c>
      <c r="BX132" s="14" t="s">
        <v>355</v>
      </c>
    </row>
    <row r="133" customHeight="true" ht="13.5">
      <c r="A133" s="53"/>
      <c r="C133" s="54" t="s">
        <v>189</v>
      </c>
      <c r="D133" s="55" t="s">
        <v>356</v>
      </c>
      <c r="E133" s="56"/>
      <c r="F133" s="56"/>
      <c r="G133" s="56"/>
      <c r="H133" s="56"/>
      <c r="I133" s="56"/>
      <c r="J133" s="56"/>
      <c r="K133" s="56"/>
      <c r="L133" s="57"/>
    </row>
    <row r="134">
      <c r="A134" s="9" t="s">
        <v>357</v>
      </c>
      <c r="B134" s="10" t="s">
        <v>179</v>
      </c>
      <c r="C134" s="10" t="s">
        <v>352</v>
      </c>
      <c r="D134" s="14" t="s">
        <v>358</v>
      </c>
      <c r="E134" s="10"/>
      <c r="F134" s="10" t="s">
        <v>163</v>
      </c>
      <c r="G134" s="50" t="n">
        <v>1</v>
      </c>
      <c r="H134" s="50" t="n">
        <v>0</v>
      </c>
      <c r="I134" s="50">
        <f>ROUND(G134*AO134,2)</f>
      </c>
      <c r="J134" s="50">
        <f>ROUND(G134*AP134,2)</f>
      </c>
      <c r="K134" s="50">
        <f>ROUND(G134*H134,2)</f>
      </c>
      <c r="L134" s="51" t="s">
        <v>61</v>
      </c>
      <c r="Z134" s="50">
        <f>ROUND(IF(AQ134="5",BJ134,0),2)</f>
      </c>
      <c r="AB134" s="50">
        <f>ROUND(IF(AQ134="1",BH134,0),2)</f>
      </c>
      <c r="AC134" s="50">
        <f>ROUND(IF(AQ134="1",BI134,0),2)</f>
      </c>
      <c r="AD134" s="50">
        <f>ROUND(IF(AQ134="7",BH134,0),2)</f>
      </c>
      <c r="AE134" s="50">
        <f>ROUND(IF(AQ134="7",BI134,0),2)</f>
      </c>
      <c r="AF134" s="50">
        <f>ROUND(IF(AQ134="2",BH134,0),2)</f>
      </c>
      <c r="AG134" s="50">
        <f>ROUND(IF(AQ134="2",BI134,0),2)</f>
      </c>
      <c r="AH134" s="50">
        <f>ROUND(IF(AQ134="0",BJ134,0),2)</f>
      </c>
      <c r="AI134" s="28" t="s">
        <v>179</v>
      </c>
      <c r="AJ134" s="50">
        <f>IF(AN134=0,K134,0)</f>
      </c>
      <c r="AK134" s="50">
        <f>IF(AN134=12,K134,0)</f>
      </c>
      <c r="AL134" s="50">
        <f>IF(AN134=21,K134,0)</f>
      </c>
      <c r="AN134" s="50" t="n">
        <v>21</v>
      </c>
      <c r="AO134" s="50">
        <f>H134*0</f>
      </c>
      <c r="AP134" s="50">
        <f>H134*(1-0)</f>
      </c>
      <c r="AQ134" s="52" t="s">
        <v>164</v>
      </c>
      <c r="AV134" s="50">
        <f>ROUND(AW134+AX134,2)</f>
      </c>
      <c r="AW134" s="50">
        <f>ROUND(G134*AO134,2)</f>
      </c>
      <c r="AX134" s="50">
        <f>ROUND(G134*AP134,2)</f>
      </c>
      <c r="AY134" s="52" t="s">
        <v>346</v>
      </c>
      <c r="AZ134" s="52" t="s">
        <v>347</v>
      </c>
      <c r="BA134" s="28" t="s">
        <v>187</v>
      </c>
      <c r="BC134" s="50">
        <f>AW134+AX134</f>
      </c>
      <c r="BD134" s="50">
        <f>H134/(100-BE134)*100</f>
      </c>
      <c r="BE134" s="50" t="n">
        <v>0</v>
      </c>
      <c r="BF134" s="50">
        <f>134</f>
      </c>
      <c r="BH134" s="50">
        <f>G134*AO134</f>
      </c>
      <c r="BI134" s="50">
        <f>G134*AP134</f>
      </c>
      <c r="BJ134" s="50">
        <f>G134*H134</f>
      </c>
      <c r="BK134" s="52" t="s">
        <v>65</v>
      </c>
      <c r="BL134" s="50"/>
      <c r="BM134" s="50">
        <f>G134*H134</f>
      </c>
      <c r="BW134" s="50" t="n">
        <v>21</v>
      </c>
      <c r="BX134" s="14" t="s">
        <v>358</v>
      </c>
    </row>
    <row r="135">
      <c r="A135" s="45" t="s">
        <v>52</v>
      </c>
      <c r="B135" s="46" t="s">
        <v>179</v>
      </c>
      <c r="C135" s="46" t="s">
        <v>167</v>
      </c>
      <c r="D135" s="47" t="s">
        <v>168</v>
      </c>
      <c r="E135" s="46"/>
      <c r="F135" s="48" t="s">
        <v>8</v>
      </c>
      <c r="G135" s="48" t="s">
        <v>8</v>
      </c>
      <c r="H135" s="48" t="s">
        <v>8</v>
      </c>
      <c r="I135" s="2">
        <f>SUM(I136:I136)</f>
      </c>
      <c r="J135" s="2">
        <f>SUM(J136:J136)</f>
      </c>
      <c r="K135" s="2">
        <f>SUM(K136:K136)</f>
      </c>
      <c r="L135" s="49" t="s">
        <v>52</v>
      </c>
      <c r="AI135" s="28" t="s">
        <v>179</v>
      </c>
      <c r="AS135" s="2">
        <f>SUM(AJ136:AJ136)</f>
      </c>
      <c r="AT135" s="2">
        <f>SUM(AK136:AK136)</f>
      </c>
      <c r="AU135" s="2">
        <f>SUM(AL136:AL136)</f>
      </c>
    </row>
    <row r="136">
      <c r="A136" s="9" t="s">
        <v>359</v>
      </c>
      <c r="B136" s="10" t="s">
        <v>179</v>
      </c>
      <c r="C136" s="10" t="s">
        <v>360</v>
      </c>
      <c r="D136" s="14" t="s">
        <v>361</v>
      </c>
      <c r="E136" s="10"/>
      <c r="F136" s="10" t="s">
        <v>163</v>
      </c>
      <c r="G136" s="50" t="n">
        <v>2</v>
      </c>
      <c r="H136" s="50" t="n">
        <v>0</v>
      </c>
      <c r="I136" s="50">
        <f>ROUND(G136*AO136,2)</f>
      </c>
      <c r="J136" s="50">
        <f>ROUND(G136*AP136,2)</f>
      </c>
      <c r="K136" s="50">
        <f>ROUND(G136*H136,2)</f>
      </c>
      <c r="L136" s="51" t="s">
        <v>61</v>
      </c>
      <c r="Z136" s="50">
        <f>ROUND(IF(AQ136="5",BJ136,0),2)</f>
      </c>
      <c r="AB136" s="50">
        <f>ROUND(IF(AQ136="1",BH136,0),2)</f>
      </c>
      <c r="AC136" s="50">
        <f>ROUND(IF(AQ136="1",BI136,0),2)</f>
      </c>
      <c r="AD136" s="50">
        <f>ROUND(IF(AQ136="7",BH136,0),2)</f>
      </c>
      <c r="AE136" s="50">
        <f>ROUND(IF(AQ136="7",BI136,0),2)</f>
      </c>
      <c r="AF136" s="50">
        <f>ROUND(IF(AQ136="2",BH136,0),2)</f>
      </c>
      <c r="AG136" s="50">
        <f>ROUND(IF(AQ136="2",BI136,0),2)</f>
      </c>
      <c r="AH136" s="50">
        <f>ROUND(IF(AQ136="0",BJ136,0),2)</f>
      </c>
      <c r="AI136" s="28" t="s">
        <v>179</v>
      </c>
      <c r="AJ136" s="50">
        <f>IF(AN136=0,K136,0)</f>
      </c>
      <c r="AK136" s="50">
        <f>IF(AN136=12,K136,0)</f>
      </c>
      <c r="AL136" s="50">
        <f>IF(AN136=21,K136,0)</f>
      </c>
      <c r="AN136" s="50" t="n">
        <v>21</v>
      </c>
      <c r="AO136" s="50">
        <f>H136*0</f>
      </c>
      <c r="AP136" s="50">
        <f>H136*(1-0)</f>
      </c>
      <c r="AQ136" s="52" t="s">
        <v>164</v>
      </c>
      <c r="AV136" s="50">
        <f>ROUND(AW136+AX136,2)</f>
      </c>
      <c r="AW136" s="50">
        <f>ROUND(G136*AO136,2)</f>
      </c>
      <c r="AX136" s="50">
        <f>ROUND(G136*AP136,2)</f>
      </c>
      <c r="AY136" s="52" t="s">
        <v>172</v>
      </c>
      <c r="AZ136" s="52" t="s">
        <v>347</v>
      </c>
      <c r="BA136" s="28" t="s">
        <v>187</v>
      </c>
      <c r="BC136" s="50">
        <f>AW136+AX136</f>
      </c>
      <c r="BD136" s="50">
        <f>H136/(100-BE136)*100</f>
      </c>
      <c r="BE136" s="50" t="n">
        <v>0</v>
      </c>
      <c r="BF136" s="50">
        <f>136</f>
      </c>
      <c r="BH136" s="50">
        <f>G136*AO136</f>
      </c>
      <c r="BI136" s="50">
        <f>G136*AP136</f>
      </c>
      <c r="BJ136" s="50">
        <f>G136*H136</f>
      </c>
      <c r="BK136" s="52" t="s">
        <v>65</v>
      </c>
      <c r="BL136" s="50"/>
      <c r="BP136" s="50">
        <f>G136*H136</f>
      </c>
      <c r="BW136" s="50" t="n">
        <v>21</v>
      </c>
      <c r="BX136" s="14" t="s">
        <v>361</v>
      </c>
    </row>
    <row r="137">
      <c r="A137" s="45" t="s">
        <v>52</v>
      </c>
      <c r="B137" s="46" t="s">
        <v>179</v>
      </c>
      <c r="C137" s="46" t="s">
        <v>173</v>
      </c>
      <c r="D137" s="47" t="s">
        <v>174</v>
      </c>
      <c r="E137" s="46"/>
      <c r="F137" s="48" t="s">
        <v>8</v>
      </c>
      <c r="G137" s="48" t="s">
        <v>8</v>
      </c>
      <c r="H137" s="48" t="s">
        <v>8</v>
      </c>
      <c r="I137" s="2">
        <f>SUM(I138:I138)</f>
      </c>
      <c r="J137" s="2">
        <f>SUM(J138:J138)</f>
      </c>
      <c r="K137" s="2">
        <f>SUM(K138:K138)</f>
      </c>
      <c r="L137" s="49" t="s">
        <v>52</v>
      </c>
      <c r="AI137" s="28" t="s">
        <v>179</v>
      </c>
      <c r="AS137" s="2">
        <f>SUM(AJ138:AJ138)</f>
      </c>
      <c r="AT137" s="2">
        <f>SUM(AK138:AK138)</f>
      </c>
      <c r="AU137" s="2">
        <f>SUM(AL138:AL138)</f>
      </c>
    </row>
    <row r="138">
      <c r="A138" s="9" t="s">
        <v>362</v>
      </c>
      <c r="B138" s="10" t="s">
        <v>179</v>
      </c>
      <c r="C138" s="10" t="s">
        <v>176</v>
      </c>
      <c r="D138" s="14" t="s">
        <v>177</v>
      </c>
      <c r="E138" s="10"/>
      <c r="F138" s="10" t="s">
        <v>163</v>
      </c>
      <c r="G138" s="50" t="n">
        <v>1</v>
      </c>
      <c r="H138" s="50" t="n">
        <v>0</v>
      </c>
      <c r="I138" s="50">
        <f>ROUND(G138*AO138,2)</f>
      </c>
      <c r="J138" s="50">
        <f>ROUND(G138*AP138,2)</f>
      </c>
      <c r="K138" s="50">
        <f>ROUND(G138*H138,2)</f>
      </c>
      <c r="L138" s="51" t="s">
        <v>61</v>
      </c>
      <c r="Z138" s="50">
        <f>ROUND(IF(AQ138="5",BJ138,0),2)</f>
      </c>
      <c r="AB138" s="50">
        <f>ROUND(IF(AQ138="1",BH138,0),2)</f>
      </c>
      <c r="AC138" s="50">
        <f>ROUND(IF(AQ138="1",BI138,0),2)</f>
      </c>
      <c r="AD138" s="50">
        <f>ROUND(IF(AQ138="7",BH138,0),2)</f>
      </c>
      <c r="AE138" s="50">
        <f>ROUND(IF(AQ138="7",BI138,0),2)</f>
      </c>
      <c r="AF138" s="50">
        <f>ROUND(IF(AQ138="2",BH138,0),2)</f>
      </c>
      <c r="AG138" s="50">
        <f>ROUND(IF(AQ138="2",BI138,0),2)</f>
      </c>
      <c r="AH138" s="50">
        <f>ROUND(IF(AQ138="0",BJ138,0),2)</f>
      </c>
      <c r="AI138" s="28" t="s">
        <v>179</v>
      </c>
      <c r="AJ138" s="50">
        <f>IF(AN138=0,K138,0)</f>
      </c>
      <c r="AK138" s="50">
        <f>IF(AN138=12,K138,0)</f>
      </c>
      <c r="AL138" s="50">
        <f>IF(AN138=21,K138,0)</f>
      </c>
      <c r="AN138" s="50" t="n">
        <v>21</v>
      </c>
      <c r="AO138" s="50">
        <f>H138*0</f>
      </c>
      <c r="AP138" s="50">
        <f>H138*(1-0)</f>
      </c>
      <c r="AQ138" s="52" t="s">
        <v>164</v>
      </c>
      <c r="AV138" s="50">
        <f>ROUND(AW138+AX138,2)</f>
      </c>
      <c r="AW138" s="50">
        <f>ROUND(G138*AO138,2)</f>
      </c>
      <c r="AX138" s="50">
        <f>ROUND(G138*AP138,2)</f>
      </c>
      <c r="AY138" s="52" t="s">
        <v>178</v>
      </c>
      <c r="AZ138" s="52" t="s">
        <v>347</v>
      </c>
      <c r="BA138" s="28" t="s">
        <v>187</v>
      </c>
      <c r="BC138" s="50">
        <f>AW138+AX138</f>
      </c>
      <c r="BD138" s="50">
        <f>H138/(100-BE138)*100</f>
      </c>
      <c r="BE138" s="50" t="n">
        <v>0</v>
      </c>
      <c r="BF138" s="50">
        <f>138</f>
      </c>
      <c r="BH138" s="50">
        <f>G138*AO138</f>
      </c>
      <c r="BI138" s="50">
        <f>G138*AP138</f>
      </c>
      <c r="BJ138" s="50">
        <f>G138*H138</f>
      </c>
      <c r="BK138" s="52" t="s">
        <v>65</v>
      </c>
      <c r="BL138" s="50"/>
      <c r="BS138" s="50">
        <f>G138*H138</f>
      </c>
      <c r="BW138" s="50" t="n">
        <v>21</v>
      </c>
      <c r="BX138" s="14" t="s">
        <v>177</v>
      </c>
    </row>
    <row r="139">
      <c r="A139" s="45" t="s">
        <v>52</v>
      </c>
      <c r="B139" s="46" t="s">
        <v>363</v>
      </c>
      <c r="C139" s="46" t="s">
        <v>52</v>
      </c>
      <c r="D139" s="47" t="s">
        <v>364</v>
      </c>
      <c r="E139" s="46"/>
      <c r="F139" s="48" t="s">
        <v>8</v>
      </c>
      <c r="G139" s="48" t="s">
        <v>8</v>
      </c>
      <c r="H139" s="48" t="s">
        <v>8</v>
      </c>
      <c r="I139" s="2">
        <f>I140+I149+I156+I164+I168+I170+I173+I176+I178+I183+I185+I187+I192+I207+I209</f>
      </c>
      <c r="J139" s="2">
        <f>J140+J149+J156+J164+J168+J170+J173+J176+J178+J183+J185+J187+J192+J207+J209</f>
      </c>
      <c r="K139" s="2">
        <f>K140+K149+K156+K164+K168+K170+K173+K176+K178+K183+K185+K187+K192+K207+K209</f>
      </c>
      <c r="L139" s="49" t="s">
        <v>52</v>
      </c>
    </row>
    <row r="140">
      <c r="A140" s="45" t="s">
        <v>52</v>
      </c>
      <c r="B140" s="46" t="s">
        <v>363</v>
      </c>
      <c r="C140" s="46" t="s">
        <v>120</v>
      </c>
      <c r="D140" s="47" t="s">
        <v>365</v>
      </c>
      <c r="E140" s="46"/>
      <c r="F140" s="48" t="s">
        <v>8</v>
      </c>
      <c r="G140" s="48" t="s">
        <v>8</v>
      </c>
      <c r="H140" s="48" t="s">
        <v>8</v>
      </c>
      <c r="I140" s="2">
        <f>SUM(I141:I147)</f>
      </c>
      <c r="J140" s="2">
        <f>SUM(J141:J147)</f>
      </c>
      <c r="K140" s="2">
        <f>SUM(K141:K147)</f>
      </c>
      <c r="L140" s="49" t="s">
        <v>52</v>
      </c>
      <c r="AI140" s="28" t="s">
        <v>363</v>
      </c>
      <c r="AS140" s="2">
        <f>SUM(AJ141:AJ147)</f>
      </c>
      <c r="AT140" s="2">
        <f>SUM(AK141:AK147)</f>
      </c>
      <c r="AU140" s="2">
        <f>SUM(AL141:AL147)</f>
      </c>
    </row>
    <row r="141">
      <c r="A141" s="9" t="s">
        <v>366</v>
      </c>
      <c r="B141" s="10" t="s">
        <v>363</v>
      </c>
      <c r="C141" s="10" t="s">
        <v>367</v>
      </c>
      <c r="D141" s="14" t="s">
        <v>368</v>
      </c>
      <c r="E141" s="10"/>
      <c r="F141" s="10" t="s">
        <v>60</v>
      </c>
      <c r="G141" s="50" t="n">
        <v>270.199</v>
      </c>
      <c r="H141" s="50" t="n">
        <v>0</v>
      </c>
      <c r="I141" s="50">
        <f>ROUND(G141*AO141,2)</f>
      </c>
      <c r="J141" s="50">
        <f>ROUND(G141*AP141,2)</f>
      </c>
      <c r="K141" s="50">
        <f>ROUND(G141*H141,2)</f>
      </c>
      <c r="L141" s="51" t="s">
        <v>61</v>
      </c>
      <c r="Z141" s="50">
        <f>ROUND(IF(AQ141="5",BJ141,0),2)</f>
      </c>
      <c r="AB141" s="50">
        <f>ROUND(IF(AQ141="1",BH141,0),2)</f>
      </c>
      <c r="AC141" s="50">
        <f>ROUND(IF(AQ141="1",BI141,0),2)</f>
      </c>
      <c r="AD141" s="50">
        <f>ROUND(IF(AQ141="7",BH141,0),2)</f>
      </c>
      <c r="AE141" s="50">
        <f>ROUND(IF(AQ141="7",BI141,0),2)</f>
      </c>
      <c r="AF141" s="50">
        <f>ROUND(IF(AQ141="2",BH141,0),2)</f>
      </c>
      <c r="AG141" s="50">
        <f>ROUND(IF(AQ141="2",BI141,0),2)</f>
      </c>
      <c r="AH141" s="50">
        <f>ROUND(IF(AQ141="0",BJ141,0),2)</f>
      </c>
      <c r="AI141" s="28" t="s">
        <v>363</v>
      </c>
      <c r="AJ141" s="50">
        <f>IF(AN141=0,K141,0)</f>
      </c>
      <c r="AK141" s="50">
        <f>IF(AN141=12,K141,0)</f>
      </c>
      <c r="AL141" s="50">
        <f>IF(AN141=21,K141,0)</f>
      </c>
      <c r="AN141" s="50" t="n">
        <v>21</v>
      </c>
      <c r="AO141" s="50">
        <f>H141*0</f>
      </c>
      <c r="AP141" s="50">
        <f>H141*(1-0)</f>
      </c>
      <c r="AQ141" s="52" t="s">
        <v>57</v>
      </c>
      <c r="AV141" s="50">
        <f>ROUND(AW141+AX141,2)</f>
      </c>
      <c r="AW141" s="50">
        <f>ROUND(G141*AO141,2)</f>
      </c>
      <c r="AX141" s="50">
        <f>ROUND(G141*AP141,2)</f>
      </c>
      <c r="AY141" s="52" t="s">
        <v>369</v>
      </c>
      <c r="AZ141" s="52" t="s">
        <v>370</v>
      </c>
      <c r="BA141" s="28" t="s">
        <v>371</v>
      </c>
      <c r="BC141" s="50">
        <f>AW141+AX141</f>
      </c>
      <c r="BD141" s="50">
        <f>H141/(100-BE141)*100</f>
      </c>
      <c r="BE141" s="50" t="n">
        <v>0</v>
      </c>
      <c r="BF141" s="50">
        <f>141</f>
      </c>
      <c r="BH141" s="50">
        <f>G141*AO141</f>
      </c>
      <c r="BI141" s="50">
        <f>G141*AP141</f>
      </c>
      <c r="BJ141" s="50">
        <f>G141*H141</f>
      </c>
      <c r="BK141" s="52" t="s">
        <v>65</v>
      </c>
      <c r="BL141" s="50" t="n">
        <v>13</v>
      </c>
      <c r="BW141" s="50" t="n">
        <v>21</v>
      </c>
      <c r="BX141" s="14" t="s">
        <v>368</v>
      </c>
    </row>
    <row r="142" ht="36.75">
      <c r="A142" s="53"/>
      <c r="C142" s="54" t="s">
        <v>127</v>
      </c>
      <c r="D142" s="55" t="s">
        <v>372</v>
      </c>
      <c r="E142" s="56"/>
      <c r="F142" s="56"/>
      <c r="G142" s="56"/>
      <c r="H142" s="56"/>
      <c r="I142" s="56"/>
      <c r="J142" s="56"/>
      <c r="K142" s="56"/>
      <c r="L142" s="57"/>
      <c r="BX142" s="55" t="s">
        <v>372</v>
      </c>
    </row>
    <row r="143">
      <c r="A143" s="9" t="s">
        <v>373</v>
      </c>
      <c r="B143" s="10" t="s">
        <v>363</v>
      </c>
      <c r="C143" s="10" t="s">
        <v>374</v>
      </c>
      <c r="D143" s="14" t="s">
        <v>375</v>
      </c>
      <c r="E143" s="10"/>
      <c r="F143" s="10" t="s">
        <v>60</v>
      </c>
      <c r="G143" s="50" t="n">
        <v>135.0995</v>
      </c>
      <c r="H143" s="50" t="n">
        <v>0</v>
      </c>
      <c r="I143" s="50">
        <f>ROUND(G143*AO143,2)</f>
      </c>
      <c r="J143" s="50">
        <f>ROUND(G143*AP143,2)</f>
      </c>
      <c r="K143" s="50">
        <f>ROUND(G143*H143,2)</f>
      </c>
      <c r="L143" s="51" t="s">
        <v>61</v>
      </c>
      <c r="Z143" s="50">
        <f>ROUND(IF(AQ143="5",BJ143,0),2)</f>
      </c>
      <c r="AB143" s="50">
        <f>ROUND(IF(AQ143="1",BH143,0),2)</f>
      </c>
      <c r="AC143" s="50">
        <f>ROUND(IF(AQ143="1",BI143,0),2)</f>
      </c>
      <c r="AD143" s="50">
        <f>ROUND(IF(AQ143="7",BH143,0),2)</f>
      </c>
      <c r="AE143" s="50">
        <f>ROUND(IF(AQ143="7",BI143,0),2)</f>
      </c>
      <c r="AF143" s="50">
        <f>ROUND(IF(AQ143="2",BH143,0),2)</f>
      </c>
      <c r="AG143" s="50">
        <f>ROUND(IF(AQ143="2",BI143,0),2)</f>
      </c>
      <c r="AH143" s="50">
        <f>ROUND(IF(AQ143="0",BJ143,0),2)</f>
      </c>
      <c r="AI143" s="28" t="s">
        <v>363</v>
      </c>
      <c r="AJ143" s="50">
        <f>IF(AN143=0,K143,0)</f>
      </c>
      <c r="AK143" s="50">
        <f>IF(AN143=12,K143,0)</f>
      </c>
      <c r="AL143" s="50">
        <f>IF(AN143=21,K143,0)</f>
      </c>
      <c r="AN143" s="50" t="n">
        <v>21</v>
      </c>
      <c r="AO143" s="50">
        <f>H143*0</f>
      </c>
      <c r="AP143" s="50">
        <f>H143*(1-0)</f>
      </c>
      <c r="AQ143" s="52" t="s">
        <v>57</v>
      </c>
      <c r="AV143" s="50">
        <f>ROUND(AW143+AX143,2)</f>
      </c>
      <c r="AW143" s="50">
        <f>ROUND(G143*AO143,2)</f>
      </c>
      <c r="AX143" s="50">
        <f>ROUND(G143*AP143,2)</f>
      </c>
      <c r="AY143" s="52" t="s">
        <v>369</v>
      </c>
      <c r="AZ143" s="52" t="s">
        <v>370</v>
      </c>
      <c r="BA143" s="28" t="s">
        <v>371</v>
      </c>
      <c r="BC143" s="50">
        <f>AW143+AX143</f>
      </c>
      <c r="BD143" s="50">
        <f>H143/(100-BE143)*100</f>
      </c>
      <c r="BE143" s="50" t="n">
        <v>0</v>
      </c>
      <c r="BF143" s="50">
        <f>143</f>
      </c>
      <c r="BH143" s="50">
        <f>G143*AO143</f>
      </c>
      <c r="BI143" s="50">
        <f>G143*AP143</f>
      </c>
      <c r="BJ143" s="50">
        <f>G143*H143</f>
      </c>
      <c r="BK143" s="52" t="s">
        <v>65</v>
      </c>
      <c r="BL143" s="50" t="n">
        <v>13</v>
      </c>
      <c r="BW143" s="50" t="n">
        <v>21</v>
      </c>
      <c r="BX143" s="14" t="s">
        <v>375</v>
      </c>
    </row>
    <row r="144">
      <c r="A144" s="53"/>
      <c r="C144" s="54" t="s">
        <v>127</v>
      </c>
      <c r="D144" s="55" t="s">
        <v>376</v>
      </c>
      <c r="E144" s="56"/>
      <c r="F144" s="56"/>
      <c r="G144" s="56"/>
      <c r="H144" s="56"/>
      <c r="I144" s="56"/>
      <c r="J144" s="56"/>
      <c r="K144" s="56"/>
      <c r="L144" s="57"/>
      <c r="BX144" s="55" t="s">
        <v>376</v>
      </c>
    </row>
    <row r="145">
      <c r="A145" s="9" t="s">
        <v>377</v>
      </c>
      <c r="B145" s="10" t="s">
        <v>363</v>
      </c>
      <c r="C145" s="10" t="s">
        <v>378</v>
      </c>
      <c r="D145" s="14" t="s">
        <v>379</v>
      </c>
      <c r="E145" s="10"/>
      <c r="F145" s="10" t="s">
        <v>60</v>
      </c>
      <c r="G145" s="50" t="n">
        <v>79.2144</v>
      </c>
      <c r="H145" s="50" t="n">
        <v>0</v>
      </c>
      <c r="I145" s="50">
        <f>ROUND(G145*AO145,2)</f>
      </c>
      <c r="J145" s="50">
        <f>ROUND(G145*AP145,2)</f>
      </c>
      <c r="K145" s="50">
        <f>ROUND(G145*H145,2)</f>
      </c>
      <c r="L145" s="51" t="s">
        <v>61</v>
      </c>
      <c r="Z145" s="50">
        <f>ROUND(IF(AQ145="5",BJ145,0),2)</f>
      </c>
      <c r="AB145" s="50">
        <f>ROUND(IF(AQ145="1",BH145,0),2)</f>
      </c>
      <c r="AC145" s="50">
        <f>ROUND(IF(AQ145="1",BI145,0),2)</f>
      </c>
      <c r="AD145" s="50">
        <f>ROUND(IF(AQ145="7",BH145,0),2)</f>
      </c>
      <c r="AE145" s="50">
        <f>ROUND(IF(AQ145="7",BI145,0),2)</f>
      </c>
      <c r="AF145" s="50">
        <f>ROUND(IF(AQ145="2",BH145,0),2)</f>
      </c>
      <c r="AG145" s="50">
        <f>ROUND(IF(AQ145="2",BI145,0),2)</f>
      </c>
      <c r="AH145" s="50">
        <f>ROUND(IF(AQ145="0",BJ145,0),2)</f>
      </c>
      <c r="AI145" s="28" t="s">
        <v>363</v>
      </c>
      <c r="AJ145" s="50">
        <f>IF(AN145=0,K145,0)</f>
      </c>
      <c r="AK145" s="50">
        <f>IF(AN145=12,K145,0)</f>
      </c>
      <c r="AL145" s="50">
        <f>IF(AN145=21,K145,0)</f>
      </c>
      <c r="AN145" s="50" t="n">
        <v>21</v>
      </c>
      <c r="AO145" s="50">
        <f>H145*0</f>
      </c>
      <c r="AP145" s="50">
        <f>H145*(1-0)</f>
      </c>
      <c r="AQ145" s="52" t="s">
        <v>57</v>
      </c>
      <c r="AV145" s="50">
        <f>ROUND(AW145+AX145,2)</f>
      </c>
      <c r="AW145" s="50">
        <f>ROUND(G145*AO145,2)</f>
      </c>
      <c r="AX145" s="50">
        <f>ROUND(G145*AP145,2)</f>
      </c>
      <c r="AY145" s="52" t="s">
        <v>369</v>
      </c>
      <c r="AZ145" s="52" t="s">
        <v>370</v>
      </c>
      <c r="BA145" s="28" t="s">
        <v>371</v>
      </c>
      <c r="BC145" s="50">
        <f>AW145+AX145</f>
      </c>
      <c r="BD145" s="50">
        <f>H145/(100-BE145)*100</f>
      </c>
      <c r="BE145" s="50" t="n">
        <v>0</v>
      </c>
      <c r="BF145" s="50">
        <f>145</f>
      </c>
      <c r="BH145" s="50">
        <f>G145*AO145</f>
      </c>
      <c r="BI145" s="50">
        <f>G145*AP145</f>
      </c>
      <c r="BJ145" s="50">
        <f>G145*H145</f>
      </c>
      <c r="BK145" s="52" t="s">
        <v>65</v>
      </c>
      <c r="BL145" s="50" t="n">
        <v>13</v>
      </c>
      <c r="BW145" s="50" t="n">
        <v>21</v>
      </c>
      <c r="BX145" s="14" t="s">
        <v>379</v>
      </c>
    </row>
    <row r="146" ht="36.75">
      <c r="A146" s="53"/>
      <c r="C146" s="54" t="s">
        <v>127</v>
      </c>
      <c r="D146" s="55" t="s">
        <v>380</v>
      </c>
      <c r="E146" s="56"/>
      <c r="F146" s="56"/>
      <c r="G146" s="56"/>
      <c r="H146" s="56"/>
      <c r="I146" s="56"/>
      <c r="J146" s="56"/>
      <c r="K146" s="56"/>
      <c r="L146" s="57"/>
      <c r="BX146" s="55" t="s">
        <v>380</v>
      </c>
    </row>
    <row r="147">
      <c r="A147" s="9" t="s">
        <v>381</v>
      </c>
      <c r="B147" s="10" t="s">
        <v>363</v>
      </c>
      <c r="C147" s="10" t="s">
        <v>382</v>
      </c>
      <c r="D147" s="14" t="s">
        <v>383</v>
      </c>
      <c r="E147" s="10"/>
      <c r="F147" s="10" t="s">
        <v>60</v>
      </c>
      <c r="G147" s="50" t="n">
        <v>39.6072</v>
      </c>
      <c r="H147" s="50" t="n">
        <v>0</v>
      </c>
      <c r="I147" s="50">
        <f>ROUND(G147*AO147,2)</f>
      </c>
      <c r="J147" s="50">
        <f>ROUND(G147*AP147,2)</f>
      </c>
      <c r="K147" s="50">
        <f>ROUND(G147*H147,2)</f>
      </c>
      <c r="L147" s="51" t="s">
        <v>61</v>
      </c>
      <c r="Z147" s="50">
        <f>ROUND(IF(AQ147="5",BJ147,0),2)</f>
      </c>
      <c r="AB147" s="50">
        <f>ROUND(IF(AQ147="1",BH147,0),2)</f>
      </c>
      <c r="AC147" s="50">
        <f>ROUND(IF(AQ147="1",BI147,0),2)</f>
      </c>
      <c r="AD147" s="50">
        <f>ROUND(IF(AQ147="7",BH147,0),2)</f>
      </c>
      <c r="AE147" s="50">
        <f>ROUND(IF(AQ147="7",BI147,0),2)</f>
      </c>
      <c r="AF147" s="50">
        <f>ROUND(IF(AQ147="2",BH147,0),2)</f>
      </c>
      <c r="AG147" s="50">
        <f>ROUND(IF(AQ147="2",BI147,0),2)</f>
      </c>
      <c r="AH147" s="50">
        <f>ROUND(IF(AQ147="0",BJ147,0),2)</f>
      </c>
      <c r="AI147" s="28" t="s">
        <v>363</v>
      </c>
      <c r="AJ147" s="50">
        <f>IF(AN147=0,K147,0)</f>
      </c>
      <c r="AK147" s="50">
        <f>IF(AN147=12,K147,0)</f>
      </c>
      <c r="AL147" s="50">
        <f>IF(AN147=21,K147,0)</f>
      </c>
      <c r="AN147" s="50" t="n">
        <v>21</v>
      </c>
      <c r="AO147" s="50">
        <f>H147*0</f>
      </c>
      <c r="AP147" s="50">
        <f>H147*(1-0)</f>
      </c>
      <c r="AQ147" s="52" t="s">
        <v>57</v>
      </c>
      <c r="AV147" s="50">
        <f>ROUND(AW147+AX147,2)</f>
      </c>
      <c r="AW147" s="50">
        <f>ROUND(G147*AO147,2)</f>
      </c>
      <c r="AX147" s="50">
        <f>ROUND(G147*AP147,2)</f>
      </c>
      <c r="AY147" s="52" t="s">
        <v>369</v>
      </c>
      <c r="AZ147" s="52" t="s">
        <v>370</v>
      </c>
      <c r="BA147" s="28" t="s">
        <v>371</v>
      </c>
      <c r="BC147" s="50">
        <f>AW147+AX147</f>
      </c>
      <c r="BD147" s="50">
        <f>H147/(100-BE147)*100</f>
      </c>
      <c r="BE147" s="50" t="n">
        <v>0</v>
      </c>
      <c r="BF147" s="50">
        <f>147</f>
      </c>
      <c r="BH147" s="50">
        <f>G147*AO147</f>
      </c>
      <c r="BI147" s="50">
        <f>G147*AP147</f>
      </c>
      <c r="BJ147" s="50">
        <f>G147*H147</f>
      </c>
      <c r="BK147" s="52" t="s">
        <v>65</v>
      </c>
      <c r="BL147" s="50" t="n">
        <v>13</v>
      </c>
      <c r="BW147" s="50" t="n">
        <v>21</v>
      </c>
      <c r="BX147" s="14" t="s">
        <v>383</v>
      </c>
    </row>
    <row r="148">
      <c r="A148" s="53"/>
      <c r="C148" s="54" t="s">
        <v>127</v>
      </c>
      <c r="D148" s="55" t="s">
        <v>376</v>
      </c>
      <c r="E148" s="56"/>
      <c r="F148" s="56"/>
      <c r="G148" s="56"/>
      <c r="H148" s="56"/>
      <c r="I148" s="56"/>
      <c r="J148" s="56"/>
      <c r="K148" s="56"/>
      <c r="L148" s="57"/>
      <c r="BX148" s="55" t="s">
        <v>376</v>
      </c>
    </row>
    <row r="149">
      <c r="A149" s="45" t="s">
        <v>52</v>
      </c>
      <c r="B149" s="46" t="s">
        <v>363</v>
      </c>
      <c r="C149" s="46" t="s">
        <v>134</v>
      </c>
      <c r="D149" s="47" t="s">
        <v>384</v>
      </c>
      <c r="E149" s="46"/>
      <c r="F149" s="48" t="s">
        <v>8</v>
      </c>
      <c r="G149" s="48" t="s">
        <v>8</v>
      </c>
      <c r="H149" s="48" t="s">
        <v>8</v>
      </c>
      <c r="I149" s="2">
        <f>SUM(I150:I155)</f>
      </c>
      <c r="J149" s="2">
        <f>SUM(J150:J155)</f>
      </c>
      <c r="K149" s="2">
        <f>SUM(K150:K155)</f>
      </c>
      <c r="L149" s="49" t="s">
        <v>52</v>
      </c>
      <c r="AI149" s="28" t="s">
        <v>363</v>
      </c>
      <c r="AS149" s="2">
        <f>SUM(AJ150:AJ155)</f>
      </c>
      <c r="AT149" s="2">
        <f>SUM(AK150:AK155)</f>
      </c>
      <c r="AU149" s="2">
        <f>SUM(AL150:AL155)</f>
      </c>
    </row>
    <row r="150">
      <c r="A150" s="9" t="s">
        <v>385</v>
      </c>
      <c r="B150" s="10" t="s">
        <v>363</v>
      </c>
      <c r="C150" s="10" t="s">
        <v>386</v>
      </c>
      <c r="D150" s="14" t="s">
        <v>387</v>
      </c>
      <c r="E150" s="10"/>
      <c r="F150" s="10" t="s">
        <v>195</v>
      </c>
      <c r="G150" s="50" t="n">
        <v>157.08</v>
      </c>
      <c r="H150" s="50" t="n">
        <v>0</v>
      </c>
      <c r="I150" s="50">
        <f>ROUND(G150*AO150,2)</f>
      </c>
      <c r="J150" s="50">
        <f>ROUND(G150*AP150,2)</f>
      </c>
      <c r="K150" s="50">
        <f>ROUND(G150*H150,2)</f>
      </c>
      <c r="L150" s="51" t="s">
        <v>61</v>
      </c>
      <c r="Z150" s="50">
        <f>ROUND(IF(AQ150="5",BJ150,0),2)</f>
      </c>
      <c r="AB150" s="50">
        <f>ROUND(IF(AQ150="1",BH150,0),2)</f>
      </c>
      <c r="AC150" s="50">
        <f>ROUND(IF(AQ150="1",BI150,0),2)</f>
      </c>
      <c r="AD150" s="50">
        <f>ROUND(IF(AQ150="7",BH150,0),2)</f>
      </c>
      <c r="AE150" s="50">
        <f>ROUND(IF(AQ150="7",BI150,0),2)</f>
      </c>
      <c r="AF150" s="50">
        <f>ROUND(IF(AQ150="2",BH150,0),2)</f>
      </c>
      <c r="AG150" s="50">
        <f>ROUND(IF(AQ150="2",BI150,0),2)</f>
      </c>
      <c r="AH150" s="50">
        <f>ROUND(IF(AQ150="0",BJ150,0),2)</f>
      </c>
      <c r="AI150" s="28" t="s">
        <v>363</v>
      </c>
      <c r="AJ150" s="50">
        <f>IF(AN150=0,K150,0)</f>
      </c>
      <c r="AK150" s="50">
        <f>IF(AN150=12,K150,0)</f>
      </c>
      <c r="AL150" s="50">
        <f>IF(AN150=21,K150,0)</f>
      </c>
      <c r="AN150" s="50" t="n">
        <v>21</v>
      </c>
      <c r="AO150" s="50">
        <f>H150*0.176072875</f>
      </c>
      <c r="AP150" s="50">
        <f>H150*(1-0.176072875)</f>
      </c>
      <c r="AQ150" s="52" t="s">
        <v>57</v>
      </c>
      <c r="AV150" s="50">
        <f>ROUND(AW150+AX150,2)</f>
      </c>
      <c r="AW150" s="50">
        <f>ROUND(G150*AO150,2)</f>
      </c>
      <c r="AX150" s="50">
        <f>ROUND(G150*AP150,2)</f>
      </c>
      <c r="AY150" s="52" t="s">
        <v>388</v>
      </c>
      <c r="AZ150" s="52" t="s">
        <v>370</v>
      </c>
      <c r="BA150" s="28" t="s">
        <v>371</v>
      </c>
      <c r="BC150" s="50">
        <f>AW150+AX150</f>
      </c>
      <c r="BD150" s="50">
        <f>H150/(100-BE150)*100</f>
      </c>
      <c r="BE150" s="50" t="n">
        <v>0</v>
      </c>
      <c r="BF150" s="50">
        <f>150</f>
      </c>
      <c r="BH150" s="50">
        <f>G150*AO150</f>
      </c>
      <c r="BI150" s="50">
        <f>G150*AP150</f>
      </c>
      <c r="BJ150" s="50">
        <f>G150*H150</f>
      </c>
      <c r="BK150" s="52" t="s">
        <v>65</v>
      </c>
      <c r="BL150" s="50" t="n">
        <v>15</v>
      </c>
      <c r="BW150" s="50" t="n">
        <v>21</v>
      </c>
      <c r="BX150" s="14" t="s">
        <v>387</v>
      </c>
    </row>
    <row r="151">
      <c r="A151" s="53"/>
      <c r="C151" s="54" t="s">
        <v>127</v>
      </c>
      <c r="D151" s="55" t="s">
        <v>389</v>
      </c>
      <c r="E151" s="56"/>
      <c r="F151" s="56"/>
      <c r="G151" s="56"/>
      <c r="H151" s="56"/>
      <c r="I151" s="56"/>
      <c r="J151" s="56"/>
      <c r="K151" s="56"/>
      <c r="L151" s="57"/>
      <c r="BX151" s="55" t="s">
        <v>389</v>
      </c>
    </row>
    <row r="152">
      <c r="A152" s="9" t="s">
        <v>390</v>
      </c>
      <c r="B152" s="10" t="s">
        <v>363</v>
      </c>
      <c r="C152" s="10" t="s">
        <v>391</v>
      </c>
      <c r="D152" s="14" t="s">
        <v>392</v>
      </c>
      <c r="E152" s="10"/>
      <c r="F152" s="10" t="s">
        <v>195</v>
      </c>
      <c r="G152" s="50" t="n">
        <v>157.08</v>
      </c>
      <c r="H152" s="50" t="n">
        <v>0</v>
      </c>
      <c r="I152" s="50">
        <f>ROUND(G152*AO152,2)</f>
      </c>
      <c r="J152" s="50">
        <f>ROUND(G152*AP152,2)</f>
      </c>
      <c r="K152" s="50">
        <f>ROUND(G152*H152,2)</f>
      </c>
      <c r="L152" s="51" t="s">
        <v>61</v>
      </c>
      <c r="Z152" s="50">
        <f>ROUND(IF(AQ152="5",BJ152,0),2)</f>
      </c>
      <c r="AB152" s="50">
        <f>ROUND(IF(AQ152="1",BH152,0),2)</f>
      </c>
      <c r="AC152" s="50">
        <f>ROUND(IF(AQ152="1",BI152,0),2)</f>
      </c>
      <c r="AD152" s="50">
        <f>ROUND(IF(AQ152="7",BH152,0),2)</f>
      </c>
      <c r="AE152" s="50">
        <f>ROUND(IF(AQ152="7",BI152,0),2)</f>
      </c>
      <c r="AF152" s="50">
        <f>ROUND(IF(AQ152="2",BH152,0),2)</f>
      </c>
      <c r="AG152" s="50">
        <f>ROUND(IF(AQ152="2",BI152,0),2)</f>
      </c>
      <c r="AH152" s="50">
        <f>ROUND(IF(AQ152="0",BJ152,0),2)</f>
      </c>
      <c r="AI152" s="28" t="s">
        <v>363</v>
      </c>
      <c r="AJ152" s="50">
        <f>IF(AN152=0,K152,0)</f>
      </c>
      <c r="AK152" s="50">
        <f>IF(AN152=12,K152,0)</f>
      </c>
      <c r="AL152" s="50">
        <f>IF(AN152=21,K152,0)</f>
      </c>
      <c r="AN152" s="50" t="n">
        <v>21</v>
      </c>
      <c r="AO152" s="50">
        <f>H152*0</f>
      </c>
      <c r="AP152" s="50">
        <f>H152*(1-0)</f>
      </c>
      <c r="AQ152" s="52" t="s">
        <v>57</v>
      </c>
      <c r="AV152" s="50">
        <f>ROUND(AW152+AX152,2)</f>
      </c>
      <c r="AW152" s="50">
        <f>ROUND(G152*AO152,2)</f>
      </c>
      <c r="AX152" s="50">
        <f>ROUND(G152*AP152,2)</f>
      </c>
      <c r="AY152" s="52" t="s">
        <v>388</v>
      </c>
      <c r="AZ152" s="52" t="s">
        <v>370</v>
      </c>
      <c r="BA152" s="28" t="s">
        <v>371</v>
      </c>
      <c r="BC152" s="50">
        <f>AW152+AX152</f>
      </c>
      <c r="BD152" s="50">
        <f>H152/(100-BE152)*100</f>
      </c>
      <c r="BE152" s="50" t="n">
        <v>0</v>
      </c>
      <c r="BF152" s="50">
        <f>152</f>
      </c>
      <c r="BH152" s="50">
        <f>G152*AO152</f>
      </c>
      <c r="BI152" s="50">
        <f>G152*AP152</f>
      </c>
      <c r="BJ152" s="50">
        <f>G152*H152</f>
      </c>
      <c r="BK152" s="52" t="s">
        <v>65</v>
      </c>
      <c r="BL152" s="50" t="n">
        <v>15</v>
      </c>
      <c r="BW152" s="50" t="n">
        <v>21</v>
      </c>
      <c r="BX152" s="14" t="s">
        <v>392</v>
      </c>
    </row>
    <row r="153">
      <c r="A153" s="9" t="s">
        <v>393</v>
      </c>
      <c r="B153" s="10" t="s">
        <v>363</v>
      </c>
      <c r="C153" s="10" t="s">
        <v>394</v>
      </c>
      <c r="D153" s="14" t="s">
        <v>395</v>
      </c>
      <c r="E153" s="10"/>
      <c r="F153" s="10" t="s">
        <v>60</v>
      </c>
      <c r="G153" s="50" t="n">
        <v>264.956</v>
      </c>
      <c r="H153" s="50" t="n">
        <v>0</v>
      </c>
      <c r="I153" s="50">
        <f>ROUND(G153*AO153,2)</f>
      </c>
      <c r="J153" s="50">
        <f>ROUND(G153*AP153,2)</f>
      </c>
      <c r="K153" s="50">
        <f>ROUND(G153*H153,2)</f>
      </c>
      <c r="L153" s="51" t="s">
        <v>61</v>
      </c>
      <c r="Z153" s="50">
        <f>ROUND(IF(AQ153="5",BJ153,0),2)</f>
      </c>
      <c r="AB153" s="50">
        <f>ROUND(IF(AQ153="1",BH153,0),2)</f>
      </c>
      <c r="AC153" s="50">
        <f>ROUND(IF(AQ153="1",BI153,0),2)</f>
      </c>
      <c r="AD153" s="50">
        <f>ROUND(IF(AQ153="7",BH153,0),2)</f>
      </c>
      <c r="AE153" s="50">
        <f>ROUND(IF(AQ153="7",BI153,0),2)</f>
      </c>
      <c r="AF153" s="50">
        <f>ROUND(IF(AQ153="2",BH153,0),2)</f>
      </c>
      <c r="AG153" s="50">
        <f>ROUND(IF(AQ153="2",BI153,0),2)</f>
      </c>
      <c r="AH153" s="50">
        <f>ROUND(IF(AQ153="0",BJ153,0),2)</f>
      </c>
      <c r="AI153" s="28" t="s">
        <v>363</v>
      </c>
      <c r="AJ153" s="50">
        <f>IF(AN153=0,K153,0)</f>
      </c>
      <c r="AK153" s="50">
        <f>IF(AN153=12,K153,0)</f>
      </c>
      <c r="AL153" s="50">
        <f>IF(AN153=21,K153,0)</f>
      </c>
      <c r="AN153" s="50" t="n">
        <v>21</v>
      </c>
      <c r="AO153" s="50">
        <f>H153*0.044381479</f>
      </c>
      <c r="AP153" s="50">
        <f>H153*(1-0.044381479)</f>
      </c>
      <c r="AQ153" s="52" t="s">
        <v>57</v>
      </c>
      <c r="AV153" s="50">
        <f>ROUND(AW153+AX153,2)</f>
      </c>
      <c r="AW153" s="50">
        <f>ROUND(G153*AO153,2)</f>
      </c>
      <c r="AX153" s="50">
        <f>ROUND(G153*AP153,2)</f>
      </c>
      <c r="AY153" s="52" t="s">
        <v>388</v>
      </c>
      <c r="AZ153" s="52" t="s">
        <v>370</v>
      </c>
      <c r="BA153" s="28" t="s">
        <v>371</v>
      </c>
      <c r="BC153" s="50">
        <f>AW153+AX153</f>
      </c>
      <c r="BD153" s="50">
        <f>H153/(100-BE153)*100</f>
      </c>
      <c r="BE153" s="50" t="n">
        <v>0</v>
      </c>
      <c r="BF153" s="50">
        <f>153</f>
      </c>
      <c r="BH153" s="50">
        <f>G153*AO153</f>
      </c>
      <c r="BI153" s="50">
        <f>G153*AP153</f>
      </c>
      <c r="BJ153" s="50">
        <f>G153*H153</f>
      </c>
      <c r="BK153" s="52" t="s">
        <v>65</v>
      </c>
      <c r="BL153" s="50" t="n">
        <v>15</v>
      </c>
      <c r="BW153" s="50" t="n">
        <v>21</v>
      </c>
      <c r="BX153" s="14" t="s">
        <v>395</v>
      </c>
    </row>
    <row r="154">
      <c r="A154" s="53"/>
      <c r="C154" s="54" t="s">
        <v>127</v>
      </c>
      <c r="D154" s="55" t="s">
        <v>396</v>
      </c>
      <c r="E154" s="56"/>
      <c r="F154" s="56"/>
      <c r="G154" s="56"/>
      <c r="H154" s="56"/>
      <c r="I154" s="56"/>
      <c r="J154" s="56"/>
      <c r="K154" s="56"/>
      <c r="L154" s="57"/>
      <c r="BX154" s="55" t="s">
        <v>396</v>
      </c>
    </row>
    <row r="155">
      <c r="A155" s="9" t="s">
        <v>397</v>
      </c>
      <c r="B155" s="10" t="s">
        <v>363</v>
      </c>
      <c r="C155" s="10" t="s">
        <v>398</v>
      </c>
      <c r="D155" s="14" t="s">
        <v>399</v>
      </c>
      <c r="E155" s="10"/>
      <c r="F155" s="10" t="s">
        <v>60</v>
      </c>
      <c r="G155" s="50" t="n">
        <v>264.956</v>
      </c>
      <c r="H155" s="50" t="n">
        <v>0</v>
      </c>
      <c r="I155" s="50">
        <f>ROUND(G155*AO155,2)</f>
      </c>
      <c r="J155" s="50">
        <f>ROUND(G155*AP155,2)</f>
      </c>
      <c r="K155" s="50">
        <f>ROUND(G155*H155,2)</f>
      </c>
      <c r="L155" s="51" t="s">
        <v>61</v>
      </c>
      <c r="Z155" s="50">
        <f>ROUND(IF(AQ155="5",BJ155,0),2)</f>
      </c>
      <c r="AB155" s="50">
        <f>ROUND(IF(AQ155="1",BH155,0),2)</f>
      </c>
      <c r="AC155" s="50">
        <f>ROUND(IF(AQ155="1",BI155,0),2)</f>
      </c>
      <c r="AD155" s="50">
        <f>ROUND(IF(AQ155="7",BH155,0),2)</f>
      </c>
      <c r="AE155" s="50">
        <f>ROUND(IF(AQ155="7",BI155,0),2)</f>
      </c>
      <c r="AF155" s="50">
        <f>ROUND(IF(AQ155="2",BH155,0),2)</f>
      </c>
      <c r="AG155" s="50">
        <f>ROUND(IF(AQ155="2",BI155,0),2)</f>
      </c>
      <c r="AH155" s="50">
        <f>ROUND(IF(AQ155="0",BJ155,0),2)</f>
      </c>
      <c r="AI155" s="28" t="s">
        <v>363</v>
      </c>
      <c r="AJ155" s="50">
        <f>IF(AN155=0,K155,0)</f>
      </c>
      <c r="AK155" s="50">
        <f>IF(AN155=12,K155,0)</f>
      </c>
      <c r="AL155" s="50">
        <f>IF(AN155=21,K155,0)</f>
      </c>
      <c r="AN155" s="50" t="n">
        <v>21</v>
      </c>
      <c r="AO155" s="50">
        <f>H155*0</f>
      </c>
      <c r="AP155" s="50">
        <f>H155*(1-0)</f>
      </c>
      <c r="AQ155" s="52" t="s">
        <v>57</v>
      </c>
      <c r="AV155" s="50">
        <f>ROUND(AW155+AX155,2)</f>
      </c>
      <c r="AW155" s="50">
        <f>ROUND(G155*AO155,2)</f>
      </c>
      <c r="AX155" s="50">
        <f>ROUND(G155*AP155,2)</f>
      </c>
      <c r="AY155" s="52" t="s">
        <v>388</v>
      </c>
      <c r="AZ155" s="52" t="s">
        <v>370</v>
      </c>
      <c r="BA155" s="28" t="s">
        <v>371</v>
      </c>
      <c r="BC155" s="50">
        <f>AW155+AX155</f>
      </c>
      <c r="BD155" s="50">
        <f>H155/(100-BE155)*100</f>
      </c>
      <c r="BE155" s="50" t="n">
        <v>0</v>
      </c>
      <c r="BF155" s="50">
        <f>155</f>
      </c>
      <c r="BH155" s="50">
        <f>G155*AO155</f>
      </c>
      <c r="BI155" s="50">
        <f>G155*AP155</f>
      </c>
      <c r="BJ155" s="50">
        <f>G155*H155</f>
      </c>
      <c r="BK155" s="52" t="s">
        <v>65</v>
      </c>
      <c r="BL155" s="50" t="n">
        <v>15</v>
      </c>
      <c r="BW155" s="50" t="n">
        <v>21</v>
      </c>
      <c r="BX155" s="14" t="s">
        <v>399</v>
      </c>
    </row>
    <row r="156">
      <c r="A156" s="45" t="s">
        <v>52</v>
      </c>
      <c r="B156" s="46" t="s">
        <v>363</v>
      </c>
      <c r="C156" s="46" t="s">
        <v>138</v>
      </c>
      <c r="D156" s="47" t="s">
        <v>400</v>
      </c>
      <c r="E156" s="46"/>
      <c r="F156" s="48" t="s">
        <v>8</v>
      </c>
      <c r="G156" s="48" t="s">
        <v>8</v>
      </c>
      <c r="H156" s="48" t="s">
        <v>8</v>
      </c>
      <c r="I156" s="2">
        <f>SUM(I157:I163)</f>
      </c>
      <c r="J156" s="2">
        <f>SUM(J157:J163)</f>
      </c>
      <c r="K156" s="2">
        <f>SUM(K157:K163)</f>
      </c>
      <c r="L156" s="49" t="s">
        <v>52</v>
      </c>
      <c r="AI156" s="28" t="s">
        <v>363</v>
      </c>
      <c r="AS156" s="2">
        <f>SUM(AJ157:AJ163)</f>
      </c>
      <c r="AT156" s="2">
        <f>SUM(AK157:AK163)</f>
      </c>
      <c r="AU156" s="2">
        <f>SUM(AL157:AL163)</f>
      </c>
    </row>
    <row r="157">
      <c r="A157" s="9" t="s">
        <v>401</v>
      </c>
      <c r="B157" s="10" t="s">
        <v>363</v>
      </c>
      <c r="C157" s="10" t="s">
        <v>402</v>
      </c>
      <c r="D157" s="14" t="s">
        <v>403</v>
      </c>
      <c r="E157" s="10"/>
      <c r="F157" s="10" t="s">
        <v>60</v>
      </c>
      <c r="G157" s="50" t="n">
        <v>84.4574</v>
      </c>
      <c r="H157" s="50" t="n">
        <v>0</v>
      </c>
      <c r="I157" s="50">
        <f>ROUND(G157*AO157,2)</f>
      </c>
      <c r="J157" s="50">
        <f>ROUND(G157*AP157,2)</f>
      </c>
      <c r="K157" s="50">
        <f>ROUND(G157*H157,2)</f>
      </c>
      <c r="L157" s="51" t="s">
        <v>61</v>
      </c>
      <c r="Z157" s="50">
        <f>ROUND(IF(AQ157="5",BJ157,0),2)</f>
      </c>
      <c r="AB157" s="50">
        <f>ROUND(IF(AQ157="1",BH157,0),2)</f>
      </c>
      <c r="AC157" s="50">
        <f>ROUND(IF(AQ157="1",BI157,0),2)</f>
      </c>
      <c r="AD157" s="50">
        <f>ROUND(IF(AQ157="7",BH157,0),2)</f>
      </c>
      <c r="AE157" s="50">
        <f>ROUND(IF(AQ157="7",BI157,0),2)</f>
      </c>
      <c r="AF157" s="50">
        <f>ROUND(IF(AQ157="2",BH157,0),2)</f>
      </c>
      <c r="AG157" s="50">
        <f>ROUND(IF(AQ157="2",BI157,0),2)</f>
      </c>
      <c r="AH157" s="50">
        <f>ROUND(IF(AQ157="0",BJ157,0),2)</f>
      </c>
      <c r="AI157" s="28" t="s">
        <v>363</v>
      </c>
      <c r="AJ157" s="50">
        <f>IF(AN157=0,K157,0)</f>
      </c>
      <c r="AK157" s="50">
        <f>IF(AN157=12,K157,0)</f>
      </c>
      <c r="AL157" s="50">
        <f>IF(AN157=21,K157,0)</f>
      </c>
      <c r="AN157" s="50" t="n">
        <v>21</v>
      </c>
      <c r="AO157" s="50">
        <f>H157*0</f>
      </c>
      <c r="AP157" s="50">
        <f>H157*(1-0)</f>
      </c>
      <c r="AQ157" s="52" t="s">
        <v>57</v>
      </c>
      <c r="AV157" s="50">
        <f>ROUND(AW157+AX157,2)</f>
      </c>
      <c r="AW157" s="50">
        <f>ROUND(G157*AO157,2)</f>
      </c>
      <c r="AX157" s="50">
        <f>ROUND(G157*AP157,2)</f>
      </c>
      <c r="AY157" s="52" t="s">
        <v>404</v>
      </c>
      <c r="AZ157" s="52" t="s">
        <v>370</v>
      </c>
      <c r="BA157" s="28" t="s">
        <v>371</v>
      </c>
      <c r="BC157" s="50">
        <f>AW157+AX157</f>
      </c>
      <c r="BD157" s="50">
        <f>H157/(100-BE157)*100</f>
      </c>
      <c r="BE157" s="50" t="n">
        <v>0</v>
      </c>
      <c r="BF157" s="50">
        <f>157</f>
      </c>
      <c r="BH157" s="50">
        <f>G157*AO157</f>
      </c>
      <c r="BI157" s="50">
        <f>G157*AP157</f>
      </c>
      <c r="BJ157" s="50">
        <f>G157*H157</f>
      </c>
      <c r="BK157" s="52" t="s">
        <v>65</v>
      </c>
      <c r="BL157" s="50" t="n">
        <v>16</v>
      </c>
      <c r="BW157" s="50" t="n">
        <v>21</v>
      </c>
      <c r="BX157" s="14" t="s">
        <v>403</v>
      </c>
    </row>
    <row r="158" ht="48.75">
      <c r="A158" s="53"/>
      <c r="C158" s="54" t="s">
        <v>127</v>
      </c>
      <c r="D158" s="55" t="s">
        <v>405</v>
      </c>
      <c r="E158" s="56"/>
      <c r="F158" s="56"/>
      <c r="G158" s="56"/>
      <c r="H158" s="56"/>
      <c r="I158" s="56"/>
      <c r="J158" s="56"/>
      <c r="K158" s="56"/>
      <c r="L158" s="57"/>
      <c r="BX158" s="55" t="s">
        <v>405</v>
      </c>
    </row>
    <row r="159">
      <c r="A159" s="9" t="s">
        <v>406</v>
      </c>
      <c r="B159" s="10" t="s">
        <v>363</v>
      </c>
      <c r="C159" s="10" t="s">
        <v>407</v>
      </c>
      <c r="D159" s="14" t="s">
        <v>408</v>
      </c>
      <c r="E159" s="10"/>
      <c r="F159" s="10" t="s">
        <v>60</v>
      </c>
      <c r="G159" s="50" t="n">
        <v>264.956</v>
      </c>
      <c r="H159" s="50" t="n">
        <v>0</v>
      </c>
      <c r="I159" s="50">
        <f>ROUND(G159*AO159,2)</f>
      </c>
      <c r="J159" s="50">
        <f>ROUND(G159*AP159,2)</f>
      </c>
      <c r="K159" s="50">
        <f>ROUND(G159*H159,2)</f>
      </c>
      <c r="L159" s="51" t="s">
        <v>61</v>
      </c>
      <c r="Z159" s="50">
        <f>ROUND(IF(AQ159="5",BJ159,0),2)</f>
      </c>
      <c r="AB159" s="50">
        <f>ROUND(IF(AQ159="1",BH159,0),2)</f>
      </c>
      <c r="AC159" s="50">
        <f>ROUND(IF(AQ159="1",BI159,0),2)</f>
      </c>
      <c r="AD159" s="50">
        <f>ROUND(IF(AQ159="7",BH159,0),2)</f>
      </c>
      <c r="AE159" s="50">
        <f>ROUND(IF(AQ159="7",BI159,0),2)</f>
      </c>
      <c r="AF159" s="50">
        <f>ROUND(IF(AQ159="2",BH159,0),2)</f>
      </c>
      <c r="AG159" s="50">
        <f>ROUND(IF(AQ159="2",BI159,0),2)</f>
      </c>
      <c r="AH159" s="50">
        <f>ROUND(IF(AQ159="0",BJ159,0),2)</f>
      </c>
      <c r="AI159" s="28" t="s">
        <v>363</v>
      </c>
      <c r="AJ159" s="50">
        <f>IF(AN159=0,K159,0)</f>
      </c>
      <c r="AK159" s="50">
        <f>IF(AN159=12,K159,0)</f>
      </c>
      <c r="AL159" s="50">
        <f>IF(AN159=21,K159,0)</f>
      </c>
      <c r="AN159" s="50" t="n">
        <v>21</v>
      </c>
      <c r="AO159" s="50">
        <f>H159*0</f>
      </c>
      <c r="AP159" s="50">
        <f>H159*(1-0)</f>
      </c>
      <c r="AQ159" s="52" t="s">
        <v>57</v>
      </c>
      <c r="AV159" s="50">
        <f>ROUND(AW159+AX159,2)</f>
      </c>
      <c r="AW159" s="50">
        <f>ROUND(G159*AO159,2)</f>
      </c>
      <c r="AX159" s="50">
        <f>ROUND(G159*AP159,2)</f>
      </c>
      <c r="AY159" s="52" t="s">
        <v>404</v>
      </c>
      <c r="AZ159" s="52" t="s">
        <v>370</v>
      </c>
      <c r="BA159" s="28" t="s">
        <v>371</v>
      </c>
      <c r="BC159" s="50">
        <f>AW159+AX159</f>
      </c>
      <c r="BD159" s="50">
        <f>H159/(100-BE159)*100</f>
      </c>
      <c r="BE159" s="50" t="n">
        <v>0</v>
      </c>
      <c r="BF159" s="50">
        <f>159</f>
      </c>
      <c r="BH159" s="50">
        <f>G159*AO159</f>
      </c>
      <c r="BI159" s="50">
        <f>G159*AP159</f>
      </c>
      <c r="BJ159" s="50">
        <f>G159*H159</f>
      </c>
      <c r="BK159" s="52" t="s">
        <v>65</v>
      </c>
      <c r="BL159" s="50" t="n">
        <v>16</v>
      </c>
      <c r="BW159" s="50" t="n">
        <v>21</v>
      </c>
      <c r="BX159" s="14" t="s">
        <v>408</v>
      </c>
    </row>
    <row r="160" ht="48.75">
      <c r="A160" s="53"/>
      <c r="C160" s="54" t="s">
        <v>127</v>
      </c>
      <c r="D160" s="55" t="s">
        <v>409</v>
      </c>
      <c r="E160" s="56"/>
      <c r="F160" s="56"/>
      <c r="G160" s="56"/>
      <c r="H160" s="56"/>
      <c r="I160" s="56"/>
      <c r="J160" s="56"/>
      <c r="K160" s="56"/>
      <c r="L160" s="57"/>
      <c r="BX160" s="55" t="s">
        <v>409</v>
      </c>
    </row>
    <row r="161">
      <c r="A161" s="9" t="s">
        <v>410</v>
      </c>
      <c r="B161" s="10" t="s">
        <v>363</v>
      </c>
      <c r="C161" s="10" t="s">
        <v>411</v>
      </c>
      <c r="D161" s="14" t="s">
        <v>412</v>
      </c>
      <c r="E161" s="10"/>
      <c r="F161" s="10" t="s">
        <v>60</v>
      </c>
      <c r="G161" s="50" t="n">
        <v>422.4022</v>
      </c>
      <c r="H161" s="50" t="n">
        <v>0</v>
      </c>
      <c r="I161" s="50">
        <f>ROUND(G161*AO161,2)</f>
      </c>
      <c r="J161" s="50">
        <f>ROUND(G161*AP161,2)</f>
      </c>
      <c r="K161" s="50">
        <f>ROUND(G161*H161,2)</f>
      </c>
      <c r="L161" s="51" t="s">
        <v>61</v>
      </c>
      <c r="Z161" s="50">
        <f>ROUND(IF(AQ161="5",BJ161,0),2)</f>
      </c>
      <c r="AB161" s="50">
        <f>ROUND(IF(AQ161="1",BH161,0),2)</f>
      </c>
      <c r="AC161" s="50">
        <f>ROUND(IF(AQ161="1",BI161,0),2)</f>
      </c>
      <c r="AD161" s="50">
        <f>ROUND(IF(AQ161="7",BH161,0),2)</f>
      </c>
      <c r="AE161" s="50">
        <f>ROUND(IF(AQ161="7",BI161,0),2)</f>
      </c>
      <c r="AF161" s="50">
        <f>ROUND(IF(AQ161="2",BH161,0),2)</f>
      </c>
      <c r="AG161" s="50">
        <f>ROUND(IF(AQ161="2",BI161,0),2)</f>
      </c>
      <c r="AH161" s="50">
        <f>ROUND(IF(AQ161="0",BJ161,0),2)</f>
      </c>
      <c r="AI161" s="28" t="s">
        <v>363</v>
      </c>
      <c r="AJ161" s="50">
        <f>IF(AN161=0,K161,0)</f>
      </c>
      <c r="AK161" s="50">
        <f>IF(AN161=12,K161,0)</f>
      </c>
      <c r="AL161" s="50">
        <f>IF(AN161=21,K161,0)</f>
      </c>
      <c r="AN161" s="50" t="n">
        <v>21</v>
      </c>
      <c r="AO161" s="50">
        <f>H161*0</f>
      </c>
      <c r="AP161" s="50">
        <f>H161*(1-0)</f>
      </c>
      <c r="AQ161" s="52" t="s">
        <v>57</v>
      </c>
      <c r="AV161" s="50">
        <f>ROUND(AW161+AX161,2)</f>
      </c>
      <c r="AW161" s="50">
        <f>ROUND(G161*AO161,2)</f>
      </c>
      <c r="AX161" s="50">
        <f>ROUND(G161*AP161,2)</f>
      </c>
      <c r="AY161" s="52" t="s">
        <v>404</v>
      </c>
      <c r="AZ161" s="52" t="s">
        <v>370</v>
      </c>
      <c r="BA161" s="28" t="s">
        <v>371</v>
      </c>
      <c r="BC161" s="50">
        <f>AW161+AX161</f>
      </c>
      <c r="BD161" s="50">
        <f>H161/(100-BE161)*100</f>
      </c>
      <c r="BE161" s="50" t="n">
        <v>0</v>
      </c>
      <c r="BF161" s="50">
        <f>161</f>
      </c>
      <c r="BH161" s="50">
        <f>G161*AO161</f>
      </c>
      <c r="BI161" s="50">
        <f>G161*AP161</f>
      </c>
      <c r="BJ161" s="50">
        <f>G161*H161</f>
      </c>
      <c r="BK161" s="52" t="s">
        <v>65</v>
      </c>
      <c r="BL161" s="50" t="n">
        <v>16</v>
      </c>
      <c r="BW161" s="50" t="n">
        <v>21</v>
      </c>
      <c r="BX161" s="14" t="s">
        <v>412</v>
      </c>
    </row>
    <row r="162">
      <c r="A162" s="9" t="s">
        <v>413</v>
      </c>
      <c r="B162" s="10" t="s">
        <v>363</v>
      </c>
      <c r="C162" s="10" t="s">
        <v>414</v>
      </c>
      <c r="D162" s="14" t="s">
        <v>415</v>
      </c>
      <c r="E162" s="10"/>
      <c r="F162" s="10" t="s">
        <v>60</v>
      </c>
      <c r="G162" s="50" t="n">
        <v>42.72</v>
      </c>
      <c r="H162" s="50" t="n">
        <v>0</v>
      </c>
      <c r="I162" s="50">
        <f>ROUND(G162*AO162,2)</f>
      </c>
      <c r="J162" s="50">
        <f>ROUND(G162*AP162,2)</f>
      </c>
      <c r="K162" s="50">
        <f>ROUND(G162*H162,2)</f>
      </c>
      <c r="L162" s="51" t="s">
        <v>61</v>
      </c>
      <c r="Z162" s="50">
        <f>ROUND(IF(AQ162="5",BJ162,0),2)</f>
      </c>
      <c r="AB162" s="50">
        <f>ROUND(IF(AQ162="1",BH162,0),2)</f>
      </c>
      <c r="AC162" s="50">
        <f>ROUND(IF(AQ162="1",BI162,0),2)</f>
      </c>
      <c r="AD162" s="50">
        <f>ROUND(IF(AQ162="7",BH162,0),2)</f>
      </c>
      <c r="AE162" s="50">
        <f>ROUND(IF(AQ162="7",BI162,0),2)</f>
      </c>
      <c r="AF162" s="50">
        <f>ROUND(IF(AQ162="2",BH162,0),2)</f>
      </c>
      <c r="AG162" s="50">
        <f>ROUND(IF(AQ162="2",BI162,0),2)</f>
      </c>
      <c r="AH162" s="50">
        <f>ROUND(IF(AQ162="0",BJ162,0),2)</f>
      </c>
      <c r="AI162" s="28" t="s">
        <v>363</v>
      </c>
      <c r="AJ162" s="50">
        <f>IF(AN162=0,K162,0)</f>
      </c>
      <c r="AK162" s="50">
        <f>IF(AN162=12,K162,0)</f>
      </c>
      <c r="AL162" s="50">
        <f>IF(AN162=21,K162,0)</f>
      </c>
      <c r="AN162" s="50" t="n">
        <v>21</v>
      </c>
      <c r="AO162" s="50">
        <f>H162*0</f>
      </c>
      <c r="AP162" s="50">
        <f>H162*(1-0)</f>
      </c>
      <c r="AQ162" s="52" t="s">
        <v>57</v>
      </c>
      <c r="AV162" s="50">
        <f>ROUND(AW162+AX162,2)</f>
      </c>
      <c r="AW162" s="50">
        <f>ROUND(G162*AO162,2)</f>
      </c>
      <c r="AX162" s="50">
        <f>ROUND(G162*AP162,2)</f>
      </c>
      <c r="AY162" s="52" t="s">
        <v>404</v>
      </c>
      <c r="AZ162" s="52" t="s">
        <v>370</v>
      </c>
      <c r="BA162" s="28" t="s">
        <v>371</v>
      </c>
      <c r="BC162" s="50">
        <f>AW162+AX162</f>
      </c>
      <c r="BD162" s="50">
        <f>H162/(100-BE162)*100</f>
      </c>
      <c r="BE162" s="50" t="n">
        <v>0</v>
      </c>
      <c r="BF162" s="50">
        <f>162</f>
      </c>
      <c r="BH162" s="50">
        <f>G162*AO162</f>
      </c>
      <c r="BI162" s="50">
        <f>G162*AP162</f>
      </c>
      <c r="BJ162" s="50">
        <f>G162*H162</f>
      </c>
      <c r="BK162" s="52" t="s">
        <v>65</v>
      </c>
      <c r="BL162" s="50" t="n">
        <v>16</v>
      </c>
      <c r="BW162" s="50" t="n">
        <v>21</v>
      </c>
      <c r="BX162" s="14" t="s">
        <v>415</v>
      </c>
    </row>
    <row r="163">
      <c r="A163" s="9" t="s">
        <v>416</v>
      </c>
      <c r="B163" s="10" t="s">
        <v>363</v>
      </c>
      <c r="C163" s="10" t="s">
        <v>417</v>
      </c>
      <c r="D163" s="14" t="s">
        <v>418</v>
      </c>
      <c r="E163" s="10"/>
      <c r="F163" s="10" t="s">
        <v>60</v>
      </c>
      <c r="G163" s="50" t="n">
        <v>115.7088</v>
      </c>
      <c r="H163" s="50" t="n">
        <v>0</v>
      </c>
      <c r="I163" s="50">
        <f>ROUND(G163*AO163,2)</f>
      </c>
      <c r="J163" s="50">
        <f>ROUND(G163*AP163,2)</f>
      </c>
      <c r="K163" s="50">
        <f>ROUND(G163*H163,2)</f>
      </c>
      <c r="L163" s="51" t="s">
        <v>61</v>
      </c>
      <c r="Z163" s="50">
        <f>ROUND(IF(AQ163="5",BJ163,0),2)</f>
      </c>
      <c r="AB163" s="50">
        <f>ROUND(IF(AQ163="1",BH163,0),2)</f>
      </c>
      <c r="AC163" s="50">
        <f>ROUND(IF(AQ163="1",BI163,0),2)</f>
      </c>
      <c r="AD163" s="50">
        <f>ROUND(IF(AQ163="7",BH163,0),2)</f>
      </c>
      <c r="AE163" s="50">
        <f>ROUND(IF(AQ163="7",BI163,0),2)</f>
      </c>
      <c r="AF163" s="50">
        <f>ROUND(IF(AQ163="2",BH163,0),2)</f>
      </c>
      <c r="AG163" s="50">
        <f>ROUND(IF(AQ163="2",BI163,0),2)</f>
      </c>
      <c r="AH163" s="50">
        <f>ROUND(IF(AQ163="0",BJ163,0),2)</f>
      </c>
      <c r="AI163" s="28" t="s">
        <v>363</v>
      </c>
      <c r="AJ163" s="50">
        <f>IF(AN163=0,K163,0)</f>
      </c>
      <c r="AK163" s="50">
        <f>IF(AN163=12,K163,0)</f>
      </c>
      <c r="AL163" s="50">
        <f>IF(AN163=21,K163,0)</f>
      </c>
      <c r="AN163" s="50" t="n">
        <v>21</v>
      </c>
      <c r="AO163" s="50">
        <f>H163*0</f>
      </c>
      <c r="AP163" s="50">
        <f>H163*(1-0)</f>
      </c>
      <c r="AQ163" s="52" t="s">
        <v>57</v>
      </c>
      <c r="AV163" s="50">
        <f>ROUND(AW163+AX163,2)</f>
      </c>
      <c r="AW163" s="50">
        <f>ROUND(G163*AO163,2)</f>
      </c>
      <c r="AX163" s="50">
        <f>ROUND(G163*AP163,2)</f>
      </c>
      <c r="AY163" s="52" t="s">
        <v>404</v>
      </c>
      <c r="AZ163" s="52" t="s">
        <v>370</v>
      </c>
      <c r="BA163" s="28" t="s">
        <v>371</v>
      </c>
      <c r="BC163" s="50">
        <f>AW163+AX163</f>
      </c>
      <c r="BD163" s="50">
        <f>H163/(100-BE163)*100</f>
      </c>
      <c r="BE163" s="50" t="n">
        <v>0</v>
      </c>
      <c r="BF163" s="50">
        <f>163</f>
      </c>
      <c r="BH163" s="50">
        <f>G163*AO163</f>
      </c>
      <c r="BI163" s="50">
        <f>G163*AP163</f>
      </c>
      <c r="BJ163" s="50">
        <f>G163*H163</f>
      </c>
      <c r="BK163" s="52" t="s">
        <v>65</v>
      </c>
      <c r="BL163" s="50" t="n">
        <v>16</v>
      </c>
      <c r="BW163" s="50" t="n">
        <v>21</v>
      </c>
      <c r="BX163" s="14" t="s">
        <v>418</v>
      </c>
    </row>
    <row r="164">
      <c r="A164" s="45" t="s">
        <v>52</v>
      </c>
      <c r="B164" s="46" t="s">
        <v>363</v>
      </c>
      <c r="C164" s="46" t="s">
        <v>55</v>
      </c>
      <c r="D164" s="47" t="s">
        <v>56</v>
      </c>
      <c r="E164" s="46"/>
      <c r="F164" s="48" t="s">
        <v>8</v>
      </c>
      <c r="G164" s="48" t="s">
        <v>8</v>
      </c>
      <c r="H164" s="48" t="s">
        <v>8</v>
      </c>
      <c r="I164" s="2">
        <f>SUM(I165:I167)</f>
      </c>
      <c r="J164" s="2">
        <f>SUM(J165:J167)</f>
      </c>
      <c r="K164" s="2">
        <f>SUM(K165:K167)</f>
      </c>
      <c r="L164" s="49" t="s">
        <v>52</v>
      </c>
      <c r="AI164" s="28" t="s">
        <v>363</v>
      </c>
      <c r="AS164" s="2">
        <f>SUM(AJ165:AJ167)</f>
      </c>
      <c r="AT164" s="2">
        <f>SUM(AK165:AK167)</f>
      </c>
      <c r="AU164" s="2">
        <f>SUM(AL165:AL167)</f>
      </c>
    </row>
    <row r="165">
      <c r="A165" s="9" t="s">
        <v>419</v>
      </c>
      <c r="B165" s="10" t="s">
        <v>363</v>
      </c>
      <c r="C165" s="10" t="s">
        <v>420</v>
      </c>
      <c r="D165" s="14" t="s">
        <v>421</v>
      </c>
      <c r="E165" s="10"/>
      <c r="F165" s="10" t="s">
        <v>60</v>
      </c>
      <c r="G165" s="50" t="n">
        <v>229.88139</v>
      </c>
      <c r="H165" s="50" t="n">
        <v>0</v>
      </c>
      <c r="I165" s="50">
        <f>ROUND(G165*AO165,2)</f>
      </c>
      <c r="J165" s="50">
        <f>ROUND(G165*AP165,2)</f>
      </c>
      <c r="K165" s="50">
        <f>ROUND(G165*H165,2)</f>
      </c>
      <c r="L165" s="51" t="s">
        <v>422</v>
      </c>
      <c r="Z165" s="50">
        <f>ROUND(IF(AQ165="5",BJ165,0),2)</f>
      </c>
      <c r="AB165" s="50">
        <f>ROUND(IF(AQ165="1",BH165,0),2)</f>
      </c>
      <c r="AC165" s="50">
        <f>ROUND(IF(AQ165="1",BI165,0),2)</f>
      </c>
      <c r="AD165" s="50">
        <f>ROUND(IF(AQ165="7",BH165,0),2)</f>
      </c>
      <c r="AE165" s="50">
        <f>ROUND(IF(AQ165="7",BI165,0),2)</f>
      </c>
      <c r="AF165" s="50">
        <f>ROUND(IF(AQ165="2",BH165,0),2)</f>
      </c>
      <c r="AG165" s="50">
        <f>ROUND(IF(AQ165="2",BI165,0),2)</f>
      </c>
      <c r="AH165" s="50">
        <f>ROUND(IF(AQ165="0",BJ165,0),2)</f>
      </c>
      <c r="AI165" s="28" t="s">
        <v>363</v>
      </c>
      <c r="AJ165" s="50">
        <f>IF(AN165=0,K165,0)</f>
      </c>
      <c r="AK165" s="50">
        <f>IF(AN165=12,K165,0)</f>
      </c>
      <c r="AL165" s="50">
        <f>IF(AN165=21,K165,0)</f>
      </c>
      <c r="AN165" s="50" t="n">
        <v>21</v>
      </c>
      <c r="AO165" s="50">
        <f>H165*0</f>
      </c>
      <c r="AP165" s="50">
        <f>H165*(1-0)</f>
      </c>
      <c r="AQ165" s="52" t="s">
        <v>57</v>
      </c>
      <c r="AV165" s="50">
        <f>ROUND(AW165+AX165,2)</f>
      </c>
      <c r="AW165" s="50">
        <f>ROUND(G165*AO165,2)</f>
      </c>
      <c r="AX165" s="50">
        <f>ROUND(G165*AP165,2)</f>
      </c>
      <c r="AY165" s="52" t="s">
        <v>62</v>
      </c>
      <c r="AZ165" s="52" t="s">
        <v>370</v>
      </c>
      <c r="BA165" s="28" t="s">
        <v>371</v>
      </c>
      <c r="BC165" s="50">
        <f>AW165+AX165</f>
      </c>
      <c r="BD165" s="50">
        <f>H165/(100-BE165)*100</f>
      </c>
      <c r="BE165" s="50" t="n">
        <v>0</v>
      </c>
      <c r="BF165" s="50">
        <f>165</f>
      </c>
      <c r="BH165" s="50">
        <f>G165*AO165</f>
      </c>
      <c r="BI165" s="50">
        <f>G165*AP165</f>
      </c>
      <c r="BJ165" s="50">
        <f>G165*H165</f>
      </c>
      <c r="BK165" s="52" t="s">
        <v>65</v>
      </c>
      <c r="BL165" s="50" t="n">
        <v>17</v>
      </c>
      <c r="BW165" s="50" t="n">
        <v>21</v>
      </c>
      <c r="BX165" s="14" t="s">
        <v>421</v>
      </c>
    </row>
    <row r="166">
      <c r="A166" s="9" t="s">
        <v>423</v>
      </c>
      <c r="B166" s="10" t="s">
        <v>363</v>
      </c>
      <c r="C166" s="10" t="s">
        <v>424</v>
      </c>
      <c r="D166" s="14" t="s">
        <v>425</v>
      </c>
      <c r="E166" s="10"/>
      <c r="F166" s="10" t="s">
        <v>60</v>
      </c>
      <c r="G166" s="50" t="n">
        <v>36.4944</v>
      </c>
      <c r="H166" s="50" t="n">
        <v>0</v>
      </c>
      <c r="I166" s="50">
        <f>ROUND(G166*AO166,2)</f>
      </c>
      <c r="J166" s="50">
        <f>ROUND(G166*AP166,2)</f>
      </c>
      <c r="K166" s="50">
        <f>ROUND(G166*H166,2)</f>
      </c>
      <c r="L166" s="51" t="s">
        <v>422</v>
      </c>
      <c r="Z166" s="50">
        <f>ROUND(IF(AQ166="5",BJ166,0),2)</f>
      </c>
      <c r="AB166" s="50">
        <f>ROUND(IF(AQ166="1",BH166,0),2)</f>
      </c>
      <c r="AC166" s="50">
        <f>ROUND(IF(AQ166="1",BI166,0),2)</f>
      </c>
      <c r="AD166" s="50">
        <f>ROUND(IF(AQ166="7",BH166,0),2)</f>
      </c>
      <c r="AE166" s="50">
        <f>ROUND(IF(AQ166="7",BI166,0),2)</f>
      </c>
      <c r="AF166" s="50">
        <f>ROUND(IF(AQ166="2",BH166,0),2)</f>
      </c>
      <c r="AG166" s="50">
        <f>ROUND(IF(AQ166="2",BI166,0),2)</f>
      </c>
      <c r="AH166" s="50">
        <f>ROUND(IF(AQ166="0",BJ166,0),2)</f>
      </c>
      <c r="AI166" s="28" t="s">
        <v>363</v>
      </c>
      <c r="AJ166" s="50">
        <f>IF(AN166=0,K166,0)</f>
      </c>
      <c r="AK166" s="50">
        <f>IF(AN166=12,K166,0)</f>
      </c>
      <c r="AL166" s="50">
        <f>IF(AN166=21,K166,0)</f>
      </c>
      <c r="AN166" s="50" t="n">
        <v>21</v>
      </c>
      <c r="AO166" s="50">
        <f>H166*0</f>
      </c>
      <c r="AP166" s="50">
        <f>H166*(1-0)</f>
      </c>
      <c r="AQ166" s="52" t="s">
        <v>57</v>
      </c>
      <c r="AV166" s="50">
        <f>ROUND(AW166+AX166,2)</f>
      </c>
      <c r="AW166" s="50">
        <f>ROUND(G166*AO166,2)</f>
      </c>
      <c r="AX166" s="50">
        <f>ROUND(G166*AP166,2)</f>
      </c>
      <c r="AY166" s="52" t="s">
        <v>62</v>
      </c>
      <c r="AZ166" s="52" t="s">
        <v>370</v>
      </c>
      <c r="BA166" s="28" t="s">
        <v>371</v>
      </c>
      <c r="BC166" s="50">
        <f>AW166+AX166</f>
      </c>
      <c r="BD166" s="50">
        <f>H166/(100-BE166)*100</f>
      </c>
      <c r="BE166" s="50" t="n">
        <v>0</v>
      </c>
      <c r="BF166" s="50">
        <f>166</f>
      </c>
      <c r="BH166" s="50">
        <f>G166*AO166</f>
      </c>
      <c r="BI166" s="50">
        <f>G166*AP166</f>
      </c>
      <c r="BJ166" s="50">
        <f>G166*H166</f>
      </c>
      <c r="BK166" s="52" t="s">
        <v>65</v>
      </c>
      <c r="BL166" s="50" t="n">
        <v>17</v>
      </c>
      <c r="BW166" s="50" t="n">
        <v>21</v>
      </c>
      <c r="BX166" s="14" t="s">
        <v>425</v>
      </c>
    </row>
    <row r="167">
      <c r="A167" s="9" t="s">
        <v>426</v>
      </c>
      <c r="B167" s="10" t="s">
        <v>363</v>
      </c>
      <c r="C167" s="10" t="s">
        <v>427</v>
      </c>
      <c r="D167" s="14" t="s">
        <v>428</v>
      </c>
      <c r="E167" s="10"/>
      <c r="F167" s="10" t="s">
        <v>60</v>
      </c>
      <c r="G167" s="50" t="n">
        <v>35.352</v>
      </c>
      <c r="H167" s="50" t="n">
        <v>0</v>
      </c>
      <c r="I167" s="50">
        <f>ROUND(G167*AO167,2)</f>
      </c>
      <c r="J167" s="50">
        <f>ROUND(G167*AP167,2)</f>
      </c>
      <c r="K167" s="50">
        <f>ROUND(G167*H167,2)</f>
      </c>
      <c r="L167" s="51" t="s">
        <v>422</v>
      </c>
      <c r="Z167" s="50">
        <f>ROUND(IF(AQ167="5",BJ167,0),2)</f>
      </c>
      <c r="AB167" s="50">
        <f>ROUND(IF(AQ167="1",BH167,0),2)</f>
      </c>
      <c r="AC167" s="50">
        <f>ROUND(IF(AQ167="1",BI167,0),2)</f>
      </c>
      <c r="AD167" s="50">
        <f>ROUND(IF(AQ167="7",BH167,0),2)</f>
      </c>
      <c r="AE167" s="50">
        <f>ROUND(IF(AQ167="7",BI167,0),2)</f>
      </c>
      <c r="AF167" s="50">
        <f>ROUND(IF(AQ167="2",BH167,0),2)</f>
      </c>
      <c r="AG167" s="50">
        <f>ROUND(IF(AQ167="2",BI167,0),2)</f>
      </c>
      <c r="AH167" s="50">
        <f>ROUND(IF(AQ167="0",BJ167,0),2)</f>
      </c>
      <c r="AI167" s="28" t="s">
        <v>363</v>
      </c>
      <c r="AJ167" s="50">
        <f>IF(AN167=0,K167,0)</f>
      </c>
      <c r="AK167" s="50">
        <f>IF(AN167=12,K167,0)</f>
      </c>
      <c r="AL167" s="50">
        <f>IF(AN167=21,K167,0)</f>
      </c>
      <c r="AN167" s="50" t="n">
        <v>21</v>
      </c>
      <c r="AO167" s="50">
        <f>H167*0</f>
      </c>
      <c r="AP167" s="50">
        <f>H167*(1-0)</f>
      </c>
      <c r="AQ167" s="52" t="s">
        <v>57</v>
      </c>
      <c r="AV167" s="50">
        <f>ROUND(AW167+AX167,2)</f>
      </c>
      <c r="AW167" s="50">
        <f>ROUND(G167*AO167,2)</f>
      </c>
      <c r="AX167" s="50">
        <f>ROUND(G167*AP167,2)</f>
      </c>
      <c r="AY167" s="52" t="s">
        <v>62</v>
      </c>
      <c r="AZ167" s="52" t="s">
        <v>370</v>
      </c>
      <c r="BA167" s="28" t="s">
        <v>371</v>
      </c>
      <c r="BC167" s="50">
        <f>AW167+AX167</f>
      </c>
      <c r="BD167" s="50">
        <f>H167/(100-BE167)*100</f>
      </c>
      <c r="BE167" s="50" t="n">
        <v>0</v>
      </c>
      <c r="BF167" s="50">
        <f>167</f>
      </c>
      <c r="BH167" s="50">
        <f>G167*AO167</f>
      </c>
      <c r="BI167" s="50">
        <f>G167*AP167</f>
      </c>
      <c r="BJ167" s="50">
        <f>G167*H167</f>
      </c>
      <c r="BK167" s="52" t="s">
        <v>65</v>
      </c>
      <c r="BL167" s="50" t="n">
        <v>17</v>
      </c>
      <c r="BW167" s="50" t="n">
        <v>21</v>
      </c>
      <c r="BX167" s="14" t="s">
        <v>428</v>
      </c>
    </row>
    <row r="168">
      <c r="A168" s="45" t="s">
        <v>52</v>
      </c>
      <c r="B168" s="46" t="s">
        <v>363</v>
      </c>
      <c r="C168" s="46" t="s">
        <v>149</v>
      </c>
      <c r="D168" s="47" t="s">
        <v>429</v>
      </c>
      <c r="E168" s="46"/>
      <c r="F168" s="48" t="s">
        <v>8</v>
      </c>
      <c r="G168" s="48" t="s">
        <v>8</v>
      </c>
      <c r="H168" s="48" t="s">
        <v>8</v>
      </c>
      <c r="I168" s="2">
        <f>SUM(I169:I169)</f>
      </c>
      <c r="J168" s="2">
        <f>SUM(J169:J169)</f>
      </c>
      <c r="K168" s="2">
        <f>SUM(K169:K169)</f>
      </c>
      <c r="L168" s="49" t="s">
        <v>52</v>
      </c>
      <c r="AI168" s="28" t="s">
        <v>363</v>
      </c>
      <c r="AS168" s="2">
        <f>SUM(AJ169:AJ169)</f>
      </c>
      <c r="AT168" s="2">
        <f>SUM(AK169:AK169)</f>
      </c>
      <c r="AU168" s="2">
        <f>SUM(AL169:AL169)</f>
      </c>
    </row>
    <row r="169">
      <c r="A169" s="9" t="s">
        <v>430</v>
      </c>
      <c r="B169" s="10" t="s">
        <v>363</v>
      </c>
      <c r="C169" s="10" t="s">
        <v>431</v>
      </c>
      <c r="D169" s="14" t="s">
        <v>432</v>
      </c>
      <c r="E169" s="10"/>
      <c r="F169" s="10" t="s">
        <v>60</v>
      </c>
      <c r="G169" s="50" t="n">
        <v>42.72</v>
      </c>
      <c r="H169" s="50" t="n">
        <v>0</v>
      </c>
      <c r="I169" s="50">
        <f>ROUND(G169*AO169,2)</f>
      </c>
      <c r="J169" s="50">
        <f>ROUND(G169*AP169,2)</f>
      </c>
      <c r="K169" s="50">
        <f>ROUND(G169*H169,2)</f>
      </c>
      <c r="L169" s="51" t="s">
        <v>422</v>
      </c>
      <c r="Z169" s="50">
        <f>ROUND(IF(AQ169="5",BJ169,0),2)</f>
      </c>
      <c r="AB169" s="50">
        <f>ROUND(IF(AQ169="1",BH169,0),2)</f>
      </c>
      <c r="AC169" s="50">
        <f>ROUND(IF(AQ169="1",BI169,0),2)</f>
      </c>
      <c r="AD169" s="50">
        <f>ROUND(IF(AQ169="7",BH169,0),2)</f>
      </c>
      <c r="AE169" s="50">
        <f>ROUND(IF(AQ169="7",BI169,0),2)</f>
      </c>
      <c r="AF169" s="50">
        <f>ROUND(IF(AQ169="2",BH169,0),2)</f>
      </c>
      <c r="AG169" s="50">
        <f>ROUND(IF(AQ169="2",BI169,0),2)</f>
      </c>
      <c r="AH169" s="50">
        <f>ROUND(IF(AQ169="0",BJ169,0),2)</f>
      </c>
      <c r="AI169" s="28" t="s">
        <v>363</v>
      </c>
      <c r="AJ169" s="50">
        <f>IF(AN169=0,K169,0)</f>
      </c>
      <c r="AK169" s="50">
        <f>IF(AN169=12,K169,0)</f>
      </c>
      <c r="AL169" s="50">
        <f>IF(AN169=21,K169,0)</f>
      </c>
      <c r="AN169" s="50" t="n">
        <v>21</v>
      </c>
      <c r="AO169" s="50">
        <f>H169*0</f>
      </c>
      <c r="AP169" s="50">
        <f>H169*(1-0)</f>
      </c>
      <c r="AQ169" s="52" t="s">
        <v>57</v>
      </c>
      <c r="AV169" s="50">
        <f>ROUND(AW169+AX169,2)</f>
      </c>
      <c r="AW169" s="50">
        <f>ROUND(G169*AO169,2)</f>
      </c>
      <c r="AX169" s="50">
        <f>ROUND(G169*AP169,2)</f>
      </c>
      <c r="AY169" s="52" t="s">
        <v>433</v>
      </c>
      <c r="AZ169" s="52" t="s">
        <v>370</v>
      </c>
      <c r="BA169" s="28" t="s">
        <v>371</v>
      </c>
      <c r="BC169" s="50">
        <f>AW169+AX169</f>
      </c>
      <c r="BD169" s="50">
        <f>H169/(100-BE169)*100</f>
      </c>
      <c r="BE169" s="50" t="n">
        <v>0</v>
      </c>
      <c r="BF169" s="50">
        <f>169</f>
      </c>
      <c r="BH169" s="50">
        <f>G169*AO169</f>
      </c>
      <c r="BI169" s="50">
        <f>G169*AP169</f>
      </c>
      <c r="BJ169" s="50">
        <f>G169*H169</f>
      </c>
      <c r="BK169" s="52" t="s">
        <v>65</v>
      </c>
      <c r="BL169" s="50" t="n">
        <v>19</v>
      </c>
      <c r="BW169" s="50" t="n">
        <v>21</v>
      </c>
      <c r="BX169" s="14" t="s">
        <v>432</v>
      </c>
    </row>
    <row r="170">
      <c r="A170" s="45" t="s">
        <v>52</v>
      </c>
      <c r="B170" s="46" t="s">
        <v>363</v>
      </c>
      <c r="C170" s="46" t="s">
        <v>161</v>
      </c>
      <c r="D170" s="47" t="s">
        <v>214</v>
      </c>
      <c r="E170" s="46"/>
      <c r="F170" s="48" t="s">
        <v>8</v>
      </c>
      <c r="G170" s="48" t="s">
        <v>8</v>
      </c>
      <c r="H170" s="48" t="s">
        <v>8</v>
      </c>
      <c r="I170" s="2">
        <f>SUM(I171:I172)</f>
      </c>
      <c r="J170" s="2">
        <f>SUM(J171:J172)</f>
      </c>
      <c r="K170" s="2">
        <f>SUM(K171:K172)</f>
      </c>
      <c r="L170" s="49" t="s">
        <v>52</v>
      </c>
      <c r="AI170" s="28" t="s">
        <v>363</v>
      </c>
      <c r="AS170" s="2">
        <f>SUM(AJ171:AJ172)</f>
      </c>
      <c r="AT170" s="2">
        <f>SUM(AK171:AK172)</f>
      </c>
      <c r="AU170" s="2">
        <f>SUM(AL171:AL172)</f>
      </c>
    </row>
    <row r="171">
      <c r="A171" s="9" t="s">
        <v>434</v>
      </c>
      <c r="B171" s="10" t="s">
        <v>363</v>
      </c>
      <c r="C171" s="10" t="s">
        <v>435</v>
      </c>
      <c r="D171" s="14" t="s">
        <v>436</v>
      </c>
      <c r="E171" s="10"/>
      <c r="F171" s="10" t="s">
        <v>80</v>
      </c>
      <c r="G171" s="50" t="n">
        <v>64</v>
      </c>
      <c r="H171" s="50" t="n">
        <v>0</v>
      </c>
      <c r="I171" s="50">
        <f>ROUND(G171*AO171,2)</f>
      </c>
      <c r="J171" s="50">
        <f>ROUND(G171*AP171,2)</f>
      </c>
      <c r="K171" s="50">
        <f>ROUND(G171*H171,2)</f>
      </c>
      <c r="L171" s="51" t="s">
        <v>422</v>
      </c>
      <c r="Z171" s="50">
        <f>ROUND(IF(AQ171="5",BJ171,0),2)</f>
      </c>
      <c r="AB171" s="50">
        <f>ROUND(IF(AQ171="1",BH171,0),2)</f>
      </c>
      <c r="AC171" s="50">
        <f>ROUND(IF(AQ171="1",BI171,0),2)</f>
      </c>
      <c r="AD171" s="50">
        <f>ROUND(IF(AQ171="7",BH171,0),2)</f>
      </c>
      <c r="AE171" s="50">
        <f>ROUND(IF(AQ171="7",BI171,0),2)</f>
      </c>
      <c r="AF171" s="50">
        <f>ROUND(IF(AQ171="2",BH171,0),2)</f>
      </c>
      <c r="AG171" s="50">
        <f>ROUND(IF(AQ171="2",BI171,0),2)</f>
      </c>
      <c r="AH171" s="50">
        <f>ROUND(IF(AQ171="0",BJ171,0),2)</f>
      </c>
      <c r="AI171" s="28" t="s">
        <v>363</v>
      </c>
      <c r="AJ171" s="50">
        <f>IF(AN171=0,K171,0)</f>
      </c>
      <c r="AK171" s="50">
        <f>IF(AN171=12,K171,0)</f>
      </c>
      <c r="AL171" s="50">
        <f>IF(AN171=21,K171,0)</f>
      </c>
      <c r="AN171" s="50" t="n">
        <v>21</v>
      </c>
      <c r="AO171" s="50">
        <f>H171*0</f>
      </c>
      <c r="AP171" s="50">
        <f>H171*(1-0)</f>
      </c>
      <c r="AQ171" s="52" t="s">
        <v>57</v>
      </c>
      <c r="AV171" s="50">
        <f>ROUND(AW171+AX171,2)</f>
      </c>
      <c r="AW171" s="50">
        <f>ROUND(G171*AO171,2)</f>
      </c>
      <c r="AX171" s="50">
        <f>ROUND(G171*AP171,2)</f>
      </c>
      <c r="AY171" s="52" t="s">
        <v>218</v>
      </c>
      <c r="AZ171" s="52" t="s">
        <v>437</v>
      </c>
      <c r="BA171" s="28" t="s">
        <v>371</v>
      </c>
      <c r="BC171" s="50">
        <f>AW171+AX171</f>
      </c>
      <c r="BD171" s="50">
        <f>H171/(100-BE171)*100</f>
      </c>
      <c r="BE171" s="50" t="n">
        <v>0</v>
      </c>
      <c r="BF171" s="50">
        <f>171</f>
      </c>
      <c r="BH171" s="50">
        <f>G171*AO171</f>
      </c>
      <c r="BI171" s="50">
        <f>G171*AP171</f>
      </c>
      <c r="BJ171" s="50">
        <f>G171*H171</f>
      </c>
      <c r="BK171" s="52" t="s">
        <v>65</v>
      </c>
      <c r="BL171" s="50" t="n">
        <v>21</v>
      </c>
      <c r="BW171" s="50" t="n">
        <v>21</v>
      </c>
      <c r="BX171" s="14" t="s">
        <v>436</v>
      </c>
    </row>
    <row r="172">
      <c r="A172" s="9" t="s">
        <v>438</v>
      </c>
      <c r="B172" s="10" t="s">
        <v>363</v>
      </c>
      <c r="C172" s="10" t="s">
        <v>439</v>
      </c>
      <c r="D172" s="14" t="s">
        <v>440</v>
      </c>
      <c r="E172" s="10"/>
      <c r="F172" s="10" t="s">
        <v>195</v>
      </c>
      <c r="G172" s="50" t="n">
        <v>103.04</v>
      </c>
      <c r="H172" s="50" t="n">
        <v>0</v>
      </c>
      <c r="I172" s="50">
        <f>ROUND(G172*AO172,2)</f>
      </c>
      <c r="J172" s="50">
        <f>ROUND(G172*AP172,2)</f>
      </c>
      <c r="K172" s="50">
        <f>ROUND(G172*H172,2)</f>
      </c>
      <c r="L172" s="51" t="s">
        <v>422</v>
      </c>
      <c r="Z172" s="50">
        <f>ROUND(IF(AQ172="5",BJ172,0),2)</f>
      </c>
      <c r="AB172" s="50">
        <f>ROUND(IF(AQ172="1",BH172,0),2)</f>
      </c>
      <c r="AC172" s="50">
        <f>ROUND(IF(AQ172="1",BI172,0),2)</f>
      </c>
      <c r="AD172" s="50">
        <f>ROUND(IF(AQ172="7",BH172,0),2)</f>
      </c>
      <c r="AE172" s="50">
        <f>ROUND(IF(AQ172="7",BI172,0),2)</f>
      </c>
      <c r="AF172" s="50">
        <f>ROUND(IF(AQ172="2",BH172,0),2)</f>
      </c>
      <c r="AG172" s="50">
        <f>ROUND(IF(AQ172="2",BI172,0),2)</f>
      </c>
      <c r="AH172" s="50">
        <f>ROUND(IF(AQ172="0",BJ172,0),2)</f>
      </c>
      <c r="AI172" s="28" t="s">
        <v>363</v>
      </c>
      <c r="AJ172" s="50">
        <f>IF(AN172=0,K172,0)</f>
      </c>
      <c r="AK172" s="50">
        <f>IF(AN172=12,K172,0)</f>
      </c>
      <c r="AL172" s="50">
        <f>IF(AN172=21,K172,0)</f>
      </c>
      <c r="AN172" s="50" t="n">
        <v>21</v>
      </c>
      <c r="AO172" s="50">
        <f>H172*0</f>
      </c>
      <c r="AP172" s="50">
        <f>H172*(1-0)</f>
      </c>
      <c r="AQ172" s="52" t="s">
        <v>57</v>
      </c>
      <c r="AV172" s="50">
        <f>ROUND(AW172+AX172,2)</f>
      </c>
      <c r="AW172" s="50">
        <f>ROUND(G172*AO172,2)</f>
      </c>
      <c r="AX172" s="50">
        <f>ROUND(G172*AP172,2)</f>
      </c>
      <c r="AY172" s="52" t="s">
        <v>218</v>
      </c>
      <c r="AZ172" s="52" t="s">
        <v>437</v>
      </c>
      <c r="BA172" s="28" t="s">
        <v>371</v>
      </c>
      <c r="BC172" s="50">
        <f>AW172+AX172</f>
      </c>
      <c r="BD172" s="50">
        <f>H172/(100-BE172)*100</f>
      </c>
      <c r="BE172" s="50" t="n">
        <v>0</v>
      </c>
      <c r="BF172" s="50">
        <f>172</f>
      </c>
      <c r="BH172" s="50">
        <f>G172*AO172</f>
      </c>
      <c r="BI172" s="50">
        <f>G172*AP172</f>
      </c>
      <c r="BJ172" s="50">
        <f>G172*H172</f>
      </c>
      <c r="BK172" s="52" t="s">
        <v>65</v>
      </c>
      <c r="BL172" s="50" t="n">
        <v>21</v>
      </c>
      <c r="BW172" s="50" t="n">
        <v>21</v>
      </c>
      <c r="BX172" s="14" t="s">
        <v>440</v>
      </c>
    </row>
    <row r="173">
      <c r="A173" s="45" t="s">
        <v>52</v>
      </c>
      <c r="B173" s="46" t="s">
        <v>363</v>
      </c>
      <c r="C173" s="46" t="s">
        <v>196</v>
      </c>
      <c r="D173" s="47" t="s">
        <v>441</v>
      </c>
      <c r="E173" s="46"/>
      <c r="F173" s="48" t="s">
        <v>8</v>
      </c>
      <c r="G173" s="48" t="s">
        <v>8</v>
      </c>
      <c r="H173" s="48" t="s">
        <v>8</v>
      </c>
      <c r="I173" s="2">
        <f>SUM(I174:I175)</f>
      </c>
      <c r="J173" s="2">
        <f>SUM(J174:J175)</f>
      </c>
      <c r="K173" s="2">
        <f>SUM(K174:K175)</f>
      </c>
      <c r="L173" s="49" t="s">
        <v>52</v>
      </c>
      <c r="AI173" s="28" t="s">
        <v>363</v>
      </c>
      <c r="AS173" s="2">
        <f>SUM(AJ174:AJ175)</f>
      </c>
      <c r="AT173" s="2">
        <f>SUM(AK174:AK175)</f>
      </c>
      <c r="AU173" s="2">
        <f>SUM(AL174:AL175)</f>
      </c>
    </row>
    <row r="174">
      <c r="A174" s="9" t="s">
        <v>442</v>
      </c>
      <c r="B174" s="10" t="s">
        <v>363</v>
      </c>
      <c r="C174" s="10" t="s">
        <v>443</v>
      </c>
      <c r="D174" s="14" t="s">
        <v>444</v>
      </c>
      <c r="E174" s="10"/>
      <c r="F174" s="10" t="s">
        <v>60</v>
      </c>
      <c r="G174" s="50" t="n">
        <v>8.192</v>
      </c>
      <c r="H174" s="50" t="n">
        <v>0</v>
      </c>
      <c r="I174" s="50">
        <f>ROUND(G174*AO174,2)</f>
      </c>
      <c r="J174" s="50">
        <f>ROUND(G174*AP174,2)</f>
      </c>
      <c r="K174" s="50">
        <f>ROUND(G174*H174,2)</f>
      </c>
      <c r="L174" s="51" t="s">
        <v>422</v>
      </c>
      <c r="Z174" s="50">
        <f>ROUND(IF(AQ174="5",BJ174,0),2)</f>
      </c>
      <c r="AB174" s="50">
        <f>ROUND(IF(AQ174="1",BH174,0),2)</f>
      </c>
      <c r="AC174" s="50">
        <f>ROUND(IF(AQ174="1",BI174,0),2)</f>
      </c>
      <c r="AD174" s="50">
        <f>ROUND(IF(AQ174="7",BH174,0),2)</f>
      </c>
      <c r="AE174" s="50">
        <f>ROUND(IF(AQ174="7",BI174,0),2)</f>
      </c>
      <c r="AF174" s="50">
        <f>ROUND(IF(AQ174="2",BH174,0),2)</f>
      </c>
      <c r="AG174" s="50">
        <f>ROUND(IF(AQ174="2",BI174,0),2)</f>
      </c>
      <c r="AH174" s="50">
        <f>ROUND(IF(AQ174="0",BJ174,0),2)</f>
      </c>
      <c r="AI174" s="28" t="s">
        <v>363</v>
      </c>
      <c r="AJ174" s="50">
        <f>IF(AN174=0,K174,0)</f>
      </c>
      <c r="AK174" s="50">
        <f>IF(AN174=12,K174,0)</f>
      </c>
      <c r="AL174" s="50">
        <f>IF(AN174=21,K174,0)</f>
      </c>
      <c r="AN174" s="50" t="n">
        <v>21</v>
      </c>
      <c r="AO174" s="50">
        <f>H174*0</f>
      </c>
      <c r="AP174" s="50">
        <f>H174*(1-0)</f>
      </c>
      <c r="AQ174" s="52" t="s">
        <v>57</v>
      </c>
      <c r="AV174" s="50">
        <f>ROUND(AW174+AX174,2)</f>
      </c>
      <c r="AW174" s="50">
        <f>ROUND(G174*AO174,2)</f>
      </c>
      <c r="AX174" s="50">
        <f>ROUND(G174*AP174,2)</f>
      </c>
      <c r="AY174" s="52" t="s">
        <v>445</v>
      </c>
      <c r="AZ174" s="52" t="s">
        <v>437</v>
      </c>
      <c r="BA174" s="28" t="s">
        <v>371</v>
      </c>
      <c r="BC174" s="50">
        <f>AW174+AX174</f>
      </c>
      <c r="BD174" s="50">
        <f>H174/(100-BE174)*100</f>
      </c>
      <c r="BE174" s="50" t="n">
        <v>0</v>
      </c>
      <c r="BF174" s="50">
        <f>174</f>
      </c>
      <c r="BH174" s="50">
        <f>G174*AO174</f>
      </c>
      <c r="BI174" s="50">
        <f>G174*AP174</f>
      </c>
      <c r="BJ174" s="50">
        <f>G174*H174</f>
      </c>
      <c r="BK174" s="52" t="s">
        <v>65</v>
      </c>
      <c r="BL174" s="50" t="n">
        <v>27</v>
      </c>
      <c r="BW174" s="50" t="n">
        <v>21</v>
      </c>
      <c r="BX174" s="14" t="s">
        <v>444</v>
      </c>
    </row>
    <row r="175">
      <c r="A175" s="9" t="s">
        <v>446</v>
      </c>
      <c r="B175" s="10" t="s">
        <v>363</v>
      </c>
      <c r="C175" s="10" t="s">
        <v>447</v>
      </c>
      <c r="D175" s="14" t="s">
        <v>448</v>
      </c>
      <c r="E175" s="10"/>
      <c r="F175" s="10" t="s">
        <v>60</v>
      </c>
      <c r="G175" s="50" t="n">
        <v>2.048</v>
      </c>
      <c r="H175" s="50" t="n">
        <v>0</v>
      </c>
      <c r="I175" s="50">
        <f>ROUND(G175*AO175,2)</f>
      </c>
      <c r="J175" s="50">
        <f>ROUND(G175*AP175,2)</f>
      </c>
      <c r="K175" s="50">
        <f>ROUND(G175*H175,2)</f>
      </c>
      <c r="L175" s="51" t="s">
        <v>422</v>
      </c>
      <c r="Z175" s="50">
        <f>ROUND(IF(AQ175="5",BJ175,0),2)</f>
      </c>
      <c r="AB175" s="50">
        <f>ROUND(IF(AQ175="1",BH175,0),2)</f>
      </c>
      <c r="AC175" s="50">
        <f>ROUND(IF(AQ175="1",BI175,0),2)</f>
      </c>
      <c r="AD175" s="50">
        <f>ROUND(IF(AQ175="7",BH175,0),2)</f>
      </c>
      <c r="AE175" s="50">
        <f>ROUND(IF(AQ175="7",BI175,0),2)</f>
      </c>
      <c r="AF175" s="50">
        <f>ROUND(IF(AQ175="2",BH175,0),2)</f>
      </c>
      <c r="AG175" s="50">
        <f>ROUND(IF(AQ175="2",BI175,0),2)</f>
      </c>
      <c r="AH175" s="50">
        <f>ROUND(IF(AQ175="0",BJ175,0),2)</f>
      </c>
      <c r="AI175" s="28" t="s">
        <v>363</v>
      </c>
      <c r="AJ175" s="50">
        <f>IF(AN175=0,K175,0)</f>
      </c>
      <c r="AK175" s="50">
        <f>IF(AN175=12,K175,0)</f>
      </c>
      <c r="AL175" s="50">
        <f>IF(AN175=21,K175,0)</f>
      </c>
      <c r="AN175" s="50" t="n">
        <v>21</v>
      </c>
      <c r="AO175" s="50">
        <f>H175*0</f>
      </c>
      <c r="AP175" s="50">
        <f>H175*(1-0)</f>
      </c>
      <c r="AQ175" s="52" t="s">
        <v>57</v>
      </c>
      <c r="AV175" s="50">
        <f>ROUND(AW175+AX175,2)</f>
      </c>
      <c r="AW175" s="50">
        <f>ROUND(G175*AO175,2)</f>
      </c>
      <c r="AX175" s="50">
        <f>ROUND(G175*AP175,2)</f>
      </c>
      <c r="AY175" s="52" t="s">
        <v>445</v>
      </c>
      <c r="AZ175" s="52" t="s">
        <v>437</v>
      </c>
      <c r="BA175" s="28" t="s">
        <v>371</v>
      </c>
      <c r="BC175" s="50">
        <f>AW175+AX175</f>
      </c>
      <c r="BD175" s="50">
        <f>H175/(100-BE175)*100</f>
      </c>
      <c r="BE175" s="50" t="n">
        <v>0</v>
      </c>
      <c r="BF175" s="50">
        <f>175</f>
      </c>
      <c r="BH175" s="50">
        <f>G175*AO175</f>
      </c>
      <c r="BI175" s="50">
        <f>G175*AP175</f>
      </c>
      <c r="BJ175" s="50">
        <f>G175*H175</f>
      </c>
      <c r="BK175" s="52" t="s">
        <v>65</v>
      </c>
      <c r="BL175" s="50" t="n">
        <v>27</v>
      </c>
      <c r="BW175" s="50" t="n">
        <v>21</v>
      </c>
      <c r="BX175" s="14" t="s">
        <v>448</v>
      </c>
    </row>
    <row r="176">
      <c r="A176" s="45" t="s">
        <v>52</v>
      </c>
      <c r="B176" s="46" t="s">
        <v>363</v>
      </c>
      <c r="C176" s="46" t="s">
        <v>200</v>
      </c>
      <c r="D176" s="47" t="s">
        <v>449</v>
      </c>
      <c r="E176" s="46"/>
      <c r="F176" s="48" t="s">
        <v>8</v>
      </c>
      <c r="G176" s="48" t="s">
        <v>8</v>
      </c>
      <c r="H176" s="48" t="s">
        <v>8</v>
      </c>
      <c r="I176" s="2">
        <f>SUM(I177:I177)</f>
      </c>
      <c r="J176" s="2">
        <f>SUM(J177:J177)</f>
      </c>
      <c r="K176" s="2">
        <f>SUM(K177:K177)</f>
      </c>
      <c r="L176" s="49" t="s">
        <v>52</v>
      </c>
      <c r="AI176" s="28" t="s">
        <v>363</v>
      </c>
      <c r="AS176" s="2">
        <f>SUM(AJ177:AJ177)</f>
      </c>
      <c r="AT176" s="2">
        <f>SUM(AK177:AK177)</f>
      </c>
      <c r="AU176" s="2">
        <f>SUM(AL177:AL177)</f>
      </c>
    </row>
    <row r="177" ht="24.75">
      <c r="A177" s="9" t="s">
        <v>450</v>
      </c>
      <c r="B177" s="10" t="s">
        <v>363</v>
      </c>
      <c r="C177" s="10" t="s">
        <v>451</v>
      </c>
      <c r="D177" s="14" t="s">
        <v>452</v>
      </c>
      <c r="E177" s="10"/>
      <c r="F177" s="10" t="s">
        <v>80</v>
      </c>
      <c r="G177" s="50" t="n">
        <v>2</v>
      </c>
      <c r="H177" s="50" t="n">
        <v>0</v>
      </c>
      <c r="I177" s="50">
        <f>ROUND(G177*AO177,2)</f>
      </c>
      <c r="J177" s="50">
        <f>ROUND(G177*AP177,2)</f>
      </c>
      <c r="K177" s="50">
        <f>ROUND(G177*H177,2)</f>
      </c>
      <c r="L177" s="51" t="s">
        <v>422</v>
      </c>
      <c r="Z177" s="50">
        <f>ROUND(IF(AQ177="5",BJ177,0),2)</f>
      </c>
      <c r="AB177" s="50">
        <f>ROUND(IF(AQ177="1",BH177,0),2)</f>
      </c>
      <c r="AC177" s="50">
        <f>ROUND(IF(AQ177="1",BI177,0),2)</f>
      </c>
      <c r="AD177" s="50">
        <f>ROUND(IF(AQ177="7",BH177,0),2)</f>
      </c>
      <c r="AE177" s="50">
        <f>ROUND(IF(AQ177="7",BI177,0),2)</f>
      </c>
      <c r="AF177" s="50">
        <f>ROUND(IF(AQ177="2",BH177,0),2)</f>
      </c>
      <c r="AG177" s="50">
        <f>ROUND(IF(AQ177="2",BI177,0),2)</f>
      </c>
      <c r="AH177" s="50">
        <f>ROUND(IF(AQ177="0",BJ177,0),2)</f>
      </c>
      <c r="AI177" s="28" t="s">
        <v>363</v>
      </c>
      <c r="AJ177" s="50">
        <f>IF(AN177=0,K177,0)</f>
      </c>
      <c r="AK177" s="50">
        <f>IF(AN177=12,K177,0)</f>
      </c>
      <c r="AL177" s="50">
        <f>IF(AN177=21,K177,0)</f>
      </c>
      <c r="AN177" s="50" t="n">
        <v>21</v>
      </c>
      <c r="AO177" s="50">
        <f>H177*0</f>
      </c>
      <c r="AP177" s="50">
        <f>H177*(1-0)</f>
      </c>
      <c r="AQ177" s="52" t="s">
        <v>57</v>
      </c>
      <c r="AV177" s="50">
        <f>ROUND(AW177+AX177,2)</f>
      </c>
      <c r="AW177" s="50">
        <f>ROUND(G177*AO177,2)</f>
      </c>
      <c r="AX177" s="50">
        <f>ROUND(G177*AP177,2)</f>
      </c>
      <c r="AY177" s="52" t="s">
        <v>453</v>
      </c>
      <c r="AZ177" s="52" t="s">
        <v>437</v>
      </c>
      <c r="BA177" s="28" t="s">
        <v>371</v>
      </c>
      <c r="BC177" s="50">
        <f>AW177+AX177</f>
      </c>
      <c r="BD177" s="50">
        <f>H177/(100-BE177)*100</f>
      </c>
      <c r="BE177" s="50" t="n">
        <v>0</v>
      </c>
      <c r="BF177" s="50">
        <f>177</f>
      </c>
      <c r="BH177" s="50">
        <f>G177*AO177</f>
      </c>
      <c r="BI177" s="50">
        <f>G177*AP177</f>
      </c>
      <c r="BJ177" s="50">
        <f>G177*H177</f>
      </c>
      <c r="BK177" s="52" t="s">
        <v>65</v>
      </c>
      <c r="BL177" s="50" t="n">
        <v>28</v>
      </c>
      <c r="BW177" s="50" t="n">
        <v>21</v>
      </c>
      <c r="BX177" s="14" t="s">
        <v>452</v>
      </c>
    </row>
    <row r="178">
      <c r="A178" s="45" t="s">
        <v>52</v>
      </c>
      <c r="B178" s="46" t="s">
        <v>363</v>
      </c>
      <c r="C178" s="46" t="s">
        <v>277</v>
      </c>
      <c r="D178" s="47" t="s">
        <v>454</v>
      </c>
      <c r="E178" s="46"/>
      <c r="F178" s="48" t="s">
        <v>8</v>
      </c>
      <c r="G178" s="48" t="s">
        <v>8</v>
      </c>
      <c r="H178" s="48" t="s">
        <v>8</v>
      </c>
      <c r="I178" s="2">
        <f>SUM(I179:I182)</f>
      </c>
      <c r="J178" s="2">
        <f>SUM(J179:J182)</f>
      </c>
      <c r="K178" s="2">
        <f>SUM(K179:K182)</f>
      </c>
      <c r="L178" s="49" t="s">
        <v>52</v>
      </c>
      <c r="AI178" s="28" t="s">
        <v>363</v>
      </c>
      <c r="AS178" s="2">
        <f>SUM(AJ179:AJ182)</f>
      </c>
      <c r="AT178" s="2">
        <f>SUM(AK179:AK182)</f>
      </c>
      <c r="AU178" s="2">
        <f>SUM(AL179:AL182)</f>
      </c>
    </row>
    <row r="179">
      <c r="A179" s="9" t="s">
        <v>455</v>
      </c>
      <c r="B179" s="10" t="s">
        <v>363</v>
      </c>
      <c r="C179" s="10" t="s">
        <v>456</v>
      </c>
      <c r="D179" s="14" t="s">
        <v>457</v>
      </c>
      <c r="E179" s="10"/>
      <c r="F179" s="10" t="s">
        <v>60</v>
      </c>
      <c r="G179" s="50" t="n">
        <v>7.368</v>
      </c>
      <c r="H179" s="50" t="n">
        <v>0</v>
      </c>
      <c r="I179" s="50">
        <f>ROUND(G179*AO179,2)</f>
      </c>
      <c r="J179" s="50">
        <f>ROUND(G179*AP179,2)</f>
      </c>
      <c r="K179" s="50">
        <f>ROUND(G179*H179,2)</f>
      </c>
      <c r="L179" s="51" t="s">
        <v>422</v>
      </c>
      <c r="Z179" s="50">
        <f>ROUND(IF(AQ179="5",BJ179,0),2)</f>
      </c>
      <c r="AB179" s="50">
        <f>ROUND(IF(AQ179="1",BH179,0),2)</f>
      </c>
      <c r="AC179" s="50">
        <f>ROUND(IF(AQ179="1",BI179,0),2)</f>
      </c>
      <c r="AD179" s="50">
        <f>ROUND(IF(AQ179="7",BH179,0),2)</f>
      </c>
      <c r="AE179" s="50">
        <f>ROUND(IF(AQ179="7",BI179,0),2)</f>
      </c>
      <c r="AF179" s="50">
        <f>ROUND(IF(AQ179="2",BH179,0),2)</f>
      </c>
      <c r="AG179" s="50">
        <f>ROUND(IF(AQ179="2",BI179,0),2)</f>
      </c>
      <c r="AH179" s="50">
        <f>ROUND(IF(AQ179="0",BJ179,0),2)</f>
      </c>
      <c r="AI179" s="28" t="s">
        <v>363</v>
      </c>
      <c r="AJ179" s="50">
        <f>IF(AN179=0,K179,0)</f>
      </c>
      <c r="AK179" s="50">
        <f>IF(AN179=12,K179,0)</f>
      </c>
      <c r="AL179" s="50">
        <f>IF(AN179=21,K179,0)</f>
      </c>
      <c r="AN179" s="50" t="n">
        <v>21</v>
      </c>
      <c r="AO179" s="50">
        <f>H179*0</f>
      </c>
      <c r="AP179" s="50">
        <f>H179*(1-0)</f>
      </c>
      <c r="AQ179" s="52" t="s">
        <v>57</v>
      </c>
      <c r="AV179" s="50">
        <f>ROUND(AW179+AX179,2)</f>
      </c>
      <c r="AW179" s="50">
        <f>ROUND(G179*AO179,2)</f>
      </c>
      <c r="AX179" s="50">
        <f>ROUND(G179*AP179,2)</f>
      </c>
      <c r="AY179" s="52" t="s">
        <v>458</v>
      </c>
      <c r="AZ179" s="52" t="s">
        <v>459</v>
      </c>
      <c r="BA179" s="28" t="s">
        <v>371</v>
      </c>
      <c r="BC179" s="50">
        <f>AW179+AX179</f>
      </c>
      <c r="BD179" s="50">
        <f>H179/(100-BE179)*100</f>
      </c>
      <c r="BE179" s="50" t="n">
        <v>0</v>
      </c>
      <c r="BF179" s="50">
        <f>179</f>
      </c>
      <c r="BH179" s="50">
        <f>G179*AO179</f>
      </c>
      <c r="BI179" s="50">
        <f>G179*AP179</f>
      </c>
      <c r="BJ179" s="50">
        <f>G179*H179</f>
      </c>
      <c r="BK179" s="52" t="s">
        <v>65</v>
      </c>
      <c r="BL179" s="50" t="n">
        <v>45</v>
      </c>
      <c r="BW179" s="50" t="n">
        <v>21</v>
      </c>
      <c r="BX179" s="14" t="s">
        <v>457</v>
      </c>
    </row>
    <row r="180">
      <c r="A180" s="9" t="s">
        <v>460</v>
      </c>
      <c r="B180" s="10" t="s">
        <v>363</v>
      </c>
      <c r="C180" s="10" t="s">
        <v>461</v>
      </c>
      <c r="D180" s="14" t="s">
        <v>462</v>
      </c>
      <c r="E180" s="10"/>
      <c r="F180" s="10" t="s">
        <v>80</v>
      </c>
      <c r="G180" s="50" t="n">
        <v>4</v>
      </c>
      <c r="H180" s="50" t="n">
        <v>0</v>
      </c>
      <c r="I180" s="50">
        <f>ROUND(G180*AO180,2)</f>
      </c>
      <c r="J180" s="50">
        <f>ROUND(G180*AP180,2)</f>
      </c>
      <c r="K180" s="50">
        <f>ROUND(G180*H180,2)</f>
      </c>
      <c r="L180" s="51" t="s">
        <v>422</v>
      </c>
      <c r="Z180" s="50">
        <f>ROUND(IF(AQ180="5",BJ180,0),2)</f>
      </c>
      <c r="AB180" s="50">
        <f>ROUND(IF(AQ180="1",BH180,0),2)</f>
      </c>
      <c r="AC180" s="50">
        <f>ROUND(IF(AQ180="1",BI180,0),2)</f>
      </c>
      <c r="AD180" s="50">
        <f>ROUND(IF(AQ180="7",BH180,0),2)</f>
      </c>
      <c r="AE180" s="50">
        <f>ROUND(IF(AQ180="7",BI180,0),2)</f>
      </c>
      <c r="AF180" s="50">
        <f>ROUND(IF(AQ180="2",BH180,0),2)</f>
      </c>
      <c r="AG180" s="50">
        <f>ROUND(IF(AQ180="2",BI180,0),2)</f>
      </c>
      <c r="AH180" s="50">
        <f>ROUND(IF(AQ180="0",BJ180,0),2)</f>
      </c>
      <c r="AI180" s="28" t="s">
        <v>363</v>
      </c>
      <c r="AJ180" s="50">
        <f>IF(AN180=0,K180,0)</f>
      </c>
      <c r="AK180" s="50">
        <f>IF(AN180=12,K180,0)</f>
      </c>
      <c r="AL180" s="50">
        <f>IF(AN180=21,K180,0)</f>
      </c>
      <c r="AN180" s="50" t="n">
        <v>21</v>
      </c>
      <c r="AO180" s="50">
        <f>H180*0</f>
      </c>
      <c r="AP180" s="50">
        <f>H180*(1-0)</f>
      </c>
      <c r="AQ180" s="52" t="s">
        <v>57</v>
      </c>
      <c r="AV180" s="50">
        <f>ROUND(AW180+AX180,2)</f>
      </c>
      <c r="AW180" s="50">
        <f>ROUND(G180*AO180,2)</f>
      </c>
      <c r="AX180" s="50">
        <f>ROUND(G180*AP180,2)</f>
      </c>
      <c r="AY180" s="52" t="s">
        <v>458</v>
      </c>
      <c r="AZ180" s="52" t="s">
        <v>459</v>
      </c>
      <c r="BA180" s="28" t="s">
        <v>371</v>
      </c>
      <c r="BC180" s="50">
        <f>AW180+AX180</f>
      </c>
      <c r="BD180" s="50">
        <f>H180/(100-BE180)*100</f>
      </c>
      <c r="BE180" s="50" t="n">
        <v>0</v>
      </c>
      <c r="BF180" s="50">
        <f>180</f>
      </c>
      <c r="BH180" s="50">
        <f>G180*AO180</f>
      </c>
      <c r="BI180" s="50">
        <f>G180*AP180</f>
      </c>
      <c r="BJ180" s="50">
        <f>G180*H180</f>
      </c>
      <c r="BK180" s="52" t="s">
        <v>65</v>
      </c>
      <c r="BL180" s="50" t="n">
        <v>45</v>
      </c>
      <c r="BW180" s="50" t="n">
        <v>21</v>
      </c>
      <c r="BX180" s="14" t="s">
        <v>462</v>
      </c>
    </row>
    <row r="181">
      <c r="A181" s="9" t="s">
        <v>263</v>
      </c>
      <c r="B181" s="10" t="s">
        <v>363</v>
      </c>
      <c r="C181" s="10" t="s">
        <v>463</v>
      </c>
      <c r="D181" s="14" t="s">
        <v>464</v>
      </c>
      <c r="E181" s="10"/>
      <c r="F181" s="10" t="s">
        <v>60</v>
      </c>
      <c r="G181" s="50" t="n">
        <v>0.7377</v>
      </c>
      <c r="H181" s="50" t="n">
        <v>0</v>
      </c>
      <c r="I181" s="50">
        <f>ROUND(G181*AO181,2)</f>
      </c>
      <c r="J181" s="50">
        <f>ROUND(G181*AP181,2)</f>
      </c>
      <c r="K181" s="50">
        <f>ROUND(G181*H181,2)</f>
      </c>
      <c r="L181" s="51" t="s">
        <v>422</v>
      </c>
      <c r="Z181" s="50">
        <f>ROUND(IF(AQ181="5",BJ181,0),2)</f>
      </c>
      <c r="AB181" s="50">
        <f>ROUND(IF(AQ181="1",BH181,0),2)</f>
      </c>
      <c r="AC181" s="50">
        <f>ROUND(IF(AQ181="1",BI181,0),2)</f>
      </c>
      <c r="AD181" s="50">
        <f>ROUND(IF(AQ181="7",BH181,0),2)</f>
      </c>
      <c r="AE181" s="50">
        <f>ROUND(IF(AQ181="7",BI181,0),2)</f>
      </c>
      <c r="AF181" s="50">
        <f>ROUND(IF(AQ181="2",BH181,0),2)</f>
      </c>
      <c r="AG181" s="50">
        <f>ROUND(IF(AQ181="2",BI181,0),2)</f>
      </c>
      <c r="AH181" s="50">
        <f>ROUND(IF(AQ181="0",BJ181,0),2)</f>
      </c>
      <c r="AI181" s="28" t="s">
        <v>363</v>
      </c>
      <c r="AJ181" s="50">
        <f>IF(AN181=0,K181,0)</f>
      </c>
      <c r="AK181" s="50">
        <f>IF(AN181=12,K181,0)</f>
      </c>
      <c r="AL181" s="50">
        <f>IF(AN181=21,K181,0)</f>
      </c>
      <c r="AN181" s="50" t="n">
        <v>21</v>
      </c>
      <c r="AO181" s="50">
        <f>H181*0</f>
      </c>
      <c r="AP181" s="50">
        <f>H181*(1-0)</f>
      </c>
      <c r="AQ181" s="52" t="s">
        <v>57</v>
      </c>
      <c r="AV181" s="50">
        <f>ROUND(AW181+AX181,2)</f>
      </c>
      <c r="AW181" s="50">
        <f>ROUND(G181*AO181,2)</f>
      </c>
      <c r="AX181" s="50">
        <f>ROUND(G181*AP181,2)</f>
      </c>
      <c r="AY181" s="52" t="s">
        <v>458</v>
      </c>
      <c r="AZ181" s="52" t="s">
        <v>459</v>
      </c>
      <c r="BA181" s="28" t="s">
        <v>371</v>
      </c>
      <c r="BC181" s="50">
        <f>AW181+AX181</f>
      </c>
      <c r="BD181" s="50">
        <f>H181/(100-BE181)*100</f>
      </c>
      <c r="BE181" s="50" t="n">
        <v>0</v>
      </c>
      <c r="BF181" s="50">
        <f>181</f>
      </c>
      <c r="BH181" s="50">
        <f>G181*AO181</f>
      </c>
      <c r="BI181" s="50">
        <f>G181*AP181</f>
      </c>
      <c r="BJ181" s="50">
        <f>G181*H181</f>
      </c>
      <c r="BK181" s="52" t="s">
        <v>65</v>
      </c>
      <c r="BL181" s="50" t="n">
        <v>45</v>
      </c>
      <c r="BW181" s="50" t="n">
        <v>21</v>
      </c>
      <c r="BX181" s="14" t="s">
        <v>464</v>
      </c>
    </row>
    <row r="182">
      <c r="A182" s="9" t="s">
        <v>295</v>
      </c>
      <c r="B182" s="10" t="s">
        <v>363</v>
      </c>
      <c r="C182" s="10" t="s">
        <v>465</v>
      </c>
      <c r="D182" s="14" t="s">
        <v>466</v>
      </c>
      <c r="E182" s="10"/>
      <c r="F182" s="10" t="s">
        <v>195</v>
      </c>
      <c r="G182" s="50" t="n">
        <v>5.33</v>
      </c>
      <c r="H182" s="50" t="n">
        <v>0</v>
      </c>
      <c r="I182" s="50">
        <f>ROUND(G182*AO182,2)</f>
      </c>
      <c r="J182" s="50">
        <f>ROUND(G182*AP182,2)</f>
      </c>
      <c r="K182" s="50">
        <f>ROUND(G182*H182,2)</f>
      </c>
      <c r="L182" s="51" t="s">
        <v>422</v>
      </c>
      <c r="Z182" s="50">
        <f>ROUND(IF(AQ182="5",BJ182,0),2)</f>
      </c>
      <c r="AB182" s="50">
        <f>ROUND(IF(AQ182="1",BH182,0),2)</f>
      </c>
      <c r="AC182" s="50">
        <f>ROUND(IF(AQ182="1",BI182,0),2)</f>
      </c>
      <c r="AD182" s="50">
        <f>ROUND(IF(AQ182="7",BH182,0),2)</f>
      </c>
      <c r="AE182" s="50">
        <f>ROUND(IF(AQ182="7",BI182,0),2)</f>
      </c>
      <c r="AF182" s="50">
        <f>ROUND(IF(AQ182="2",BH182,0),2)</f>
      </c>
      <c r="AG182" s="50">
        <f>ROUND(IF(AQ182="2",BI182,0),2)</f>
      </c>
      <c r="AH182" s="50">
        <f>ROUND(IF(AQ182="0",BJ182,0),2)</f>
      </c>
      <c r="AI182" s="28" t="s">
        <v>363</v>
      </c>
      <c r="AJ182" s="50">
        <f>IF(AN182=0,K182,0)</f>
      </c>
      <c r="AK182" s="50">
        <f>IF(AN182=12,K182,0)</f>
      </c>
      <c r="AL182" s="50">
        <f>IF(AN182=21,K182,0)</f>
      </c>
      <c r="AN182" s="50" t="n">
        <v>21</v>
      </c>
      <c r="AO182" s="50">
        <f>H182*0</f>
      </c>
      <c r="AP182" s="50">
        <f>H182*(1-0)</f>
      </c>
      <c r="AQ182" s="52" t="s">
        <v>57</v>
      </c>
      <c r="AV182" s="50">
        <f>ROUND(AW182+AX182,2)</f>
      </c>
      <c r="AW182" s="50">
        <f>ROUND(G182*AO182,2)</f>
      </c>
      <c r="AX182" s="50">
        <f>ROUND(G182*AP182,2)</f>
      </c>
      <c r="AY182" s="52" t="s">
        <v>458</v>
      </c>
      <c r="AZ182" s="52" t="s">
        <v>459</v>
      </c>
      <c r="BA182" s="28" t="s">
        <v>371</v>
      </c>
      <c r="BC182" s="50">
        <f>AW182+AX182</f>
      </c>
      <c r="BD182" s="50">
        <f>H182/(100-BE182)*100</f>
      </c>
      <c r="BE182" s="50" t="n">
        <v>0</v>
      </c>
      <c r="BF182" s="50">
        <f>182</f>
      </c>
      <c r="BH182" s="50">
        <f>G182*AO182</f>
      </c>
      <c r="BI182" s="50">
        <f>G182*AP182</f>
      </c>
      <c r="BJ182" s="50">
        <f>G182*H182</f>
      </c>
      <c r="BK182" s="52" t="s">
        <v>65</v>
      </c>
      <c r="BL182" s="50" t="n">
        <v>45</v>
      </c>
      <c r="BW182" s="50" t="n">
        <v>21</v>
      </c>
      <c r="BX182" s="14" t="s">
        <v>466</v>
      </c>
    </row>
    <row r="183">
      <c r="A183" s="45" t="s">
        <v>52</v>
      </c>
      <c r="B183" s="46" t="s">
        <v>363</v>
      </c>
      <c r="C183" s="46" t="s">
        <v>244</v>
      </c>
      <c r="D183" s="47" t="s">
        <v>245</v>
      </c>
      <c r="E183" s="46"/>
      <c r="F183" s="48" t="s">
        <v>8</v>
      </c>
      <c r="G183" s="48" t="s">
        <v>8</v>
      </c>
      <c r="H183" s="48" t="s">
        <v>8</v>
      </c>
      <c r="I183" s="2">
        <f>SUM(I184:I184)</f>
      </c>
      <c r="J183" s="2">
        <f>SUM(J184:J184)</f>
      </c>
      <c r="K183" s="2">
        <f>SUM(K184:K184)</f>
      </c>
      <c r="L183" s="49" t="s">
        <v>52</v>
      </c>
      <c r="AI183" s="28" t="s">
        <v>363</v>
      </c>
      <c r="AS183" s="2">
        <f>SUM(AJ184:AJ184)</f>
      </c>
      <c r="AT183" s="2">
        <f>SUM(AK184:AK184)</f>
      </c>
      <c r="AU183" s="2">
        <f>SUM(AL184:AL184)</f>
      </c>
    </row>
    <row r="184">
      <c r="A184" s="9" t="s">
        <v>467</v>
      </c>
      <c r="B184" s="10" t="s">
        <v>363</v>
      </c>
      <c r="C184" s="10" t="s">
        <v>468</v>
      </c>
      <c r="D184" s="14" t="s">
        <v>469</v>
      </c>
      <c r="E184" s="10"/>
      <c r="F184" s="10" t="s">
        <v>80</v>
      </c>
      <c r="G184" s="50" t="n">
        <v>2.02</v>
      </c>
      <c r="H184" s="50" t="n">
        <v>0</v>
      </c>
      <c r="I184" s="50">
        <f>ROUND(G184*AO184,2)</f>
      </c>
      <c r="J184" s="50">
        <f>ROUND(G184*AP184,2)</f>
      </c>
      <c r="K184" s="50">
        <f>ROUND(G184*H184,2)</f>
      </c>
      <c r="L184" s="51" t="s">
        <v>422</v>
      </c>
      <c r="Z184" s="50">
        <f>ROUND(IF(AQ184="5",BJ184,0),2)</f>
      </c>
      <c r="AB184" s="50">
        <f>ROUND(IF(AQ184="1",BH184,0),2)</f>
      </c>
      <c r="AC184" s="50">
        <f>ROUND(IF(AQ184="1",BI184,0),2)</f>
      </c>
      <c r="AD184" s="50">
        <f>ROUND(IF(AQ184="7",BH184,0),2)</f>
      </c>
      <c r="AE184" s="50">
        <f>ROUND(IF(AQ184="7",BI184,0),2)</f>
      </c>
      <c r="AF184" s="50">
        <f>ROUND(IF(AQ184="2",BH184,0),2)</f>
      </c>
      <c r="AG184" s="50">
        <f>ROUND(IF(AQ184="2",BI184,0),2)</f>
      </c>
      <c r="AH184" s="50">
        <f>ROUND(IF(AQ184="0",BJ184,0),2)</f>
      </c>
      <c r="AI184" s="28" t="s">
        <v>363</v>
      </c>
      <c r="AJ184" s="50">
        <f>IF(AN184=0,K184,0)</f>
      </c>
      <c r="AK184" s="50">
        <f>IF(AN184=12,K184,0)</f>
      </c>
      <c r="AL184" s="50">
        <f>IF(AN184=21,K184,0)</f>
      </c>
      <c r="AN184" s="50" t="n">
        <v>21</v>
      </c>
      <c r="AO184" s="50">
        <f>H184*0</f>
      </c>
      <c r="AP184" s="50">
        <f>H184*(1-0)</f>
      </c>
      <c r="AQ184" s="52" t="s">
        <v>57</v>
      </c>
      <c r="AV184" s="50">
        <f>ROUND(AW184+AX184,2)</f>
      </c>
      <c r="AW184" s="50">
        <f>ROUND(G184*AO184,2)</f>
      </c>
      <c r="AX184" s="50">
        <f>ROUND(G184*AP184,2)</f>
      </c>
      <c r="AY184" s="52" t="s">
        <v>249</v>
      </c>
      <c r="AZ184" s="52" t="s">
        <v>470</v>
      </c>
      <c r="BA184" s="28" t="s">
        <v>371</v>
      </c>
      <c r="BC184" s="50">
        <f>AW184+AX184</f>
      </c>
      <c r="BD184" s="50">
        <f>H184/(100-BE184)*100</f>
      </c>
      <c r="BE184" s="50" t="n">
        <v>0</v>
      </c>
      <c r="BF184" s="50">
        <f>184</f>
      </c>
      <c r="BH184" s="50">
        <f>G184*AO184</f>
      </c>
      <c r="BI184" s="50">
        <f>G184*AP184</f>
      </c>
      <c r="BJ184" s="50">
        <f>G184*H184</f>
      </c>
      <c r="BK184" s="52" t="s">
        <v>65</v>
      </c>
      <c r="BL184" s="50" t="n">
        <v>59</v>
      </c>
      <c r="BW184" s="50" t="n">
        <v>21</v>
      </c>
      <c r="BX184" s="14" t="s">
        <v>469</v>
      </c>
    </row>
    <row r="185">
      <c r="A185" s="45" t="s">
        <v>52</v>
      </c>
      <c r="B185" s="46" t="s">
        <v>363</v>
      </c>
      <c r="C185" s="46" t="s">
        <v>430</v>
      </c>
      <c r="D185" s="47" t="s">
        <v>471</v>
      </c>
      <c r="E185" s="46"/>
      <c r="F185" s="48" t="s">
        <v>8</v>
      </c>
      <c r="G185" s="48" t="s">
        <v>8</v>
      </c>
      <c r="H185" s="48" t="s">
        <v>8</v>
      </c>
      <c r="I185" s="2">
        <f>SUM(I186:I186)</f>
      </c>
      <c r="J185" s="2">
        <f>SUM(J186:J186)</f>
      </c>
      <c r="K185" s="2">
        <f>SUM(K186:K186)</f>
      </c>
      <c r="L185" s="49" t="s">
        <v>52</v>
      </c>
      <c r="AI185" s="28" t="s">
        <v>363</v>
      </c>
      <c r="AS185" s="2">
        <f>SUM(AJ186:AJ186)</f>
      </c>
      <c r="AT185" s="2">
        <f>SUM(AK186:AK186)</f>
      </c>
      <c r="AU185" s="2">
        <f>SUM(AL186:AL186)</f>
      </c>
    </row>
    <row r="186">
      <c r="A186" s="9" t="s">
        <v>472</v>
      </c>
      <c r="B186" s="10" t="s">
        <v>363</v>
      </c>
      <c r="C186" s="10" t="s">
        <v>473</v>
      </c>
      <c r="D186" s="14" t="s">
        <v>474</v>
      </c>
      <c r="E186" s="10"/>
      <c r="F186" s="10" t="s">
        <v>80</v>
      </c>
      <c r="G186" s="50" t="n">
        <v>6</v>
      </c>
      <c r="H186" s="50" t="n">
        <v>0</v>
      </c>
      <c r="I186" s="50">
        <f>ROUND(G186*AO186,2)</f>
      </c>
      <c r="J186" s="50">
        <f>ROUND(G186*AP186,2)</f>
      </c>
      <c r="K186" s="50">
        <f>ROUND(G186*H186,2)</f>
      </c>
      <c r="L186" s="51" t="s">
        <v>422</v>
      </c>
      <c r="Z186" s="50">
        <f>ROUND(IF(AQ186="5",BJ186,0),2)</f>
      </c>
      <c r="AB186" s="50">
        <f>ROUND(IF(AQ186="1",BH186,0),2)</f>
      </c>
      <c r="AC186" s="50">
        <f>ROUND(IF(AQ186="1",BI186,0),2)</f>
      </c>
      <c r="AD186" s="50">
        <f>ROUND(IF(AQ186="7",BH186,0),2)</f>
      </c>
      <c r="AE186" s="50">
        <f>ROUND(IF(AQ186="7",BI186,0),2)</f>
      </c>
      <c r="AF186" s="50">
        <f>ROUND(IF(AQ186="2",BH186,0),2)</f>
      </c>
      <c r="AG186" s="50">
        <f>ROUND(IF(AQ186="2",BI186,0),2)</f>
      </c>
      <c r="AH186" s="50">
        <f>ROUND(IF(AQ186="0",BJ186,0),2)</f>
      </c>
      <c r="AI186" s="28" t="s">
        <v>363</v>
      </c>
      <c r="AJ186" s="50">
        <f>IF(AN186=0,K186,0)</f>
      </c>
      <c r="AK186" s="50">
        <f>IF(AN186=12,K186,0)</f>
      </c>
      <c r="AL186" s="50">
        <f>IF(AN186=21,K186,0)</f>
      </c>
      <c r="AN186" s="50" t="n">
        <v>21</v>
      </c>
      <c r="AO186" s="50">
        <f>H186*0</f>
      </c>
      <c r="AP186" s="50">
        <f>H186*(1-0)</f>
      </c>
      <c r="AQ186" s="52" t="s">
        <v>57</v>
      </c>
      <c r="AV186" s="50">
        <f>ROUND(AW186+AX186,2)</f>
      </c>
      <c r="AW186" s="50">
        <f>ROUND(G186*AO186,2)</f>
      </c>
      <c r="AX186" s="50">
        <f>ROUND(G186*AP186,2)</f>
      </c>
      <c r="AY186" s="52" t="s">
        <v>475</v>
      </c>
      <c r="AZ186" s="52" t="s">
        <v>476</v>
      </c>
      <c r="BA186" s="28" t="s">
        <v>371</v>
      </c>
      <c r="BC186" s="50">
        <f>AW186+AX186</f>
      </c>
      <c r="BD186" s="50">
        <f>H186/(100-BE186)*100</f>
      </c>
      <c r="BE186" s="50" t="n">
        <v>0</v>
      </c>
      <c r="BF186" s="50">
        <f>186</f>
      </c>
      <c r="BH186" s="50">
        <f>G186*AO186</f>
      </c>
      <c r="BI186" s="50">
        <f>G186*AP186</f>
      </c>
      <c r="BJ186" s="50">
        <f>G186*H186</f>
      </c>
      <c r="BK186" s="52" t="s">
        <v>65</v>
      </c>
      <c r="BL186" s="50" t="n">
        <v>83</v>
      </c>
      <c r="BW186" s="50" t="n">
        <v>21</v>
      </c>
      <c r="BX186" s="14" t="s">
        <v>474</v>
      </c>
    </row>
    <row r="187">
      <c r="A187" s="45" t="s">
        <v>52</v>
      </c>
      <c r="B187" s="46" t="s">
        <v>363</v>
      </c>
      <c r="C187" s="46" t="s">
        <v>446</v>
      </c>
      <c r="D187" s="47" t="s">
        <v>477</v>
      </c>
      <c r="E187" s="46"/>
      <c r="F187" s="48" t="s">
        <v>8</v>
      </c>
      <c r="G187" s="48" t="s">
        <v>8</v>
      </c>
      <c r="H187" s="48" t="s">
        <v>8</v>
      </c>
      <c r="I187" s="2">
        <f>SUM(I188:I191)</f>
      </c>
      <c r="J187" s="2">
        <f>SUM(J188:J191)</f>
      </c>
      <c r="K187" s="2">
        <f>SUM(K188:K191)</f>
      </c>
      <c r="L187" s="49" t="s">
        <v>52</v>
      </c>
      <c r="AI187" s="28" t="s">
        <v>363</v>
      </c>
      <c r="AS187" s="2">
        <f>SUM(AJ188:AJ191)</f>
      </c>
      <c r="AT187" s="2">
        <f>SUM(AK188:AK191)</f>
      </c>
      <c r="AU187" s="2">
        <f>SUM(AL188:AL191)</f>
      </c>
    </row>
    <row r="188">
      <c r="A188" s="9" t="s">
        <v>478</v>
      </c>
      <c r="B188" s="10" t="s">
        <v>363</v>
      </c>
      <c r="C188" s="10" t="s">
        <v>479</v>
      </c>
      <c r="D188" s="14" t="s">
        <v>480</v>
      </c>
      <c r="E188" s="10"/>
      <c r="F188" s="10" t="s">
        <v>95</v>
      </c>
      <c r="G188" s="50" t="n">
        <v>46.5</v>
      </c>
      <c r="H188" s="50" t="n">
        <v>0</v>
      </c>
      <c r="I188" s="50">
        <f>ROUND(G188*AO188,2)</f>
      </c>
      <c r="J188" s="50">
        <f>ROUND(G188*AP188,2)</f>
      </c>
      <c r="K188" s="50">
        <f>ROUND(G188*H188,2)</f>
      </c>
      <c r="L188" s="51" t="s">
        <v>422</v>
      </c>
      <c r="Z188" s="50">
        <f>ROUND(IF(AQ188="5",BJ188,0),2)</f>
      </c>
      <c r="AB188" s="50">
        <f>ROUND(IF(AQ188="1",BH188,0),2)</f>
      </c>
      <c r="AC188" s="50">
        <f>ROUND(IF(AQ188="1",BI188,0),2)</f>
      </c>
      <c r="AD188" s="50">
        <f>ROUND(IF(AQ188="7",BH188,0),2)</f>
      </c>
      <c r="AE188" s="50">
        <f>ROUND(IF(AQ188="7",BI188,0),2)</f>
      </c>
      <c r="AF188" s="50">
        <f>ROUND(IF(AQ188="2",BH188,0),2)</f>
      </c>
      <c r="AG188" s="50">
        <f>ROUND(IF(AQ188="2",BI188,0),2)</f>
      </c>
      <c r="AH188" s="50">
        <f>ROUND(IF(AQ188="0",BJ188,0),2)</f>
      </c>
      <c r="AI188" s="28" t="s">
        <v>363</v>
      </c>
      <c r="AJ188" s="50">
        <f>IF(AN188=0,K188,0)</f>
      </c>
      <c r="AK188" s="50">
        <f>IF(AN188=12,K188,0)</f>
      </c>
      <c r="AL188" s="50">
        <f>IF(AN188=21,K188,0)</f>
      </c>
      <c r="AN188" s="50" t="n">
        <v>21</v>
      </c>
      <c r="AO188" s="50">
        <f>H188*0</f>
      </c>
      <c r="AP188" s="50">
        <f>H188*(1-0)</f>
      </c>
      <c r="AQ188" s="52" t="s">
        <v>57</v>
      </c>
      <c r="AV188" s="50">
        <f>ROUND(AW188+AX188,2)</f>
      </c>
      <c r="AW188" s="50">
        <f>ROUND(G188*AO188,2)</f>
      </c>
      <c r="AX188" s="50">
        <f>ROUND(G188*AP188,2)</f>
      </c>
      <c r="AY188" s="52" t="s">
        <v>481</v>
      </c>
      <c r="AZ188" s="52" t="s">
        <v>476</v>
      </c>
      <c r="BA188" s="28" t="s">
        <v>371</v>
      </c>
      <c r="BC188" s="50">
        <f>AW188+AX188</f>
      </c>
      <c r="BD188" s="50">
        <f>H188/(100-BE188)*100</f>
      </c>
      <c r="BE188" s="50" t="n">
        <v>0</v>
      </c>
      <c r="BF188" s="50">
        <f>188</f>
      </c>
      <c r="BH188" s="50">
        <f>G188*AO188</f>
      </c>
      <c r="BI188" s="50">
        <f>G188*AP188</f>
      </c>
      <c r="BJ188" s="50">
        <f>G188*H188</f>
      </c>
      <c r="BK188" s="52" t="s">
        <v>65</v>
      </c>
      <c r="BL188" s="50" t="n">
        <v>87</v>
      </c>
      <c r="BW188" s="50" t="n">
        <v>21</v>
      </c>
      <c r="BX188" s="14" t="s">
        <v>480</v>
      </c>
    </row>
    <row r="189">
      <c r="A189" s="9" t="s">
        <v>301</v>
      </c>
      <c r="B189" s="10" t="s">
        <v>363</v>
      </c>
      <c r="C189" s="10" t="s">
        <v>482</v>
      </c>
      <c r="D189" s="14" t="s">
        <v>483</v>
      </c>
      <c r="E189" s="10"/>
      <c r="F189" s="10" t="s">
        <v>95</v>
      </c>
      <c r="G189" s="50" t="n">
        <v>45.6</v>
      </c>
      <c r="H189" s="50" t="n">
        <v>0</v>
      </c>
      <c r="I189" s="50">
        <f>ROUND(G189*AO189,2)</f>
      </c>
      <c r="J189" s="50">
        <f>ROUND(G189*AP189,2)</f>
      </c>
      <c r="K189" s="50">
        <f>ROUND(G189*H189,2)</f>
      </c>
      <c r="L189" s="51" t="s">
        <v>422</v>
      </c>
      <c r="Z189" s="50">
        <f>ROUND(IF(AQ189="5",BJ189,0),2)</f>
      </c>
      <c r="AB189" s="50">
        <f>ROUND(IF(AQ189="1",BH189,0),2)</f>
      </c>
      <c r="AC189" s="50">
        <f>ROUND(IF(AQ189="1",BI189,0),2)</f>
      </c>
      <c r="AD189" s="50">
        <f>ROUND(IF(AQ189="7",BH189,0),2)</f>
      </c>
      <c r="AE189" s="50">
        <f>ROUND(IF(AQ189="7",BI189,0),2)</f>
      </c>
      <c r="AF189" s="50">
        <f>ROUND(IF(AQ189="2",BH189,0),2)</f>
      </c>
      <c r="AG189" s="50">
        <f>ROUND(IF(AQ189="2",BI189,0),2)</f>
      </c>
      <c r="AH189" s="50">
        <f>ROUND(IF(AQ189="0",BJ189,0),2)</f>
      </c>
      <c r="AI189" s="28" t="s">
        <v>363</v>
      </c>
      <c r="AJ189" s="50">
        <f>IF(AN189=0,K189,0)</f>
      </c>
      <c r="AK189" s="50">
        <f>IF(AN189=12,K189,0)</f>
      </c>
      <c r="AL189" s="50">
        <f>IF(AN189=21,K189,0)</f>
      </c>
      <c r="AN189" s="50" t="n">
        <v>21</v>
      </c>
      <c r="AO189" s="50">
        <f>H189*0</f>
      </c>
      <c r="AP189" s="50">
        <f>H189*(1-0)</f>
      </c>
      <c r="AQ189" s="52" t="s">
        <v>57</v>
      </c>
      <c r="AV189" s="50">
        <f>ROUND(AW189+AX189,2)</f>
      </c>
      <c r="AW189" s="50">
        <f>ROUND(G189*AO189,2)</f>
      </c>
      <c r="AX189" s="50">
        <f>ROUND(G189*AP189,2)</f>
      </c>
      <c r="AY189" s="52" t="s">
        <v>481</v>
      </c>
      <c r="AZ189" s="52" t="s">
        <v>476</v>
      </c>
      <c r="BA189" s="28" t="s">
        <v>371</v>
      </c>
      <c r="BC189" s="50">
        <f>AW189+AX189</f>
      </c>
      <c r="BD189" s="50">
        <f>H189/(100-BE189)*100</f>
      </c>
      <c r="BE189" s="50" t="n">
        <v>0</v>
      </c>
      <c r="BF189" s="50">
        <f>189</f>
      </c>
      <c r="BH189" s="50">
        <f>G189*AO189</f>
      </c>
      <c r="BI189" s="50">
        <f>G189*AP189</f>
      </c>
      <c r="BJ189" s="50">
        <f>G189*H189</f>
      </c>
      <c r="BK189" s="52" t="s">
        <v>65</v>
      </c>
      <c r="BL189" s="50" t="n">
        <v>87</v>
      </c>
      <c r="BW189" s="50" t="n">
        <v>21</v>
      </c>
      <c r="BX189" s="14" t="s">
        <v>483</v>
      </c>
    </row>
    <row r="190">
      <c r="A190" s="9" t="s">
        <v>484</v>
      </c>
      <c r="B190" s="10" t="s">
        <v>363</v>
      </c>
      <c r="C190" s="10" t="s">
        <v>485</v>
      </c>
      <c r="D190" s="14" t="s">
        <v>486</v>
      </c>
      <c r="E190" s="10"/>
      <c r="F190" s="10" t="s">
        <v>80</v>
      </c>
      <c r="G190" s="50" t="n">
        <v>7</v>
      </c>
      <c r="H190" s="50" t="n">
        <v>0</v>
      </c>
      <c r="I190" s="50">
        <f>ROUND(G190*AO190,2)</f>
      </c>
      <c r="J190" s="50">
        <f>ROUND(G190*AP190,2)</f>
      </c>
      <c r="K190" s="50">
        <f>ROUND(G190*H190,2)</f>
      </c>
      <c r="L190" s="51" t="s">
        <v>422</v>
      </c>
      <c r="Z190" s="50">
        <f>ROUND(IF(AQ190="5",BJ190,0),2)</f>
      </c>
      <c r="AB190" s="50">
        <f>ROUND(IF(AQ190="1",BH190,0),2)</f>
      </c>
      <c r="AC190" s="50">
        <f>ROUND(IF(AQ190="1",BI190,0),2)</f>
      </c>
      <c r="AD190" s="50">
        <f>ROUND(IF(AQ190="7",BH190,0),2)</f>
      </c>
      <c r="AE190" s="50">
        <f>ROUND(IF(AQ190="7",BI190,0),2)</f>
      </c>
      <c r="AF190" s="50">
        <f>ROUND(IF(AQ190="2",BH190,0),2)</f>
      </c>
      <c r="AG190" s="50">
        <f>ROUND(IF(AQ190="2",BI190,0),2)</f>
      </c>
      <c r="AH190" s="50">
        <f>ROUND(IF(AQ190="0",BJ190,0),2)</f>
      </c>
      <c r="AI190" s="28" t="s">
        <v>363</v>
      </c>
      <c r="AJ190" s="50">
        <f>IF(AN190=0,K190,0)</f>
      </c>
      <c r="AK190" s="50">
        <f>IF(AN190=12,K190,0)</f>
      </c>
      <c r="AL190" s="50">
        <f>IF(AN190=21,K190,0)</f>
      </c>
      <c r="AN190" s="50" t="n">
        <v>21</v>
      </c>
      <c r="AO190" s="50">
        <f>H190*0</f>
      </c>
      <c r="AP190" s="50">
        <f>H190*(1-0)</f>
      </c>
      <c r="AQ190" s="52" t="s">
        <v>57</v>
      </c>
      <c r="AV190" s="50">
        <f>ROUND(AW190+AX190,2)</f>
      </c>
      <c r="AW190" s="50">
        <f>ROUND(G190*AO190,2)</f>
      </c>
      <c r="AX190" s="50">
        <f>ROUND(G190*AP190,2)</f>
      </c>
      <c r="AY190" s="52" t="s">
        <v>481</v>
      </c>
      <c r="AZ190" s="52" t="s">
        <v>476</v>
      </c>
      <c r="BA190" s="28" t="s">
        <v>371</v>
      </c>
      <c r="BC190" s="50">
        <f>AW190+AX190</f>
      </c>
      <c r="BD190" s="50">
        <f>H190/(100-BE190)*100</f>
      </c>
      <c r="BE190" s="50" t="n">
        <v>0</v>
      </c>
      <c r="BF190" s="50">
        <f>190</f>
      </c>
      <c r="BH190" s="50">
        <f>G190*AO190</f>
      </c>
      <c r="BI190" s="50">
        <f>G190*AP190</f>
      </c>
      <c r="BJ190" s="50">
        <f>G190*H190</f>
      </c>
      <c r="BK190" s="52" t="s">
        <v>65</v>
      </c>
      <c r="BL190" s="50" t="n">
        <v>87</v>
      </c>
      <c r="BW190" s="50" t="n">
        <v>21</v>
      </c>
      <c r="BX190" s="14" t="s">
        <v>486</v>
      </c>
    </row>
    <row r="191">
      <c r="A191" s="9" t="s">
        <v>487</v>
      </c>
      <c r="B191" s="10" t="s">
        <v>363</v>
      </c>
      <c r="C191" s="10" t="s">
        <v>485</v>
      </c>
      <c r="D191" s="14" t="s">
        <v>486</v>
      </c>
      <c r="E191" s="10"/>
      <c r="F191" s="10" t="s">
        <v>80</v>
      </c>
      <c r="G191" s="50" t="n">
        <v>11.415</v>
      </c>
      <c r="H191" s="50" t="n">
        <v>0</v>
      </c>
      <c r="I191" s="50">
        <f>ROUND(G191*AO191,2)</f>
      </c>
      <c r="J191" s="50">
        <f>ROUND(G191*AP191,2)</f>
      </c>
      <c r="K191" s="50">
        <f>ROUND(G191*H191,2)</f>
      </c>
      <c r="L191" s="51" t="s">
        <v>422</v>
      </c>
      <c r="Z191" s="50">
        <f>ROUND(IF(AQ191="5",BJ191,0),2)</f>
      </c>
      <c r="AB191" s="50">
        <f>ROUND(IF(AQ191="1",BH191,0),2)</f>
      </c>
      <c r="AC191" s="50">
        <f>ROUND(IF(AQ191="1",BI191,0),2)</f>
      </c>
      <c r="AD191" s="50">
        <f>ROUND(IF(AQ191="7",BH191,0),2)</f>
      </c>
      <c r="AE191" s="50">
        <f>ROUND(IF(AQ191="7",BI191,0),2)</f>
      </c>
      <c r="AF191" s="50">
        <f>ROUND(IF(AQ191="2",BH191,0),2)</f>
      </c>
      <c r="AG191" s="50">
        <f>ROUND(IF(AQ191="2",BI191,0),2)</f>
      </c>
      <c r="AH191" s="50">
        <f>ROUND(IF(AQ191="0",BJ191,0),2)</f>
      </c>
      <c r="AI191" s="28" t="s">
        <v>363</v>
      </c>
      <c r="AJ191" s="50">
        <f>IF(AN191=0,K191,0)</f>
      </c>
      <c r="AK191" s="50">
        <f>IF(AN191=12,K191,0)</f>
      </c>
      <c r="AL191" s="50">
        <f>IF(AN191=21,K191,0)</f>
      </c>
      <c r="AN191" s="50" t="n">
        <v>21</v>
      </c>
      <c r="AO191" s="50">
        <f>H191*0</f>
      </c>
      <c r="AP191" s="50">
        <f>H191*(1-0)</f>
      </c>
      <c r="AQ191" s="52" t="s">
        <v>57</v>
      </c>
      <c r="AV191" s="50">
        <f>ROUND(AW191+AX191,2)</f>
      </c>
      <c r="AW191" s="50">
        <f>ROUND(G191*AO191,2)</f>
      </c>
      <c r="AX191" s="50">
        <f>ROUND(G191*AP191,2)</f>
      </c>
      <c r="AY191" s="52" t="s">
        <v>481</v>
      </c>
      <c r="AZ191" s="52" t="s">
        <v>476</v>
      </c>
      <c r="BA191" s="28" t="s">
        <v>371</v>
      </c>
      <c r="BC191" s="50">
        <f>AW191+AX191</f>
      </c>
      <c r="BD191" s="50">
        <f>H191/(100-BE191)*100</f>
      </c>
      <c r="BE191" s="50" t="n">
        <v>0</v>
      </c>
      <c r="BF191" s="50">
        <f>191</f>
      </c>
      <c r="BH191" s="50">
        <f>G191*AO191</f>
      </c>
      <c r="BI191" s="50">
        <f>G191*AP191</f>
      </c>
      <c r="BJ191" s="50">
        <f>G191*H191</f>
      </c>
      <c r="BK191" s="52" t="s">
        <v>65</v>
      </c>
      <c r="BL191" s="50" t="n">
        <v>87</v>
      </c>
      <c r="BW191" s="50" t="n">
        <v>21</v>
      </c>
      <c r="BX191" s="14" t="s">
        <v>486</v>
      </c>
    </row>
    <row r="192">
      <c r="A192" s="45" t="s">
        <v>52</v>
      </c>
      <c r="B192" s="46" t="s">
        <v>363</v>
      </c>
      <c r="C192" s="46" t="s">
        <v>455</v>
      </c>
      <c r="D192" s="47" t="s">
        <v>488</v>
      </c>
      <c r="E192" s="46"/>
      <c r="F192" s="48" t="s">
        <v>8</v>
      </c>
      <c r="G192" s="48" t="s">
        <v>8</v>
      </c>
      <c r="H192" s="48" t="s">
        <v>8</v>
      </c>
      <c r="I192" s="2">
        <f>SUM(I193:I206)</f>
      </c>
      <c r="J192" s="2">
        <f>SUM(J193:J206)</f>
      </c>
      <c r="K192" s="2">
        <f>SUM(K193:K206)</f>
      </c>
      <c r="L192" s="49" t="s">
        <v>52</v>
      </c>
      <c r="AI192" s="28" t="s">
        <v>363</v>
      </c>
      <c r="AS192" s="2">
        <f>SUM(AJ193:AJ206)</f>
      </c>
      <c r="AT192" s="2">
        <f>SUM(AK193:AK206)</f>
      </c>
      <c r="AU192" s="2">
        <f>SUM(AL193:AL206)</f>
      </c>
    </row>
    <row r="193">
      <c r="A193" s="9" t="s">
        <v>164</v>
      </c>
      <c r="B193" s="10" t="s">
        <v>363</v>
      </c>
      <c r="C193" s="10" t="s">
        <v>489</v>
      </c>
      <c r="D193" s="14" t="s">
        <v>490</v>
      </c>
      <c r="E193" s="10"/>
      <c r="F193" s="10" t="s">
        <v>95</v>
      </c>
      <c r="G193" s="50" t="n">
        <v>92.1</v>
      </c>
      <c r="H193" s="50" t="n">
        <v>0</v>
      </c>
      <c r="I193" s="50">
        <f>ROUND(G193*AO193,2)</f>
      </c>
      <c r="J193" s="50">
        <f>ROUND(G193*AP193,2)</f>
      </c>
      <c r="K193" s="50">
        <f>ROUND(G193*H193,2)</f>
      </c>
      <c r="L193" s="51" t="s">
        <v>422</v>
      </c>
      <c r="Z193" s="50">
        <f>ROUND(IF(AQ193="5",BJ193,0),2)</f>
      </c>
      <c r="AB193" s="50">
        <f>ROUND(IF(AQ193="1",BH193,0),2)</f>
      </c>
      <c r="AC193" s="50">
        <f>ROUND(IF(AQ193="1",BI193,0),2)</f>
      </c>
      <c r="AD193" s="50">
        <f>ROUND(IF(AQ193="7",BH193,0),2)</f>
      </c>
      <c r="AE193" s="50">
        <f>ROUND(IF(AQ193="7",BI193,0),2)</f>
      </c>
      <c r="AF193" s="50">
        <f>ROUND(IF(AQ193="2",BH193,0),2)</f>
      </c>
      <c r="AG193" s="50">
        <f>ROUND(IF(AQ193="2",BI193,0),2)</f>
      </c>
      <c r="AH193" s="50">
        <f>ROUND(IF(AQ193="0",BJ193,0),2)</f>
      </c>
      <c r="AI193" s="28" t="s">
        <v>363</v>
      </c>
      <c r="AJ193" s="50">
        <f>IF(AN193=0,K193,0)</f>
      </c>
      <c r="AK193" s="50">
        <f>IF(AN193=12,K193,0)</f>
      </c>
      <c r="AL193" s="50">
        <f>IF(AN193=21,K193,0)</f>
      </c>
      <c r="AN193" s="50" t="n">
        <v>21</v>
      </c>
      <c r="AO193" s="50">
        <f>H193*0</f>
      </c>
      <c r="AP193" s="50">
        <f>H193*(1-0)</f>
      </c>
      <c r="AQ193" s="52" t="s">
        <v>57</v>
      </c>
      <c r="AV193" s="50">
        <f>ROUND(AW193+AX193,2)</f>
      </c>
      <c r="AW193" s="50">
        <f>ROUND(G193*AO193,2)</f>
      </c>
      <c r="AX193" s="50">
        <f>ROUND(G193*AP193,2)</f>
      </c>
      <c r="AY193" s="52" t="s">
        <v>491</v>
      </c>
      <c r="AZ193" s="52" t="s">
        <v>476</v>
      </c>
      <c r="BA193" s="28" t="s">
        <v>371</v>
      </c>
      <c r="BC193" s="50">
        <f>AW193+AX193</f>
      </c>
      <c r="BD193" s="50">
        <f>H193/(100-BE193)*100</f>
      </c>
      <c r="BE193" s="50" t="n">
        <v>0</v>
      </c>
      <c r="BF193" s="50">
        <f>193</f>
      </c>
      <c r="BH193" s="50">
        <f>G193*AO193</f>
      </c>
      <c r="BI193" s="50">
        <f>G193*AP193</f>
      </c>
      <c r="BJ193" s="50">
        <f>G193*H193</f>
      </c>
      <c r="BK193" s="52" t="s">
        <v>65</v>
      </c>
      <c r="BL193" s="50" t="n">
        <v>89</v>
      </c>
      <c r="BW193" s="50" t="n">
        <v>21</v>
      </c>
      <c r="BX193" s="14" t="s">
        <v>490</v>
      </c>
    </row>
    <row r="194">
      <c r="A194" s="9" t="s">
        <v>492</v>
      </c>
      <c r="B194" s="10" t="s">
        <v>363</v>
      </c>
      <c r="C194" s="10" t="s">
        <v>493</v>
      </c>
      <c r="D194" s="14" t="s">
        <v>494</v>
      </c>
      <c r="E194" s="10"/>
      <c r="F194" s="10" t="s">
        <v>95</v>
      </c>
      <c r="G194" s="50" t="n">
        <v>92.1</v>
      </c>
      <c r="H194" s="50" t="n">
        <v>0</v>
      </c>
      <c r="I194" s="50">
        <f>ROUND(G194*AO194,2)</f>
      </c>
      <c r="J194" s="50">
        <f>ROUND(G194*AP194,2)</f>
      </c>
      <c r="K194" s="50">
        <f>ROUND(G194*H194,2)</f>
      </c>
      <c r="L194" s="51" t="s">
        <v>422</v>
      </c>
      <c r="Z194" s="50">
        <f>ROUND(IF(AQ194="5",BJ194,0),2)</f>
      </c>
      <c r="AB194" s="50">
        <f>ROUND(IF(AQ194="1",BH194,0),2)</f>
      </c>
      <c r="AC194" s="50">
        <f>ROUND(IF(AQ194="1",BI194,0),2)</f>
      </c>
      <c r="AD194" s="50">
        <f>ROUND(IF(AQ194="7",BH194,0),2)</f>
      </c>
      <c r="AE194" s="50">
        <f>ROUND(IF(AQ194="7",BI194,0),2)</f>
      </c>
      <c r="AF194" s="50">
        <f>ROUND(IF(AQ194="2",BH194,0),2)</f>
      </c>
      <c r="AG194" s="50">
        <f>ROUND(IF(AQ194="2",BI194,0),2)</f>
      </c>
      <c r="AH194" s="50">
        <f>ROUND(IF(AQ194="0",BJ194,0),2)</f>
      </c>
      <c r="AI194" s="28" t="s">
        <v>363</v>
      </c>
      <c r="AJ194" s="50">
        <f>IF(AN194=0,K194,0)</f>
      </c>
      <c r="AK194" s="50">
        <f>IF(AN194=12,K194,0)</f>
      </c>
      <c r="AL194" s="50">
        <f>IF(AN194=21,K194,0)</f>
      </c>
      <c r="AN194" s="50" t="n">
        <v>21</v>
      </c>
      <c r="AO194" s="50">
        <f>H194*0</f>
      </c>
      <c r="AP194" s="50">
        <f>H194*(1-0)</f>
      </c>
      <c r="AQ194" s="52" t="s">
        <v>57</v>
      </c>
      <c r="AV194" s="50">
        <f>ROUND(AW194+AX194,2)</f>
      </c>
      <c r="AW194" s="50">
        <f>ROUND(G194*AO194,2)</f>
      </c>
      <c r="AX194" s="50">
        <f>ROUND(G194*AP194,2)</f>
      </c>
      <c r="AY194" s="52" t="s">
        <v>491</v>
      </c>
      <c r="AZ194" s="52" t="s">
        <v>476</v>
      </c>
      <c r="BA194" s="28" t="s">
        <v>371</v>
      </c>
      <c r="BC194" s="50">
        <f>AW194+AX194</f>
      </c>
      <c r="BD194" s="50">
        <f>H194/(100-BE194)*100</f>
      </c>
      <c r="BE194" s="50" t="n">
        <v>0</v>
      </c>
      <c r="BF194" s="50">
        <f>194</f>
      </c>
      <c r="BH194" s="50">
        <f>G194*AO194</f>
      </c>
      <c r="BI194" s="50">
        <f>G194*AP194</f>
      </c>
      <c r="BJ194" s="50">
        <f>G194*H194</f>
      </c>
      <c r="BK194" s="52" t="s">
        <v>65</v>
      </c>
      <c r="BL194" s="50" t="n">
        <v>89</v>
      </c>
      <c r="BW194" s="50" t="n">
        <v>21</v>
      </c>
      <c r="BX194" s="14" t="s">
        <v>494</v>
      </c>
    </row>
    <row r="195">
      <c r="A195" s="9" t="s">
        <v>495</v>
      </c>
      <c r="B195" s="10" t="s">
        <v>363</v>
      </c>
      <c r="C195" s="10" t="s">
        <v>496</v>
      </c>
      <c r="D195" s="14" t="s">
        <v>497</v>
      </c>
      <c r="E195" s="10"/>
      <c r="F195" s="10" t="s">
        <v>80</v>
      </c>
      <c r="G195" s="50" t="n">
        <v>8</v>
      </c>
      <c r="H195" s="50" t="n">
        <v>0</v>
      </c>
      <c r="I195" s="50">
        <f>ROUND(G195*AO195,2)</f>
      </c>
      <c r="J195" s="50">
        <f>ROUND(G195*AP195,2)</f>
      </c>
      <c r="K195" s="50">
        <f>ROUND(G195*H195,2)</f>
      </c>
      <c r="L195" s="51" t="s">
        <v>422</v>
      </c>
      <c r="Z195" s="50">
        <f>ROUND(IF(AQ195="5",BJ195,0),2)</f>
      </c>
      <c r="AB195" s="50">
        <f>ROUND(IF(AQ195="1",BH195,0),2)</f>
      </c>
      <c r="AC195" s="50">
        <f>ROUND(IF(AQ195="1",BI195,0),2)</f>
      </c>
      <c r="AD195" s="50">
        <f>ROUND(IF(AQ195="7",BH195,0),2)</f>
      </c>
      <c r="AE195" s="50">
        <f>ROUND(IF(AQ195="7",BI195,0),2)</f>
      </c>
      <c r="AF195" s="50">
        <f>ROUND(IF(AQ195="2",BH195,0),2)</f>
      </c>
      <c r="AG195" s="50">
        <f>ROUND(IF(AQ195="2",BI195,0),2)</f>
      </c>
      <c r="AH195" s="50">
        <f>ROUND(IF(AQ195="0",BJ195,0),2)</f>
      </c>
      <c r="AI195" s="28" t="s">
        <v>363</v>
      </c>
      <c r="AJ195" s="50">
        <f>IF(AN195=0,K195,0)</f>
      </c>
      <c r="AK195" s="50">
        <f>IF(AN195=12,K195,0)</f>
      </c>
      <c r="AL195" s="50">
        <f>IF(AN195=21,K195,0)</f>
      </c>
      <c r="AN195" s="50" t="n">
        <v>21</v>
      </c>
      <c r="AO195" s="50">
        <f>H195*0</f>
      </c>
      <c r="AP195" s="50">
        <f>H195*(1-0)</f>
      </c>
      <c r="AQ195" s="52" t="s">
        <v>57</v>
      </c>
      <c r="AV195" s="50">
        <f>ROUND(AW195+AX195,2)</f>
      </c>
      <c r="AW195" s="50">
        <f>ROUND(G195*AO195,2)</f>
      </c>
      <c r="AX195" s="50">
        <f>ROUND(G195*AP195,2)</f>
      </c>
      <c r="AY195" s="52" t="s">
        <v>491</v>
      </c>
      <c r="AZ195" s="52" t="s">
        <v>476</v>
      </c>
      <c r="BA195" s="28" t="s">
        <v>371</v>
      </c>
      <c r="BC195" s="50">
        <f>AW195+AX195</f>
      </c>
      <c r="BD195" s="50">
        <f>H195/(100-BE195)*100</f>
      </c>
      <c r="BE195" s="50" t="n">
        <v>0</v>
      </c>
      <c r="BF195" s="50">
        <f>195</f>
      </c>
      <c r="BH195" s="50">
        <f>G195*AO195</f>
      </c>
      <c r="BI195" s="50">
        <f>G195*AP195</f>
      </c>
      <c r="BJ195" s="50">
        <f>G195*H195</f>
      </c>
      <c r="BK195" s="52" t="s">
        <v>65</v>
      </c>
      <c r="BL195" s="50" t="n">
        <v>89</v>
      </c>
      <c r="BW195" s="50" t="n">
        <v>21</v>
      </c>
      <c r="BX195" s="14" t="s">
        <v>497</v>
      </c>
    </row>
    <row r="196">
      <c r="A196" s="9" t="s">
        <v>498</v>
      </c>
      <c r="B196" s="10" t="s">
        <v>363</v>
      </c>
      <c r="C196" s="10" t="s">
        <v>499</v>
      </c>
      <c r="D196" s="14" t="s">
        <v>500</v>
      </c>
      <c r="E196" s="10"/>
      <c r="F196" s="10" t="s">
        <v>80</v>
      </c>
      <c r="G196" s="50" t="n">
        <v>2</v>
      </c>
      <c r="H196" s="50" t="n">
        <v>0</v>
      </c>
      <c r="I196" s="50">
        <f>ROUND(G196*AO196,2)</f>
      </c>
      <c r="J196" s="50">
        <f>ROUND(G196*AP196,2)</f>
      </c>
      <c r="K196" s="50">
        <f>ROUND(G196*H196,2)</f>
      </c>
      <c r="L196" s="51" t="s">
        <v>422</v>
      </c>
      <c r="Z196" s="50">
        <f>ROUND(IF(AQ196="5",BJ196,0),2)</f>
      </c>
      <c r="AB196" s="50">
        <f>ROUND(IF(AQ196="1",BH196,0),2)</f>
      </c>
      <c r="AC196" s="50">
        <f>ROUND(IF(AQ196="1",BI196,0),2)</f>
      </c>
      <c r="AD196" s="50">
        <f>ROUND(IF(AQ196="7",BH196,0),2)</f>
      </c>
      <c r="AE196" s="50">
        <f>ROUND(IF(AQ196="7",BI196,0),2)</f>
      </c>
      <c r="AF196" s="50">
        <f>ROUND(IF(AQ196="2",BH196,0),2)</f>
      </c>
      <c r="AG196" s="50">
        <f>ROUND(IF(AQ196="2",BI196,0),2)</f>
      </c>
      <c r="AH196" s="50">
        <f>ROUND(IF(AQ196="0",BJ196,0),2)</f>
      </c>
      <c r="AI196" s="28" t="s">
        <v>363</v>
      </c>
      <c r="AJ196" s="50">
        <f>IF(AN196=0,K196,0)</f>
      </c>
      <c r="AK196" s="50">
        <f>IF(AN196=12,K196,0)</f>
      </c>
      <c r="AL196" s="50">
        <f>IF(AN196=21,K196,0)</f>
      </c>
      <c r="AN196" s="50" t="n">
        <v>21</v>
      </c>
      <c r="AO196" s="50">
        <f>H196*0</f>
      </c>
      <c r="AP196" s="50">
        <f>H196*(1-0)</f>
      </c>
      <c r="AQ196" s="52" t="s">
        <v>57</v>
      </c>
      <c r="AV196" s="50">
        <f>ROUND(AW196+AX196,2)</f>
      </c>
      <c r="AW196" s="50">
        <f>ROUND(G196*AO196,2)</f>
      </c>
      <c r="AX196" s="50">
        <f>ROUND(G196*AP196,2)</f>
      </c>
      <c r="AY196" s="52" t="s">
        <v>491</v>
      </c>
      <c r="AZ196" s="52" t="s">
        <v>476</v>
      </c>
      <c r="BA196" s="28" t="s">
        <v>371</v>
      </c>
      <c r="BC196" s="50">
        <f>AW196+AX196</f>
      </c>
      <c r="BD196" s="50">
        <f>H196/(100-BE196)*100</f>
      </c>
      <c r="BE196" s="50" t="n">
        <v>0</v>
      </c>
      <c r="BF196" s="50">
        <f>196</f>
      </c>
      <c r="BH196" s="50">
        <f>G196*AO196</f>
      </c>
      <c r="BI196" s="50">
        <f>G196*AP196</f>
      </c>
      <c r="BJ196" s="50">
        <f>G196*H196</f>
      </c>
      <c r="BK196" s="52" t="s">
        <v>65</v>
      </c>
      <c r="BL196" s="50" t="n">
        <v>89</v>
      </c>
      <c r="BW196" s="50" t="n">
        <v>21</v>
      </c>
      <c r="BX196" s="14" t="s">
        <v>500</v>
      </c>
    </row>
    <row r="197">
      <c r="A197" s="9" t="s">
        <v>501</v>
      </c>
      <c r="B197" s="10" t="s">
        <v>363</v>
      </c>
      <c r="C197" s="10" t="s">
        <v>502</v>
      </c>
      <c r="D197" s="14" t="s">
        <v>503</v>
      </c>
      <c r="E197" s="10"/>
      <c r="F197" s="10" t="s">
        <v>80</v>
      </c>
      <c r="G197" s="50" t="n">
        <v>2</v>
      </c>
      <c r="H197" s="50" t="n">
        <v>0</v>
      </c>
      <c r="I197" s="50">
        <f>ROUND(G197*AO197,2)</f>
      </c>
      <c r="J197" s="50">
        <f>ROUND(G197*AP197,2)</f>
      </c>
      <c r="K197" s="50">
        <f>ROUND(G197*H197,2)</f>
      </c>
      <c r="L197" s="51" t="s">
        <v>422</v>
      </c>
      <c r="Z197" s="50">
        <f>ROUND(IF(AQ197="5",BJ197,0),2)</f>
      </c>
      <c r="AB197" s="50">
        <f>ROUND(IF(AQ197="1",BH197,0),2)</f>
      </c>
      <c r="AC197" s="50">
        <f>ROUND(IF(AQ197="1",BI197,0),2)</f>
      </c>
      <c r="AD197" s="50">
        <f>ROUND(IF(AQ197="7",BH197,0),2)</f>
      </c>
      <c r="AE197" s="50">
        <f>ROUND(IF(AQ197="7",BI197,0),2)</f>
      </c>
      <c r="AF197" s="50">
        <f>ROUND(IF(AQ197="2",BH197,0),2)</f>
      </c>
      <c r="AG197" s="50">
        <f>ROUND(IF(AQ197="2",BI197,0),2)</f>
      </c>
      <c r="AH197" s="50">
        <f>ROUND(IF(AQ197="0",BJ197,0),2)</f>
      </c>
      <c r="AI197" s="28" t="s">
        <v>363</v>
      </c>
      <c r="AJ197" s="50">
        <f>IF(AN197=0,K197,0)</f>
      </c>
      <c r="AK197" s="50">
        <f>IF(AN197=12,K197,0)</f>
      </c>
      <c r="AL197" s="50">
        <f>IF(AN197=21,K197,0)</f>
      </c>
      <c r="AN197" s="50" t="n">
        <v>21</v>
      </c>
      <c r="AO197" s="50">
        <f>H197*0</f>
      </c>
      <c r="AP197" s="50">
        <f>H197*(1-0)</f>
      </c>
      <c r="AQ197" s="52" t="s">
        <v>57</v>
      </c>
      <c r="AV197" s="50">
        <f>ROUND(AW197+AX197,2)</f>
      </c>
      <c r="AW197" s="50">
        <f>ROUND(G197*AO197,2)</f>
      </c>
      <c r="AX197" s="50">
        <f>ROUND(G197*AP197,2)</f>
      </c>
      <c r="AY197" s="52" t="s">
        <v>491</v>
      </c>
      <c r="AZ197" s="52" t="s">
        <v>476</v>
      </c>
      <c r="BA197" s="28" t="s">
        <v>371</v>
      </c>
      <c r="BC197" s="50">
        <f>AW197+AX197</f>
      </c>
      <c r="BD197" s="50">
        <f>H197/(100-BE197)*100</f>
      </c>
      <c r="BE197" s="50" t="n">
        <v>0</v>
      </c>
      <c r="BF197" s="50">
        <f>197</f>
      </c>
      <c r="BH197" s="50">
        <f>G197*AO197</f>
      </c>
      <c r="BI197" s="50">
        <f>G197*AP197</f>
      </c>
      <c r="BJ197" s="50">
        <f>G197*H197</f>
      </c>
      <c r="BK197" s="52" t="s">
        <v>65</v>
      </c>
      <c r="BL197" s="50" t="n">
        <v>89</v>
      </c>
      <c r="BW197" s="50" t="n">
        <v>21</v>
      </c>
      <c r="BX197" s="14" t="s">
        <v>503</v>
      </c>
    </row>
    <row r="198">
      <c r="A198" s="9" t="s">
        <v>504</v>
      </c>
      <c r="B198" s="10" t="s">
        <v>363</v>
      </c>
      <c r="C198" s="10" t="s">
        <v>505</v>
      </c>
      <c r="D198" s="14" t="s">
        <v>506</v>
      </c>
      <c r="E198" s="10"/>
      <c r="F198" s="10" t="s">
        <v>80</v>
      </c>
      <c r="G198" s="50" t="n">
        <v>2</v>
      </c>
      <c r="H198" s="50" t="n">
        <v>0</v>
      </c>
      <c r="I198" s="50">
        <f>ROUND(G198*AO198,2)</f>
      </c>
      <c r="J198" s="50">
        <f>ROUND(G198*AP198,2)</f>
      </c>
      <c r="K198" s="50">
        <f>ROUND(G198*H198,2)</f>
      </c>
      <c r="L198" s="51" t="s">
        <v>422</v>
      </c>
      <c r="Z198" s="50">
        <f>ROUND(IF(AQ198="5",BJ198,0),2)</f>
      </c>
      <c r="AB198" s="50">
        <f>ROUND(IF(AQ198="1",BH198,0),2)</f>
      </c>
      <c r="AC198" s="50">
        <f>ROUND(IF(AQ198="1",BI198,0),2)</f>
      </c>
      <c r="AD198" s="50">
        <f>ROUND(IF(AQ198="7",BH198,0),2)</f>
      </c>
      <c r="AE198" s="50">
        <f>ROUND(IF(AQ198="7",BI198,0),2)</f>
      </c>
      <c r="AF198" s="50">
        <f>ROUND(IF(AQ198="2",BH198,0),2)</f>
      </c>
      <c r="AG198" s="50">
        <f>ROUND(IF(AQ198="2",BI198,0),2)</f>
      </c>
      <c r="AH198" s="50">
        <f>ROUND(IF(AQ198="0",BJ198,0),2)</f>
      </c>
      <c r="AI198" s="28" t="s">
        <v>363</v>
      </c>
      <c r="AJ198" s="50">
        <f>IF(AN198=0,K198,0)</f>
      </c>
      <c r="AK198" s="50">
        <f>IF(AN198=12,K198,0)</f>
      </c>
      <c r="AL198" s="50">
        <f>IF(AN198=21,K198,0)</f>
      </c>
      <c r="AN198" s="50" t="n">
        <v>21</v>
      </c>
      <c r="AO198" s="50">
        <f>H198*0</f>
      </c>
      <c r="AP198" s="50">
        <f>H198*(1-0)</f>
      </c>
      <c r="AQ198" s="52" t="s">
        <v>57</v>
      </c>
      <c r="AV198" s="50">
        <f>ROUND(AW198+AX198,2)</f>
      </c>
      <c r="AW198" s="50">
        <f>ROUND(G198*AO198,2)</f>
      </c>
      <c r="AX198" s="50">
        <f>ROUND(G198*AP198,2)</f>
      </c>
      <c r="AY198" s="52" t="s">
        <v>491</v>
      </c>
      <c r="AZ198" s="52" t="s">
        <v>476</v>
      </c>
      <c r="BA198" s="28" t="s">
        <v>371</v>
      </c>
      <c r="BC198" s="50">
        <f>AW198+AX198</f>
      </c>
      <c r="BD198" s="50">
        <f>H198/(100-BE198)*100</f>
      </c>
      <c r="BE198" s="50" t="n">
        <v>0</v>
      </c>
      <c r="BF198" s="50">
        <f>198</f>
      </c>
      <c r="BH198" s="50">
        <f>G198*AO198</f>
      </c>
      <c r="BI198" s="50">
        <f>G198*AP198</f>
      </c>
      <c r="BJ198" s="50">
        <f>G198*H198</f>
      </c>
      <c r="BK198" s="52" t="s">
        <v>65</v>
      </c>
      <c r="BL198" s="50" t="n">
        <v>89</v>
      </c>
      <c r="BW198" s="50" t="n">
        <v>21</v>
      </c>
      <c r="BX198" s="14" t="s">
        <v>506</v>
      </c>
    </row>
    <row r="199">
      <c r="A199" s="9" t="s">
        <v>507</v>
      </c>
      <c r="B199" s="10" t="s">
        <v>363</v>
      </c>
      <c r="C199" s="10" t="s">
        <v>508</v>
      </c>
      <c r="D199" s="14" t="s">
        <v>509</v>
      </c>
      <c r="E199" s="10"/>
      <c r="F199" s="10" t="s">
        <v>80</v>
      </c>
      <c r="G199" s="50" t="n">
        <v>3</v>
      </c>
      <c r="H199" s="50" t="n">
        <v>0</v>
      </c>
      <c r="I199" s="50">
        <f>ROUND(G199*AO199,2)</f>
      </c>
      <c r="J199" s="50">
        <f>ROUND(G199*AP199,2)</f>
      </c>
      <c r="K199" s="50">
        <f>ROUND(G199*H199,2)</f>
      </c>
      <c r="L199" s="51" t="s">
        <v>422</v>
      </c>
      <c r="Z199" s="50">
        <f>ROUND(IF(AQ199="5",BJ199,0),2)</f>
      </c>
      <c r="AB199" s="50">
        <f>ROUND(IF(AQ199="1",BH199,0),2)</f>
      </c>
      <c r="AC199" s="50">
        <f>ROUND(IF(AQ199="1",BI199,0),2)</f>
      </c>
      <c r="AD199" s="50">
        <f>ROUND(IF(AQ199="7",BH199,0),2)</f>
      </c>
      <c r="AE199" s="50">
        <f>ROUND(IF(AQ199="7",BI199,0),2)</f>
      </c>
      <c r="AF199" s="50">
        <f>ROUND(IF(AQ199="2",BH199,0),2)</f>
      </c>
      <c r="AG199" s="50">
        <f>ROUND(IF(AQ199="2",BI199,0),2)</f>
      </c>
      <c r="AH199" s="50">
        <f>ROUND(IF(AQ199="0",BJ199,0),2)</f>
      </c>
      <c r="AI199" s="28" t="s">
        <v>363</v>
      </c>
      <c r="AJ199" s="50">
        <f>IF(AN199=0,K199,0)</f>
      </c>
      <c r="AK199" s="50">
        <f>IF(AN199=12,K199,0)</f>
      </c>
      <c r="AL199" s="50">
        <f>IF(AN199=21,K199,0)</f>
      </c>
      <c r="AN199" s="50" t="n">
        <v>21</v>
      </c>
      <c r="AO199" s="50">
        <f>H199*0</f>
      </c>
      <c r="AP199" s="50">
        <f>H199*(1-0)</f>
      </c>
      <c r="AQ199" s="52" t="s">
        <v>57</v>
      </c>
      <c r="AV199" s="50">
        <f>ROUND(AW199+AX199,2)</f>
      </c>
      <c r="AW199" s="50">
        <f>ROUND(G199*AO199,2)</f>
      </c>
      <c r="AX199" s="50">
        <f>ROUND(G199*AP199,2)</f>
      </c>
      <c r="AY199" s="52" t="s">
        <v>491</v>
      </c>
      <c r="AZ199" s="52" t="s">
        <v>476</v>
      </c>
      <c r="BA199" s="28" t="s">
        <v>371</v>
      </c>
      <c r="BC199" s="50">
        <f>AW199+AX199</f>
      </c>
      <c r="BD199" s="50">
        <f>H199/(100-BE199)*100</f>
      </c>
      <c r="BE199" s="50" t="n">
        <v>0</v>
      </c>
      <c r="BF199" s="50">
        <f>199</f>
      </c>
      <c r="BH199" s="50">
        <f>G199*AO199</f>
      </c>
      <c r="BI199" s="50">
        <f>G199*AP199</f>
      </c>
      <c r="BJ199" s="50">
        <f>G199*H199</f>
      </c>
      <c r="BK199" s="52" t="s">
        <v>65</v>
      </c>
      <c r="BL199" s="50" t="n">
        <v>89</v>
      </c>
      <c r="BW199" s="50" t="n">
        <v>21</v>
      </c>
      <c r="BX199" s="14" t="s">
        <v>509</v>
      </c>
    </row>
    <row r="200">
      <c r="A200" s="9" t="s">
        <v>510</v>
      </c>
      <c r="B200" s="10" t="s">
        <v>363</v>
      </c>
      <c r="C200" s="10" t="s">
        <v>511</v>
      </c>
      <c r="D200" s="14" t="s">
        <v>512</v>
      </c>
      <c r="E200" s="10"/>
      <c r="F200" s="10" t="s">
        <v>80</v>
      </c>
      <c r="G200" s="50" t="n">
        <v>7</v>
      </c>
      <c r="H200" s="50" t="n">
        <v>0</v>
      </c>
      <c r="I200" s="50">
        <f>ROUND(G200*AO200,2)</f>
      </c>
      <c r="J200" s="50">
        <f>ROUND(G200*AP200,2)</f>
      </c>
      <c r="K200" s="50">
        <f>ROUND(G200*H200,2)</f>
      </c>
      <c r="L200" s="51" t="s">
        <v>422</v>
      </c>
      <c r="Z200" s="50">
        <f>ROUND(IF(AQ200="5",BJ200,0),2)</f>
      </c>
      <c r="AB200" s="50">
        <f>ROUND(IF(AQ200="1",BH200,0),2)</f>
      </c>
      <c r="AC200" s="50">
        <f>ROUND(IF(AQ200="1",BI200,0),2)</f>
      </c>
      <c r="AD200" s="50">
        <f>ROUND(IF(AQ200="7",BH200,0),2)</f>
      </c>
      <c r="AE200" s="50">
        <f>ROUND(IF(AQ200="7",BI200,0),2)</f>
      </c>
      <c r="AF200" s="50">
        <f>ROUND(IF(AQ200="2",BH200,0),2)</f>
      </c>
      <c r="AG200" s="50">
        <f>ROUND(IF(AQ200="2",BI200,0),2)</f>
      </c>
      <c r="AH200" s="50">
        <f>ROUND(IF(AQ200="0",BJ200,0),2)</f>
      </c>
      <c r="AI200" s="28" t="s">
        <v>363</v>
      </c>
      <c r="AJ200" s="50">
        <f>IF(AN200=0,K200,0)</f>
      </c>
      <c r="AK200" s="50">
        <f>IF(AN200=12,K200,0)</f>
      </c>
      <c r="AL200" s="50">
        <f>IF(AN200=21,K200,0)</f>
      </c>
      <c r="AN200" s="50" t="n">
        <v>21</v>
      </c>
      <c r="AO200" s="50">
        <f>H200*0</f>
      </c>
      <c r="AP200" s="50">
        <f>H200*(1-0)</f>
      </c>
      <c r="AQ200" s="52" t="s">
        <v>57</v>
      </c>
      <c r="AV200" s="50">
        <f>ROUND(AW200+AX200,2)</f>
      </c>
      <c r="AW200" s="50">
        <f>ROUND(G200*AO200,2)</f>
      </c>
      <c r="AX200" s="50">
        <f>ROUND(G200*AP200,2)</f>
      </c>
      <c r="AY200" s="52" t="s">
        <v>491</v>
      </c>
      <c r="AZ200" s="52" t="s">
        <v>476</v>
      </c>
      <c r="BA200" s="28" t="s">
        <v>371</v>
      </c>
      <c r="BC200" s="50">
        <f>AW200+AX200</f>
      </c>
      <c r="BD200" s="50">
        <f>H200/(100-BE200)*100</f>
      </c>
      <c r="BE200" s="50" t="n">
        <v>0</v>
      </c>
      <c r="BF200" s="50">
        <f>200</f>
      </c>
      <c r="BH200" s="50">
        <f>G200*AO200</f>
      </c>
      <c r="BI200" s="50">
        <f>G200*AP200</f>
      </c>
      <c r="BJ200" s="50">
        <f>G200*H200</f>
      </c>
      <c r="BK200" s="52" t="s">
        <v>65</v>
      </c>
      <c r="BL200" s="50" t="n">
        <v>89</v>
      </c>
      <c r="BW200" s="50" t="n">
        <v>21</v>
      </c>
      <c r="BX200" s="14" t="s">
        <v>512</v>
      </c>
    </row>
    <row r="201">
      <c r="A201" s="9" t="s">
        <v>513</v>
      </c>
      <c r="B201" s="10" t="s">
        <v>363</v>
      </c>
      <c r="C201" s="10" t="s">
        <v>514</v>
      </c>
      <c r="D201" s="14" t="s">
        <v>515</v>
      </c>
      <c r="E201" s="10"/>
      <c r="F201" s="10" t="s">
        <v>80</v>
      </c>
      <c r="G201" s="50" t="n">
        <v>3</v>
      </c>
      <c r="H201" s="50" t="n">
        <v>0</v>
      </c>
      <c r="I201" s="50">
        <f>ROUND(G201*AO201,2)</f>
      </c>
      <c r="J201" s="50">
        <f>ROUND(G201*AP201,2)</f>
      </c>
      <c r="K201" s="50">
        <f>ROUND(G201*H201,2)</f>
      </c>
      <c r="L201" s="51" t="s">
        <v>422</v>
      </c>
      <c r="Z201" s="50">
        <f>ROUND(IF(AQ201="5",BJ201,0),2)</f>
      </c>
      <c r="AB201" s="50">
        <f>ROUND(IF(AQ201="1",BH201,0),2)</f>
      </c>
      <c r="AC201" s="50">
        <f>ROUND(IF(AQ201="1",BI201,0),2)</f>
      </c>
      <c r="AD201" s="50">
        <f>ROUND(IF(AQ201="7",BH201,0),2)</f>
      </c>
      <c r="AE201" s="50">
        <f>ROUND(IF(AQ201="7",BI201,0),2)</f>
      </c>
      <c r="AF201" s="50">
        <f>ROUND(IF(AQ201="2",BH201,0),2)</f>
      </c>
      <c r="AG201" s="50">
        <f>ROUND(IF(AQ201="2",BI201,0),2)</f>
      </c>
      <c r="AH201" s="50">
        <f>ROUND(IF(AQ201="0",BJ201,0),2)</f>
      </c>
      <c r="AI201" s="28" t="s">
        <v>363</v>
      </c>
      <c r="AJ201" s="50">
        <f>IF(AN201=0,K201,0)</f>
      </c>
      <c r="AK201" s="50">
        <f>IF(AN201=12,K201,0)</f>
      </c>
      <c r="AL201" s="50">
        <f>IF(AN201=21,K201,0)</f>
      </c>
      <c r="AN201" s="50" t="n">
        <v>21</v>
      </c>
      <c r="AO201" s="50">
        <f>H201*0</f>
      </c>
      <c r="AP201" s="50">
        <f>H201*(1-0)</f>
      </c>
      <c r="AQ201" s="52" t="s">
        <v>57</v>
      </c>
      <c r="AV201" s="50">
        <f>ROUND(AW201+AX201,2)</f>
      </c>
      <c r="AW201" s="50">
        <f>ROUND(G201*AO201,2)</f>
      </c>
      <c r="AX201" s="50">
        <f>ROUND(G201*AP201,2)</f>
      </c>
      <c r="AY201" s="52" t="s">
        <v>491</v>
      </c>
      <c r="AZ201" s="52" t="s">
        <v>476</v>
      </c>
      <c r="BA201" s="28" t="s">
        <v>371</v>
      </c>
      <c r="BC201" s="50">
        <f>AW201+AX201</f>
      </c>
      <c r="BD201" s="50">
        <f>H201/(100-BE201)*100</f>
      </c>
      <c r="BE201" s="50" t="n">
        <v>0</v>
      </c>
      <c r="BF201" s="50">
        <f>201</f>
      </c>
      <c r="BH201" s="50">
        <f>G201*AO201</f>
      </c>
      <c r="BI201" s="50">
        <f>G201*AP201</f>
      </c>
      <c r="BJ201" s="50">
        <f>G201*H201</f>
      </c>
      <c r="BK201" s="52" t="s">
        <v>65</v>
      </c>
      <c r="BL201" s="50" t="n">
        <v>89</v>
      </c>
      <c r="BW201" s="50" t="n">
        <v>21</v>
      </c>
      <c r="BX201" s="14" t="s">
        <v>515</v>
      </c>
    </row>
    <row r="202">
      <c r="A202" s="9" t="s">
        <v>516</v>
      </c>
      <c r="B202" s="10" t="s">
        <v>363</v>
      </c>
      <c r="C202" s="10" t="s">
        <v>517</v>
      </c>
      <c r="D202" s="14" t="s">
        <v>518</v>
      </c>
      <c r="E202" s="10"/>
      <c r="F202" s="10" t="s">
        <v>80</v>
      </c>
      <c r="G202" s="50" t="n">
        <v>4</v>
      </c>
      <c r="H202" s="50" t="n">
        <v>0</v>
      </c>
      <c r="I202" s="50">
        <f>ROUND(G202*AO202,2)</f>
      </c>
      <c r="J202" s="50">
        <f>ROUND(G202*AP202,2)</f>
      </c>
      <c r="K202" s="50">
        <f>ROUND(G202*H202,2)</f>
      </c>
      <c r="L202" s="51" t="s">
        <v>422</v>
      </c>
      <c r="Z202" s="50">
        <f>ROUND(IF(AQ202="5",BJ202,0),2)</f>
      </c>
      <c r="AB202" s="50">
        <f>ROUND(IF(AQ202="1",BH202,0),2)</f>
      </c>
      <c r="AC202" s="50">
        <f>ROUND(IF(AQ202="1",BI202,0),2)</f>
      </c>
      <c r="AD202" s="50">
        <f>ROUND(IF(AQ202="7",BH202,0),2)</f>
      </c>
      <c r="AE202" s="50">
        <f>ROUND(IF(AQ202="7",BI202,0),2)</f>
      </c>
      <c r="AF202" s="50">
        <f>ROUND(IF(AQ202="2",BH202,0),2)</f>
      </c>
      <c r="AG202" s="50">
        <f>ROUND(IF(AQ202="2",BI202,0),2)</f>
      </c>
      <c r="AH202" s="50">
        <f>ROUND(IF(AQ202="0",BJ202,0),2)</f>
      </c>
      <c r="AI202" s="28" t="s">
        <v>363</v>
      </c>
      <c r="AJ202" s="50">
        <f>IF(AN202=0,K202,0)</f>
      </c>
      <c r="AK202" s="50">
        <f>IF(AN202=12,K202,0)</f>
      </c>
      <c r="AL202" s="50">
        <f>IF(AN202=21,K202,0)</f>
      </c>
      <c r="AN202" s="50" t="n">
        <v>21</v>
      </c>
      <c r="AO202" s="50">
        <f>H202*0</f>
      </c>
      <c r="AP202" s="50">
        <f>H202*(1-0)</f>
      </c>
      <c r="AQ202" s="52" t="s">
        <v>57</v>
      </c>
      <c r="AV202" s="50">
        <f>ROUND(AW202+AX202,2)</f>
      </c>
      <c r="AW202" s="50">
        <f>ROUND(G202*AO202,2)</f>
      </c>
      <c r="AX202" s="50">
        <f>ROUND(G202*AP202,2)</f>
      </c>
      <c r="AY202" s="52" t="s">
        <v>491</v>
      </c>
      <c r="AZ202" s="52" t="s">
        <v>476</v>
      </c>
      <c r="BA202" s="28" t="s">
        <v>371</v>
      </c>
      <c r="BC202" s="50">
        <f>AW202+AX202</f>
      </c>
      <c r="BD202" s="50">
        <f>H202/(100-BE202)*100</f>
      </c>
      <c r="BE202" s="50" t="n">
        <v>0</v>
      </c>
      <c r="BF202" s="50">
        <f>202</f>
      </c>
      <c r="BH202" s="50">
        <f>G202*AO202</f>
      </c>
      <c r="BI202" s="50">
        <f>G202*AP202</f>
      </c>
      <c r="BJ202" s="50">
        <f>G202*H202</f>
      </c>
      <c r="BK202" s="52" t="s">
        <v>65</v>
      </c>
      <c r="BL202" s="50" t="n">
        <v>89</v>
      </c>
      <c r="BW202" s="50" t="n">
        <v>21</v>
      </c>
      <c r="BX202" s="14" t="s">
        <v>518</v>
      </c>
    </row>
    <row r="203">
      <c r="A203" s="9" t="s">
        <v>519</v>
      </c>
      <c r="B203" s="10" t="s">
        <v>363</v>
      </c>
      <c r="C203" s="10" t="s">
        <v>520</v>
      </c>
      <c r="D203" s="14" t="s">
        <v>521</v>
      </c>
      <c r="E203" s="10"/>
      <c r="F203" s="10" t="s">
        <v>80</v>
      </c>
      <c r="G203" s="50" t="n">
        <v>7</v>
      </c>
      <c r="H203" s="50" t="n">
        <v>0</v>
      </c>
      <c r="I203" s="50">
        <f>ROUND(G203*AO203,2)</f>
      </c>
      <c r="J203" s="50">
        <f>ROUND(G203*AP203,2)</f>
      </c>
      <c r="K203" s="50">
        <f>ROUND(G203*H203,2)</f>
      </c>
      <c r="L203" s="51" t="s">
        <v>422</v>
      </c>
      <c r="Z203" s="50">
        <f>ROUND(IF(AQ203="5",BJ203,0),2)</f>
      </c>
      <c r="AB203" s="50">
        <f>ROUND(IF(AQ203="1",BH203,0),2)</f>
      </c>
      <c r="AC203" s="50">
        <f>ROUND(IF(AQ203="1",BI203,0),2)</f>
      </c>
      <c r="AD203" s="50">
        <f>ROUND(IF(AQ203="7",BH203,0),2)</f>
      </c>
      <c r="AE203" s="50">
        <f>ROUND(IF(AQ203="7",BI203,0),2)</f>
      </c>
      <c r="AF203" s="50">
        <f>ROUND(IF(AQ203="2",BH203,0),2)</f>
      </c>
      <c r="AG203" s="50">
        <f>ROUND(IF(AQ203="2",BI203,0),2)</f>
      </c>
      <c r="AH203" s="50">
        <f>ROUND(IF(AQ203="0",BJ203,0),2)</f>
      </c>
      <c r="AI203" s="28" t="s">
        <v>363</v>
      </c>
      <c r="AJ203" s="50">
        <f>IF(AN203=0,K203,0)</f>
      </c>
      <c r="AK203" s="50">
        <f>IF(AN203=12,K203,0)</f>
      </c>
      <c r="AL203" s="50">
        <f>IF(AN203=21,K203,0)</f>
      </c>
      <c r="AN203" s="50" t="n">
        <v>21</v>
      </c>
      <c r="AO203" s="50">
        <f>H203*0</f>
      </c>
      <c r="AP203" s="50">
        <f>H203*(1-0)</f>
      </c>
      <c r="AQ203" s="52" t="s">
        <v>57</v>
      </c>
      <c r="AV203" s="50">
        <f>ROUND(AW203+AX203,2)</f>
      </c>
      <c r="AW203" s="50">
        <f>ROUND(G203*AO203,2)</f>
      </c>
      <c r="AX203" s="50">
        <f>ROUND(G203*AP203,2)</f>
      </c>
      <c r="AY203" s="52" t="s">
        <v>491</v>
      </c>
      <c r="AZ203" s="52" t="s">
        <v>476</v>
      </c>
      <c r="BA203" s="28" t="s">
        <v>371</v>
      </c>
      <c r="BC203" s="50">
        <f>AW203+AX203</f>
      </c>
      <c r="BD203" s="50">
        <f>H203/(100-BE203)*100</f>
      </c>
      <c r="BE203" s="50" t="n">
        <v>0</v>
      </c>
      <c r="BF203" s="50">
        <f>203</f>
      </c>
      <c r="BH203" s="50">
        <f>G203*AO203</f>
      </c>
      <c r="BI203" s="50">
        <f>G203*AP203</f>
      </c>
      <c r="BJ203" s="50">
        <f>G203*H203</f>
      </c>
      <c r="BK203" s="52" t="s">
        <v>65</v>
      </c>
      <c r="BL203" s="50" t="n">
        <v>89</v>
      </c>
      <c r="BW203" s="50" t="n">
        <v>21</v>
      </c>
      <c r="BX203" s="14" t="s">
        <v>521</v>
      </c>
    </row>
    <row r="204">
      <c r="A204" s="9" t="s">
        <v>522</v>
      </c>
      <c r="B204" s="10" t="s">
        <v>363</v>
      </c>
      <c r="C204" s="10" t="s">
        <v>523</v>
      </c>
      <c r="D204" s="14" t="s">
        <v>524</v>
      </c>
      <c r="E204" s="10"/>
      <c r="F204" s="10" t="s">
        <v>60</v>
      </c>
      <c r="G204" s="50" t="n">
        <v>1.08839</v>
      </c>
      <c r="H204" s="50" t="n">
        <v>0</v>
      </c>
      <c r="I204" s="50">
        <f>ROUND(G204*AO204,2)</f>
      </c>
      <c r="J204" s="50">
        <f>ROUND(G204*AP204,2)</f>
      </c>
      <c r="K204" s="50">
        <f>ROUND(G204*H204,2)</f>
      </c>
      <c r="L204" s="51" t="s">
        <v>422</v>
      </c>
      <c r="Z204" s="50">
        <f>ROUND(IF(AQ204="5",BJ204,0),2)</f>
      </c>
      <c r="AB204" s="50">
        <f>ROUND(IF(AQ204="1",BH204,0),2)</f>
      </c>
      <c r="AC204" s="50">
        <f>ROUND(IF(AQ204="1",BI204,0),2)</f>
      </c>
      <c r="AD204" s="50">
        <f>ROUND(IF(AQ204="7",BH204,0),2)</f>
      </c>
      <c r="AE204" s="50">
        <f>ROUND(IF(AQ204="7",BI204,0),2)</f>
      </c>
      <c r="AF204" s="50">
        <f>ROUND(IF(AQ204="2",BH204,0),2)</f>
      </c>
      <c r="AG204" s="50">
        <f>ROUND(IF(AQ204="2",BI204,0),2)</f>
      </c>
      <c r="AH204" s="50">
        <f>ROUND(IF(AQ204="0",BJ204,0),2)</f>
      </c>
      <c r="AI204" s="28" t="s">
        <v>363</v>
      </c>
      <c r="AJ204" s="50">
        <f>IF(AN204=0,K204,0)</f>
      </c>
      <c r="AK204" s="50">
        <f>IF(AN204=12,K204,0)</f>
      </c>
      <c r="AL204" s="50">
        <f>IF(AN204=21,K204,0)</f>
      </c>
      <c r="AN204" s="50" t="n">
        <v>21</v>
      </c>
      <c r="AO204" s="50">
        <f>H204*0</f>
      </c>
      <c r="AP204" s="50">
        <f>H204*(1-0)</f>
      </c>
      <c r="AQ204" s="52" t="s">
        <v>57</v>
      </c>
      <c r="AV204" s="50">
        <f>ROUND(AW204+AX204,2)</f>
      </c>
      <c r="AW204" s="50">
        <f>ROUND(G204*AO204,2)</f>
      </c>
      <c r="AX204" s="50">
        <f>ROUND(G204*AP204,2)</f>
      </c>
      <c r="AY204" s="52" t="s">
        <v>491</v>
      </c>
      <c r="AZ204" s="52" t="s">
        <v>476</v>
      </c>
      <c r="BA204" s="28" t="s">
        <v>371</v>
      </c>
      <c r="BC204" s="50">
        <f>AW204+AX204</f>
      </c>
      <c r="BD204" s="50">
        <f>H204/(100-BE204)*100</f>
      </c>
      <c r="BE204" s="50" t="n">
        <v>0</v>
      </c>
      <c r="BF204" s="50">
        <f>204</f>
      </c>
      <c r="BH204" s="50">
        <f>G204*AO204</f>
      </c>
      <c r="BI204" s="50">
        <f>G204*AP204</f>
      </c>
      <c r="BJ204" s="50">
        <f>G204*H204</f>
      </c>
      <c r="BK204" s="52" t="s">
        <v>65</v>
      </c>
      <c r="BL204" s="50" t="n">
        <v>89</v>
      </c>
      <c r="BW204" s="50" t="n">
        <v>21</v>
      </c>
      <c r="BX204" s="14" t="s">
        <v>524</v>
      </c>
    </row>
    <row r="205">
      <c r="A205" s="9" t="s">
        <v>525</v>
      </c>
      <c r="B205" s="10" t="s">
        <v>363</v>
      </c>
      <c r="C205" s="10" t="s">
        <v>526</v>
      </c>
      <c r="D205" s="14" t="s">
        <v>527</v>
      </c>
      <c r="E205" s="10"/>
      <c r="F205" s="10" t="s">
        <v>195</v>
      </c>
      <c r="G205" s="50" t="n">
        <v>1.24387</v>
      </c>
      <c r="H205" s="50" t="n">
        <v>0</v>
      </c>
      <c r="I205" s="50">
        <f>ROUND(G205*AO205,2)</f>
      </c>
      <c r="J205" s="50">
        <f>ROUND(G205*AP205,2)</f>
      </c>
      <c r="K205" s="50">
        <f>ROUND(G205*H205,2)</f>
      </c>
      <c r="L205" s="51" t="s">
        <v>422</v>
      </c>
      <c r="Z205" s="50">
        <f>ROUND(IF(AQ205="5",BJ205,0),2)</f>
      </c>
      <c r="AB205" s="50">
        <f>ROUND(IF(AQ205="1",BH205,0),2)</f>
      </c>
      <c r="AC205" s="50">
        <f>ROUND(IF(AQ205="1",BI205,0),2)</f>
      </c>
      <c r="AD205" s="50">
        <f>ROUND(IF(AQ205="7",BH205,0),2)</f>
      </c>
      <c r="AE205" s="50">
        <f>ROUND(IF(AQ205="7",BI205,0),2)</f>
      </c>
      <c r="AF205" s="50">
        <f>ROUND(IF(AQ205="2",BH205,0),2)</f>
      </c>
      <c r="AG205" s="50">
        <f>ROUND(IF(AQ205="2",BI205,0),2)</f>
      </c>
      <c r="AH205" s="50">
        <f>ROUND(IF(AQ205="0",BJ205,0),2)</f>
      </c>
      <c r="AI205" s="28" t="s">
        <v>363</v>
      </c>
      <c r="AJ205" s="50">
        <f>IF(AN205=0,K205,0)</f>
      </c>
      <c r="AK205" s="50">
        <f>IF(AN205=12,K205,0)</f>
      </c>
      <c r="AL205" s="50">
        <f>IF(AN205=21,K205,0)</f>
      </c>
      <c r="AN205" s="50" t="n">
        <v>21</v>
      </c>
      <c r="AO205" s="50">
        <f>H205*0</f>
      </c>
      <c r="AP205" s="50">
        <f>H205*(1-0)</f>
      </c>
      <c r="AQ205" s="52" t="s">
        <v>57</v>
      </c>
      <c r="AV205" s="50">
        <f>ROUND(AW205+AX205,2)</f>
      </c>
      <c r="AW205" s="50">
        <f>ROUND(G205*AO205,2)</f>
      </c>
      <c r="AX205" s="50">
        <f>ROUND(G205*AP205,2)</f>
      </c>
      <c r="AY205" s="52" t="s">
        <v>491</v>
      </c>
      <c r="AZ205" s="52" t="s">
        <v>476</v>
      </c>
      <c r="BA205" s="28" t="s">
        <v>371</v>
      </c>
      <c r="BC205" s="50">
        <f>AW205+AX205</f>
      </c>
      <c r="BD205" s="50">
        <f>H205/(100-BE205)*100</f>
      </c>
      <c r="BE205" s="50" t="n">
        <v>0</v>
      </c>
      <c r="BF205" s="50">
        <f>205</f>
      </c>
      <c r="BH205" s="50">
        <f>G205*AO205</f>
      </c>
      <c r="BI205" s="50">
        <f>G205*AP205</f>
      </c>
      <c r="BJ205" s="50">
        <f>G205*H205</f>
      </c>
      <c r="BK205" s="52" t="s">
        <v>65</v>
      </c>
      <c r="BL205" s="50" t="n">
        <v>89</v>
      </c>
      <c r="BW205" s="50" t="n">
        <v>21</v>
      </c>
      <c r="BX205" s="14" t="s">
        <v>527</v>
      </c>
    </row>
    <row r="206">
      <c r="A206" s="9" t="s">
        <v>528</v>
      </c>
      <c r="B206" s="10" t="s">
        <v>363</v>
      </c>
      <c r="C206" s="10" t="s">
        <v>529</v>
      </c>
      <c r="D206" s="14" t="s">
        <v>530</v>
      </c>
      <c r="E206" s="10"/>
      <c r="F206" s="10" t="s">
        <v>95</v>
      </c>
      <c r="G206" s="50" t="n">
        <v>92.1</v>
      </c>
      <c r="H206" s="50" t="n">
        <v>0</v>
      </c>
      <c r="I206" s="50">
        <f>ROUND(G206*AO206,2)</f>
      </c>
      <c r="J206" s="50">
        <f>ROUND(G206*AP206,2)</f>
      </c>
      <c r="K206" s="50">
        <f>ROUND(G206*H206,2)</f>
      </c>
      <c r="L206" s="51" t="s">
        <v>422</v>
      </c>
      <c r="Z206" s="50">
        <f>ROUND(IF(AQ206="5",BJ206,0),2)</f>
      </c>
      <c r="AB206" s="50">
        <f>ROUND(IF(AQ206="1",BH206,0),2)</f>
      </c>
      <c r="AC206" s="50">
        <f>ROUND(IF(AQ206="1",BI206,0),2)</f>
      </c>
      <c r="AD206" s="50">
        <f>ROUND(IF(AQ206="7",BH206,0),2)</f>
      </c>
      <c r="AE206" s="50">
        <f>ROUND(IF(AQ206="7",BI206,0),2)</f>
      </c>
      <c r="AF206" s="50">
        <f>ROUND(IF(AQ206="2",BH206,0),2)</f>
      </c>
      <c r="AG206" s="50">
        <f>ROUND(IF(AQ206="2",BI206,0),2)</f>
      </c>
      <c r="AH206" s="50">
        <f>ROUND(IF(AQ206="0",BJ206,0),2)</f>
      </c>
      <c r="AI206" s="28" t="s">
        <v>363</v>
      </c>
      <c r="AJ206" s="50">
        <f>IF(AN206=0,K206,0)</f>
      </c>
      <c r="AK206" s="50">
        <f>IF(AN206=12,K206,0)</f>
      </c>
      <c r="AL206" s="50">
        <f>IF(AN206=21,K206,0)</f>
      </c>
      <c r="AN206" s="50" t="n">
        <v>21</v>
      </c>
      <c r="AO206" s="50">
        <f>H206*0</f>
      </c>
      <c r="AP206" s="50">
        <f>H206*(1-0)</f>
      </c>
      <c r="AQ206" s="52" t="s">
        <v>57</v>
      </c>
      <c r="AV206" s="50">
        <f>ROUND(AW206+AX206,2)</f>
      </c>
      <c r="AW206" s="50">
        <f>ROUND(G206*AO206,2)</f>
      </c>
      <c r="AX206" s="50">
        <f>ROUND(G206*AP206,2)</f>
      </c>
      <c r="AY206" s="52" t="s">
        <v>491</v>
      </c>
      <c r="AZ206" s="52" t="s">
        <v>476</v>
      </c>
      <c r="BA206" s="28" t="s">
        <v>371</v>
      </c>
      <c r="BC206" s="50">
        <f>AW206+AX206</f>
      </c>
      <c r="BD206" s="50">
        <f>H206/(100-BE206)*100</f>
      </c>
      <c r="BE206" s="50" t="n">
        <v>0</v>
      </c>
      <c r="BF206" s="50">
        <f>206</f>
      </c>
      <c r="BH206" s="50">
        <f>G206*AO206</f>
      </c>
      <c r="BI206" s="50">
        <f>G206*AP206</f>
      </c>
      <c r="BJ206" s="50">
        <f>G206*H206</f>
      </c>
      <c r="BK206" s="52" t="s">
        <v>65</v>
      </c>
      <c r="BL206" s="50" t="n">
        <v>89</v>
      </c>
      <c r="BW206" s="50" t="n">
        <v>21</v>
      </c>
      <c r="BX206" s="14" t="s">
        <v>530</v>
      </c>
    </row>
    <row r="207">
      <c r="A207" s="45" t="s">
        <v>52</v>
      </c>
      <c r="B207" s="46" t="s">
        <v>363</v>
      </c>
      <c r="C207" s="46" t="s">
        <v>531</v>
      </c>
      <c r="D207" s="47" t="s">
        <v>532</v>
      </c>
      <c r="E207" s="46"/>
      <c r="F207" s="48" t="s">
        <v>8</v>
      </c>
      <c r="G207" s="48" t="s">
        <v>8</v>
      </c>
      <c r="H207" s="48" t="s">
        <v>8</v>
      </c>
      <c r="I207" s="2">
        <f>SUM(I208:I208)</f>
      </c>
      <c r="J207" s="2">
        <f>SUM(J208:J208)</f>
      </c>
      <c r="K207" s="2">
        <f>SUM(K208:K208)</f>
      </c>
      <c r="L207" s="49" t="s">
        <v>52</v>
      </c>
      <c r="AI207" s="28" t="s">
        <v>363</v>
      </c>
      <c r="AS207" s="2">
        <f>SUM(AJ208:AJ208)</f>
      </c>
      <c r="AT207" s="2">
        <f>SUM(AK208:AK208)</f>
      </c>
      <c r="AU207" s="2">
        <f>SUM(AL208:AL208)</f>
      </c>
    </row>
    <row r="208">
      <c r="A208" s="9" t="s">
        <v>533</v>
      </c>
      <c r="B208" s="10" t="s">
        <v>363</v>
      </c>
      <c r="C208" s="10" t="s">
        <v>534</v>
      </c>
      <c r="D208" s="14" t="s">
        <v>535</v>
      </c>
      <c r="E208" s="10"/>
      <c r="F208" s="10" t="s">
        <v>71</v>
      </c>
      <c r="G208" s="50" t="n">
        <v>110.22</v>
      </c>
      <c r="H208" s="50" t="n">
        <v>0</v>
      </c>
      <c r="I208" s="50">
        <f>ROUND(G208*AO208,2)</f>
      </c>
      <c r="J208" s="50">
        <f>ROUND(G208*AP208,2)</f>
      </c>
      <c r="K208" s="50">
        <f>ROUND(G208*H208,2)</f>
      </c>
      <c r="L208" s="51" t="s">
        <v>422</v>
      </c>
      <c r="Z208" s="50">
        <f>ROUND(IF(AQ208="5",BJ208,0),2)</f>
      </c>
      <c r="AB208" s="50">
        <f>ROUND(IF(AQ208="1",BH208,0),2)</f>
      </c>
      <c r="AC208" s="50">
        <f>ROUND(IF(AQ208="1",BI208,0),2)</f>
      </c>
      <c r="AD208" s="50">
        <f>ROUND(IF(AQ208="7",BH208,0),2)</f>
      </c>
      <c r="AE208" s="50">
        <f>ROUND(IF(AQ208="7",BI208,0),2)</f>
      </c>
      <c r="AF208" s="50">
        <f>ROUND(IF(AQ208="2",BH208,0),2)</f>
      </c>
      <c r="AG208" s="50">
        <f>ROUND(IF(AQ208="2",BI208,0),2)</f>
      </c>
      <c r="AH208" s="50">
        <f>ROUND(IF(AQ208="0",BJ208,0),2)</f>
      </c>
      <c r="AI208" s="28" t="s">
        <v>363</v>
      </c>
      <c r="AJ208" s="50">
        <f>IF(AN208=0,K208,0)</f>
      </c>
      <c r="AK208" s="50">
        <f>IF(AN208=12,K208,0)</f>
      </c>
      <c r="AL208" s="50">
        <f>IF(AN208=21,K208,0)</f>
      </c>
      <c r="AN208" s="50" t="n">
        <v>21</v>
      </c>
      <c r="AO208" s="50">
        <f>H208*0</f>
      </c>
      <c r="AP208" s="50">
        <f>H208*(1-0)</f>
      </c>
      <c r="AQ208" s="52" t="s">
        <v>72</v>
      </c>
      <c r="AV208" s="50">
        <f>ROUND(AW208+AX208,2)</f>
      </c>
      <c r="AW208" s="50">
        <f>ROUND(G208*AO208,2)</f>
      </c>
      <c r="AX208" s="50">
        <f>ROUND(G208*AP208,2)</f>
      </c>
      <c r="AY208" s="52" t="s">
        <v>536</v>
      </c>
      <c r="AZ208" s="52" t="s">
        <v>537</v>
      </c>
      <c r="BA208" s="28" t="s">
        <v>371</v>
      </c>
      <c r="BC208" s="50">
        <f>AW208+AX208</f>
      </c>
      <c r="BD208" s="50">
        <f>H208/(100-BE208)*100</f>
      </c>
      <c r="BE208" s="50" t="n">
        <v>0</v>
      </c>
      <c r="BF208" s="50">
        <f>208</f>
      </c>
      <c r="BH208" s="50">
        <f>G208*AO208</f>
      </c>
      <c r="BI208" s="50">
        <f>G208*AP208</f>
      </c>
      <c r="BJ208" s="50">
        <f>G208*H208</f>
      </c>
      <c r="BK208" s="52" t="s">
        <v>65</v>
      </c>
      <c r="BL208" s="50"/>
      <c r="BW208" s="50" t="n">
        <v>21</v>
      </c>
      <c r="BX208" s="14" t="s">
        <v>535</v>
      </c>
    </row>
    <row r="209">
      <c r="A209" s="45" t="s">
        <v>52</v>
      </c>
      <c r="B209" s="46" t="s">
        <v>363</v>
      </c>
      <c r="C209" s="46" t="s">
        <v>118</v>
      </c>
      <c r="D209" s="47" t="s">
        <v>119</v>
      </c>
      <c r="E209" s="46"/>
      <c r="F209" s="48" t="s">
        <v>8</v>
      </c>
      <c r="G209" s="48" t="s">
        <v>8</v>
      </c>
      <c r="H209" s="48" t="s">
        <v>8</v>
      </c>
      <c r="I209" s="2">
        <f>SUM(I210:I237)</f>
      </c>
      <c r="J209" s="2">
        <f>SUM(J210:J237)</f>
      </c>
      <c r="K209" s="2">
        <f>SUM(K210:K237)</f>
      </c>
      <c r="L209" s="49" t="s">
        <v>52</v>
      </c>
      <c r="AI209" s="28" t="s">
        <v>363</v>
      </c>
      <c r="AS209" s="2">
        <f>SUM(AJ210:AJ237)</f>
      </c>
      <c r="AT209" s="2">
        <f>SUM(AK210:AK237)</f>
      </c>
      <c r="AU209" s="2">
        <f>SUM(AL210:AL237)</f>
      </c>
    </row>
    <row r="210">
      <c r="A210" s="9" t="s">
        <v>538</v>
      </c>
      <c r="B210" s="10" t="s">
        <v>363</v>
      </c>
      <c r="C210" s="10" t="s">
        <v>539</v>
      </c>
      <c r="D210" s="14" t="s">
        <v>540</v>
      </c>
      <c r="E210" s="10"/>
      <c r="F210" s="10" t="s">
        <v>71</v>
      </c>
      <c r="G210" s="50" t="n">
        <v>54.44208</v>
      </c>
      <c r="H210" s="50" t="n">
        <v>0</v>
      </c>
      <c r="I210" s="50">
        <f>ROUND(G210*AO210,2)</f>
      </c>
      <c r="J210" s="50">
        <f>ROUND(G210*AP210,2)</f>
      </c>
      <c r="K210" s="50">
        <f>ROUND(G210*H210,2)</f>
      </c>
      <c r="L210" s="51" t="s">
        <v>61</v>
      </c>
      <c r="Z210" s="50">
        <f>ROUND(IF(AQ210="5",BJ210,0),2)</f>
      </c>
      <c r="AB210" s="50">
        <f>ROUND(IF(AQ210="1",BH210,0),2)</f>
      </c>
      <c r="AC210" s="50">
        <f>ROUND(IF(AQ210="1",BI210,0),2)</f>
      </c>
      <c r="AD210" s="50">
        <f>ROUND(IF(AQ210="7",BH210,0),2)</f>
      </c>
      <c r="AE210" s="50">
        <f>ROUND(IF(AQ210="7",BI210,0),2)</f>
      </c>
      <c r="AF210" s="50">
        <f>ROUND(IF(AQ210="2",BH210,0),2)</f>
      </c>
      <c r="AG210" s="50">
        <f>ROUND(IF(AQ210="2",BI210,0),2)</f>
      </c>
      <c r="AH210" s="50">
        <f>ROUND(IF(AQ210="0",BJ210,0),2)</f>
      </c>
      <c r="AI210" s="28" t="s">
        <v>363</v>
      </c>
      <c r="AJ210" s="50">
        <f>IF(AN210=0,K210,0)</f>
      </c>
      <c r="AK210" s="50">
        <f>IF(AN210=12,K210,0)</f>
      </c>
      <c r="AL210" s="50">
        <f>IF(AN210=21,K210,0)</f>
      </c>
      <c r="AN210" s="50" t="n">
        <v>21</v>
      </c>
      <c r="AO210" s="50">
        <f>H210*1</f>
      </c>
      <c r="AP210" s="50">
        <f>H210*(1-1)</f>
      </c>
      <c r="AQ210" s="52" t="s">
        <v>124</v>
      </c>
      <c r="AV210" s="50">
        <f>ROUND(AW210+AX210,2)</f>
      </c>
      <c r="AW210" s="50">
        <f>ROUND(G210*AO210,2)</f>
      </c>
      <c r="AX210" s="50">
        <f>ROUND(G210*AP210,2)</f>
      </c>
      <c r="AY210" s="52" t="s">
        <v>125</v>
      </c>
      <c r="AZ210" s="52" t="s">
        <v>541</v>
      </c>
      <c r="BA210" s="28" t="s">
        <v>371</v>
      </c>
      <c r="BC210" s="50">
        <f>AW210+AX210</f>
      </c>
      <c r="BD210" s="50">
        <f>H210/(100-BE210)*100</f>
      </c>
      <c r="BE210" s="50" t="n">
        <v>0</v>
      </c>
      <c r="BF210" s="50">
        <f>210</f>
      </c>
      <c r="BH210" s="50">
        <f>G210*AO210</f>
      </c>
      <c r="BI210" s="50">
        <f>G210*AP210</f>
      </c>
      <c r="BJ210" s="50">
        <f>G210*H210</f>
      </c>
      <c r="BK210" s="52" t="s">
        <v>118</v>
      </c>
      <c r="BL210" s="50"/>
      <c r="BW210" s="50" t="n">
        <v>21</v>
      </c>
      <c r="BX210" s="14" t="s">
        <v>540</v>
      </c>
    </row>
    <row r="211">
      <c r="A211" s="9" t="s">
        <v>542</v>
      </c>
      <c r="B211" s="10" t="s">
        <v>363</v>
      </c>
      <c r="C211" s="10" t="s">
        <v>543</v>
      </c>
      <c r="D211" s="14" t="s">
        <v>544</v>
      </c>
      <c r="E211" s="10"/>
      <c r="F211" s="10" t="s">
        <v>80</v>
      </c>
      <c r="G211" s="50" t="n">
        <v>64</v>
      </c>
      <c r="H211" s="50" t="n">
        <v>0</v>
      </c>
      <c r="I211" s="50">
        <f>ROUND(G211*AO211,2)</f>
      </c>
      <c r="J211" s="50">
        <f>ROUND(G211*AP211,2)</f>
      </c>
      <c r="K211" s="50">
        <f>ROUND(G211*H211,2)</f>
      </c>
      <c r="L211" s="51" t="s">
        <v>61</v>
      </c>
      <c r="Z211" s="50">
        <f>ROUND(IF(AQ211="5",BJ211,0),2)</f>
      </c>
      <c r="AB211" s="50">
        <f>ROUND(IF(AQ211="1",BH211,0),2)</f>
      </c>
      <c r="AC211" s="50">
        <f>ROUND(IF(AQ211="1",BI211,0),2)</f>
      </c>
      <c r="AD211" s="50">
        <f>ROUND(IF(AQ211="7",BH211,0),2)</f>
      </c>
      <c r="AE211" s="50">
        <f>ROUND(IF(AQ211="7",BI211,0),2)</f>
      </c>
      <c r="AF211" s="50">
        <f>ROUND(IF(AQ211="2",BH211,0),2)</f>
      </c>
      <c r="AG211" s="50">
        <f>ROUND(IF(AQ211="2",BI211,0),2)</f>
      </c>
      <c r="AH211" s="50">
        <f>ROUND(IF(AQ211="0",BJ211,0),2)</f>
      </c>
      <c r="AI211" s="28" t="s">
        <v>363</v>
      </c>
      <c r="AJ211" s="50">
        <f>IF(AN211=0,K211,0)</f>
      </c>
      <c r="AK211" s="50">
        <f>IF(AN211=12,K211,0)</f>
      </c>
      <c r="AL211" s="50">
        <f>IF(AN211=21,K211,0)</f>
      </c>
      <c r="AN211" s="50" t="n">
        <v>21</v>
      </c>
      <c r="AO211" s="50">
        <f>H211*1</f>
      </c>
      <c r="AP211" s="50">
        <f>H211*(1-1)</f>
      </c>
      <c r="AQ211" s="52" t="s">
        <v>124</v>
      </c>
      <c r="AV211" s="50">
        <f>ROUND(AW211+AX211,2)</f>
      </c>
      <c r="AW211" s="50">
        <f>ROUND(G211*AO211,2)</f>
      </c>
      <c r="AX211" s="50">
        <f>ROUND(G211*AP211,2)</f>
      </c>
      <c r="AY211" s="52" t="s">
        <v>125</v>
      </c>
      <c r="AZ211" s="52" t="s">
        <v>541</v>
      </c>
      <c r="BA211" s="28" t="s">
        <v>371</v>
      </c>
      <c r="BC211" s="50">
        <f>AW211+AX211</f>
      </c>
      <c r="BD211" s="50">
        <f>H211/(100-BE211)*100</f>
      </c>
      <c r="BE211" s="50" t="n">
        <v>0</v>
      </c>
      <c r="BF211" s="50">
        <f>211</f>
      </c>
      <c r="BH211" s="50">
        <f>G211*AO211</f>
      </c>
      <c r="BI211" s="50">
        <f>G211*AP211</f>
      </c>
      <c r="BJ211" s="50">
        <f>G211*H211</f>
      </c>
      <c r="BK211" s="52" t="s">
        <v>118</v>
      </c>
      <c r="BL211" s="50"/>
      <c r="BW211" s="50" t="n">
        <v>21</v>
      </c>
      <c r="BX211" s="14" t="s">
        <v>544</v>
      </c>
    </row>
    <row r="212">
      <c r="A212" s="9" t="s">
        <v>545</v>
      </c>
      <c r="B212" s="10" t="s">
        <v>363</v>
      </c>
      <c r="C212" s="10" t="s">
        <v>546</v>
      </c>
      <c r="D212" s="14" t="s">
        <v>547</v>
      </c>
      <c r="E212" s="10"/>
      <c r="F212" s="10" t="s">
        <v>275</v>
      </c>
      <c r="G212" s="50" t="n">
        <v>160</v>
      </c>
      <c r="H212" s="50" t="n">
        <v>0</v>
      </c>
      <c r="I212" s="50">
        <f>ROUND(G212*AO212,2)</f>
      </c>
      <c r="J212" s="50">
        <f>ROUND(G212*AP212,2)</f>
      </c>
      <c r="K212" s="50">
        <f>ROUND(G212*H212,2)</f>
      </c>
      <c r="L212" s="51" t="s">
        <v>61</v>
      </c>
      <c r="Z212" s="50">
        <f>ROUND(IF(AQ212="5",BJ212,0),2)</f>
      </c>
      <c r="AB212" s="50">
        <f>ROUND(IF(AQ212="1",BH212,0),2)</f>
      </c>
      <c r="AC212" s="50">
        <f>ROUND(IF(AQ212="1",BI212,0),2)</f>
      </c>
      <c r="AD212" s="50">
        <f>ROUND(IF(AQ212="7",BH212,0),2)</f>
      </c>
      <c r="AE212" s="50">
        <f>ROUND(IF(AQ212="7",BI212,0),2)</f>
      </c>
      <c r="AF212" s="50">
        <f>ROUND(IF(AQ212="2",BH212,0),2)</f>
      </c>
      <c r="AG212" s="50">
        <f>ROUND(IF(AQ212="2",BI212,0),2)</f>
      </c>
      <c r="AH212" s="50">
        <f>ROUND(IF(AQ212="0",BJ212,0),2)</f>
      </c>
      <c r="AI212" s="28" t="s">
        <v>363</v>
      </c>
      <c r="AJ212" s="50">
        <f>IF(AN212=0,K212,0)</f>
      </c>
      <c r="AK212" s="50">
        <f>IF(AN212=12,K212,0)</f>
      </c>
      <c r="AL212" s="50">
        <f>IF(AN212=21,K212,0)</f>
      </c>
      <c r="AN212" s="50" t="n">
        <v>21</v>
      </c>
      <c r="AO212" s="50">
        <f>H212*1</f>
      </c>
      <c r="AP212" s="50">
        <f>H212*(1-1)</f>
      </c>
      <c r="AQ212" s="52" t="s">
        <v>124</v>
      </c>
      <c r="AV212" s="50">
        <f>ROUND(AW212+AX212,2)</f>
      </c>
      <c r="AW212" s="50">
        <f>ROUND(G212*AO212,2)</f>
      </c>
      <c r="AX212" s="50">
        <f>ROUND(G212*AP212,2)</f>
      </c>
      <c r="AY212" s="52" t="s">
        <v>125</v>
      </c>
      <c r="AZ212" s="52" t="s">
        <v>541</v>
      </c>
      <c r="BA212" s="28" t="s">
        <v>371</v>
      </c>
      <c r="BC212" s="50">
        <f>AW212+AX212</f>
      </c>
      <c r="BD212" s="50">
        <f>H212/(100-BE212)*100</f>
      </c>
      <c r="BE212" s="50" t="n">
        <v>0</v>
      </c>
      <c r="BF212" s="50">
        <f>212</f>
      </c>
      <c r="BH212" s="50">
        <f>G212*AO212</f>
      </c>
      <c r="BI212" s="50">
        <f>G212*AP212</f>
      </c>
      <c r="BJ212" s="50">
        <f>G212*H212</f>
      </c>
      <c r="BK212" s="52" t="s">
        <v>118</v>
      </c>
      <c r="BL212" s="50"/>
      <c r="BW212" s="50" t="n">
        <v>21</v>
      </c>
      <c r="BX212" s="14" t="s">
        <v>547</v>
      </c>
    </row>
    <row r="213">
      <c r="A213" s="9" t="s">
        <v>548</v>
      </c>
      <c r="B213" s="10" t="s">
        <v>363</v>
      </c>
      <c r="C213" s="10" t="s">
        <v>549</v>
      </c>
      <c r="D213" s="14" t="s">
        <v>550</v>
      </c>
      <c r="E213" s="10"/>
      <c r="F213" s="10" t="s">
        <v>71</v>
      </c>
      <c r="G213" s="50" t="n">
        <v>3.26656</v>
      </c>
      <c r="H213" s="50" t="n">
        <v>0</v>
      </c>
      <c r="I213" s="50">
        <f>ROUND(G213*AO213,2)</f>
      </c>
      <c r="J213" s="50">
        <f>ROUND(G213*AP213,2)</f>
      </c>
      <c r="K213" s="50">
        <f>ROUND(G213*H213,2)</f>
      </c>
      <c r="L213" s="51" t="s">
        <v>61</v>
      </c>
      <c r="Z213" s="50">
        <f>ROUND(IF(AQ213="5",BJ213,0),2)</f>
      </c>
      <c r="AB213" s="50">
        <f>ROUND(IF(AQ213="1",BH213,0),2)</f>
      </c>
      <c r="AC213" s="50">
        <f>ROUND(IF(AQ213="1",BI213,0),2)</f>
      </c>
      <c r="AD213" s="50">
        <f>ROUND(IF(AQ213="7",BH213,0),2)</f>
      </c>
      <c r="AE213" s="50">
        <f>ROUND(IF(AQ213="7",BI213,0),2)</f>
      </c>
      <c r="AF213" s="50">
        <f>ROUND(IF(AQ213="2",BH213,0),2)</f>
      </c>
      <c r="AG213" s="50">
        <f>ROUND(IF(AQ213="2",BI213,0),2)</f>
      </c>
      <c r="AH213" s="50">
        <f>ROUND(IF(AQ213="0",BJ213,0),2)</f>
      </c>
      <c r="AI213" s="28" t="s">
        <v>363</v>
      </c>
      <c r="AJ213" s="50">
        <f>IF(AN213=0,K213,0)</f>
      </c>
      <c r="AK213" s="50">
        <f>IF(AN213=12,K213,0)</f>
      </c>
      <c r="AL213" s="50">
        <f>IF(AN213=21,K213,0)</f>
      </c>
      <c r="AN213" s="50" t="n">
        <v>21</v>
      </c>
      <c r="AO213" s="50">
        <f>H213*1</f>
      </c>
      <c r="AP213" s="50">
        <f>H213*(1-1)</f>
      </c>
      <c r="AQ213" s="52" t="s">
        <v>124</v>
      </c>
      <c r="AV213" s="50">
        <f>ROUND(AW213+AX213,2)</f>
      </c>
      <c r="AW213" s="50">
        <f>ROUND(G213*AO213,2)</f>
      </c>
      <c r="AX213" s="50">
        <f>ROUND(G213*AP213,2)</f>
      </c>
      <c r="AY213" s="52" t="s">
        <v>125</v>
      </c>
      <c r="AZ213" s="52" t="s">
        <v>541</v>
      </c>
      <c r="BA213" s="28" t="s">
        <v>371</v>
      </c>
      <c r="BC213" s="50">
        <f>AW213+AX213</f>
      </c>
      <c r="BD213" s="50">
        <f>H213/(100-BE213)*100</f>
      </c>
      <c r="BE213" s="50" t="n">
        <v>0</v>
      </c>
      <c r="BF213" s="50">
        <f>213</f>
      </c>
      <c r="BH213" s="50">
        <f>G213*AO213</f>
      </c>
      <c r="BI213" s="50">
        <f>G213*AP213</f>
      </c>
      <c r="BJ213" s="50">
        <f>G213*H213</f>
      </c>
      <c r="BK213" s="52" t="s">
        <v>118</v>
      </c>
      <c r="BL213" s="50"/>
      <c r="BW213" s="50" t="n">
        <v>21</v>
      </c>
      <c r="BX213" s="14" t="s">
        <v>550</v>
      </c>
    </row>
    <row r="214">
      <c r="A214" s="9" t="s">
        <v>551</v>
      </c>
      <c r="B214" s="10" t="s">
        <v>363</v>
      </c>
      <c r="C214" s="10" t="s">
        <v>552</v>
      </c>
      <c r="D214" s="14" t="s">
        <v>553</v>
      </c>
      <c r="E214" s="10"/>
      <c r="F214" s="10" t="s">
        <v>195</v>
      </c>
      <c r="G214" s="50" t="n">
        <v>139.104</v>
      </c>
      <c r="H214" s="50" t="n">
        <v>0</v>
      </c>
      <c r="I214" s="50">
        <f>ROUND(G214*AO214,2)</f>
      </c>
      <c r="J214" s="50">
        <f>ROUND(G214*AP214,2)</f>
      </c>
      <c r="K214" s="50">
        <f>ROUND(G214*H214,2)</f>
      </c>
      <c r="L214" s="51" t="s">
        <v>61</v>
      </c>
      <c r="Z214" s="50">
        <f>ROUND(IF(AQ214="5",BJ214,0),2)</f>
      </c>
      <c r="AB214" s="50">
        <f>ROUND(IF(AQ214="1",BH214,0),2)</f>
      </c>
      <c r="AC214" s="50">
        <f>ROUND(IF(AQ214="1",BI214,0),2)</f>
      </c>
      <c r="AD214" s="50">
        <f>ROUND(IF(AQ214="7",BH214,0),2)</f>
      </c>
      <c r="AE214" s="50">
        <f>ROUND(IF(AQ214="7",BI214,0),2)</f>
      </c>
      <c r="AF214" s="50">
        <f>ROUND(IF(AQ214="2",BH214,0),2)</f>
      </c>
      <c r="AG214" s="50">
        <f>ROUND(IF(AQ214="2",BI214,0),2)</f>
      </c>
      <c r="AH214" s="50">
        <f>ROUND(IF(AQ214="0",BJ214,0),2)</f>
      </c>
      <c r="AI214" s="28" t="s">
        <v>363</v>
      </c>
      <c r="AJ214" s="50">
        <f>IF(AN214=0,K214,0)</f>
      </c>
      <c r="AK214" s="50">
        <f>IF(AN214=12,K214,0)</f>
      </c>
      <c r="AL214" s="50">
        <f>IF(AN214=21,K214,0)</f>
      </c>
      <c r="AN214" s="50" t="n">
        <v>21</v>
      </c>
      <c r="AO214" s="50">
        <f>H214*1</f>
      </c>
      <c r="AP214" s="50">
        <f>H214*(1-1)</f>
      </c>
      <c r="AQ214" s="52" t="s">
        <v>124</v>
      </c>
      <c r="AV214" s="50">
        <f>ROUND(AW214+AX214,2)</f>
      </c>
      <c r="AW214" s="50">
        <f>ROUND(G214*AO214,2)</f>
      </c>
      <c r="AX214" s="50">
        <f>ROUND(G214*AP214,2)</f>
      </c>
      <c r="AY214" s="52" t="s">
        <v>125</v>
      </c>
      <c r="AZ214" s="52" t="s">
        <v>541</v>
      </c>
      <c r="BA214" s="28" t="s">
        <v>371</v>
      </c>
      <c r="BC214" s="50">
        <f>AW214+AX214</f>
      </c>
      <c r="BD214" s="50">
        <f>H214/(100-BE214)*100</f>
      </c>
      <c r="BE214" s="50" t="n">
        <v>0</v>
      </c>
      <c r="BF214" s="50">
        <f>214</f>
      </c>
      <c r="BH214" s="50">
        <f>G214*AO214</f>
      </c>
      <c r="BI214" s="50">
        <f>G214*AP214</f>
      </c>
      <c r="BJ214" s="50">
        <f>G214*H214</f>
      </c>
      <c r="BK214" s="52" t="s">
        <v>118</v>
      </c>
      <c r="BL214" s="50"/>
      <c r="BW214" s="50" t="n">
        <v>21</v>
      </c>
      <c r="BX214" s="14" t="s">
        <v>553</v>
      </c>
    </row>
    <row r="215">
      <c r="A215" s="9" t="s">
        <v>554</v>
      </c>
      <c r="B215" s="10" t="s">
        <v>363</v>
      </c>
      <c r="C215" s="10" t="s">
        <v>555</v>
      </c>
      <c r="D215" s="14" t="s">
        <v>556</v>
      </c>
      <c r="E215" s="10"/>
      <c r="F215" s="10" t="s">
        <v>80</v>
      </c>
      <c r="G215" s="50" t="n">
        <v>2</v>
      </c>
      <c r="H215" s="50" t="n">
        <v>0</v>
      </c>
      <c r="I215" s="50">
        <f>ROUND(G215*AO215,2)</f>
      </c>
      <c r="J215" s="50">
        <f>ROUND(G215*AP215,2)</f>
      </c>
      <c r="K215" s="50">
        <f>ROUND(G215*H215,2)</f>
      </c>
      <c r="L215" s="51" t="s">
        <v>61</v>
      </c>
      <c r="Z215" s="50">
        <f>ROUND(IF(AQ215="5",BJ215,0),2)</f>
      </c>
      <c r="AB215" s="50">
        <f>ROUND(IF(AQ215="1",BH215,0),2)</f>
      </c>
      <c r="AC215" s="50">
        <f>ROUND(IF(AQ215="1",BI215,0),2)</f>
      </c>
      <c r="AD215" s="50">
        <f>ROUND(IF(AQ215="7",BH215,0),2)</f>
      </c>
      <c r="AE215" s="50">
        <f>ROUND(IF(AQ215="7",BI215,0),2)</f>
      </c>
      <c r="AF215" s="50">
        <f>ROUND(IF(AQ215="2",BH215,0),2)</f>
      </c>
      <c r="AG215" s="50">
        <f>ROUND(IF(AQ215="2",BI215,0),2)</f>
      </c>
      <c r="AH215" s="50">
        <f>ROUND(IF(AQ215="0",BJ215,0),2)</f>
      </c>
      <c r="AI215" s="28" t="s">
        <v>363</v>
      </c>
      <c r="AJ215" s="50">
        <f>IF(AN215=0,K215,0)</f>
      </c>
      <c r="AK215" s="50">
        <f>IF(AN215=12,K215,0)</f>
      </c>
      <c r="AL215" s="50">
        <f>IF(AN215=21,K215,0)</f>
      </c>
      <c r="AN215" s="50" t="n">
        <v>21</v>
      </c>
      <c r="AO215" s="50">
        <f>H215*1</f>
      </c>
      <c r="AP215" s="50">
        <f>H215*(1-1)</f>
      </c>
      <c r="AQ215" s="52" t="s">
        <v>124</v>
      </c>
      <c r="AV215" s="50">
        <f>ROUND(AW215+AX215,2)</f>
      </c>
      <c r="AW215" s="50">
        <f>ROUND(G215*AO215,2)</f>
      </c>
      <c r="AX215" s="50">
        <f>ROUND(G215*AP215,2)</f>
      </c>
      <c r="AY215" s="52" t="s">
        <v>125</v>
      </c>
      <c r="AZ215" s="52" t="s">
        <v>541</v>
      </c>
      <c r="BA215" s="28" t="s">
        <v>371</v>
      </c>
      <c r="BC215" s="50">
        <f>AW215+AX215</f>
      </c>
      <c r="BD215" s="50">
        <f>H215/(100-BE215)*100</f>
      </c>
      <c r="BE215" s="50" t="n">
        <v>0</v>
      </c>
      <c r="BF215" s="50">
        <f>215</f>
      </c>
      <c r="BH215" s="50">
        <f>G215*AO215</f>
      </c>
      <c r="BI215" s="50">
        <f>G215*AP215</f>
      </c>
      <c r="BJ215" s="50">
        <f>G215*H215</f>
      </c>
      <c r="BK215" s="52" t="s">
        <v>118</v>
      </c>
      <c r="BL215" s="50"/>
      <c r="BW215" s="50" t="n">
        <v>21</v>
      </c>
      <c r="BX215" s="14" t="s">
        <v>556</v>
      </c>
    </row>
    <row r="216">
      <c r="A216" s="9" t="s">
        <v>557</v>
      </c>
      <c r="B216" s="10" t="s">
        <v>363</v>
      </c>
      <c r="C216" s="10" t="s">
        <v>558</v>
      </c>
      <c r="D216" s="14" t="s">
        <v>559</v>
      </c>
      <c r="E216" s="10"/>
      <c r="F216" s="10" t="s">
        <v>80</v>
      </c>
      <c r="G216" s="50" t="n">
        <v>2.02</v>
      </c>
      <c r="H216" s="50" t="n">
        <v>0</v>
      </c>
      <c r="I216" s="50">
        <f>ROUND(G216*AO216,2)</f>
      </c>
      <c r="J216" s="50">
        <f>ROUND(G216*AP216,2)</f>
      </c>
      <c r="K216" s="50">
        <f>ROUND(G216*H216,2)</f>
      </c>
      <c r="L216" s="51" t="s">
        <v>61</v>
      </c>
      <c r="Z216" s="50">
        <f>ROUND(IF(AQ216="5",BJ216,0),2)</f>
      </c>
      <c r="AB216" s="50">
        <f>ROUND(IF(AQ216="1",BH216,0),2)</f>
      </c>
      <c r="AC216" s="50">
        <f>ROUND(IF(AQ216="1",BI216,0),2)</f>
      </c>
      <c r="AD216" s="50">
        <f>ROUND(IF(AQ216="7",BH216,0),2)</f>
      </c>
      <c r="AE216" s="50">
        <f>ROUND(IF(AQ216="7",BI216,0),2)</f>
      </c>
      <c r="AF216" s="50">
        <f>ROUND(IF(AQ216="2",BH216,0),2)</f>
      </c>
      <c r="AG216" s="50">
        <f>ROUND(IF(AQ216="2",BI216,0),2)</f>
      </c>
      <c r="AH216" s="50">
        <f>ROUND(IF(AQ216="0",BJ216,0),2)</f>
      </c>
      <c r="AI216" s="28" t="s">
        <v>363</v>
      </c>
      <c r="AJ216" s="50">
        <f>IF(AN216=0,K216,0)</f>
      </c>
      <c r="AK216" s="50">
        <f>IF(AN216=12,K216,0)</f>
      </c>
      <c r="AL216" s="50">
        <f>IF(AN216=21,K216,0)</f>
      </c>
      <c r="AN216" s="50" t="n">
        <v>21</v>
      </c>
      <c r="AO216" s="50">
        <f>H216*1</f>
      </c>
      <c r="AP216" s="50">
        <f>H216*(1-1)</f>
      </c>
      <c r="AQ216" s="52" t="s">
        <v>124</v>
      </c>
      <c r="AV216" s="50">
        <f>ROUND(AW216+AX216,2)</f>
      </c>
      <c r="AW216" s="50">
        <f>ROUND(G216*AO216,2)</f>
      </c>
      <c r="AX216" s="50">
        <f>ROUND(G216*AP216,2)</f>
      </c>
      <c r="AY216" s="52" t="s">
        <v>125</v>
      </c>
      <c r="AZ216" s="52" t="s">
        <v>541</v>
      </c>
      <c r="BA216" s="28" t="s">
        <v>371</v>
      </c>
      <c r="BC216" s="50">
        <f>AW216+AX216</f>
      </c>
      <c r="BD216" s="50">
        <f>H216/(100-BE216)*100</f>
      </c>
      <c r="BE216" s="50" t="n">
        <v>0</v>
      </c>
      <c r="BF216" s="50">
        <f>216</f>
      </c>
      <c r="BH216" s="50">
        <f>G216*AO216</f>
      </c>
      <c r="BI216" s="50">
        <f>G216*AP216</f>
      </c>
      <c r="BJ216" s="50">
        <f>G216*H216</f>
      </c>
      <c r="BK216" s="52" t="s">
        <v>118</v>
      </c>
      <c r="BL216" s="50"/>
      <c r="BW216" s="50" t="n">
        <v>21</v>
      </c>
      <c r="BX216" s="14" t="s">
        <v>559</v>
      </c>
    </row>
    <row r="217">
      <c r="A217" s="9" t="s">
        <v>560</v>
      </c>
      <c r="B217" s="10" t="s">
        <v>363</v>
      </c>
      <c r="C217" s="10" t="s">
        <v>561</v>
      </c>
      <c r="D217" s="14" t="s">
        <v>562</v>
      </c>
      <c r="E217" s="10"/>
      <c r="F217" s="10" t="s">
        <v>80</v>
      </c>
      <c r="G217" s="50" t="n">
        <v>48</v>
      </c>
      <c r="H217" s="50" t="n">
        <v>0</v>
      </c>
      <c r="I217" s="50">
        <f>ROUND(G217*AO217,2)</f>
      </c>
      <c r="J217" s="50">
        <f>ROUND(G217*AP217,2)</f>
      </c>
      <c r="K217" s="50">
        <f>ROUND(G217*H217,2)</f>
      </c>
      <c r="L217" s="51" t="s">
        <v>61</v>
      </c>
      <c r="Z217" s="50">
        <f>ROUND(IF(AQ217="5",BJ217,0),2)</f>
      </c>
      <c r="AB217" s="50">
        <f>ROUND(IF(AQ217="1",BH217,0),2)</f>
      </c>
      <c r="AC217" s="50">
        <f>ROUND(IF(AQ217="1",BI217,0),2)</f>
      </c>
      <c r="AD217" s="50">
        <f>ROUND(IF(AQ217="7",BH217,0),2)</f>
      </c>
      <c r="AE217" s="50">
        <f>ROUND(IF(AQ217="7",BI217,0),2)</f>
      </c>
      <c r="AF217" s="50">
        <f>ROUND(IF(AQ217="2",BH217,0),2)</f>
      </c>
      <c r="AG217" s="50">
        <f>ROUND(IF(AQ217="2",BI217,0),2)</f>
      </c>
      <c r="AH217" s="50">
        <f>ROUND(IF(AQ217="0",BJ217,0),2)</f>
      </c>
      <c r="AI217" s="28" t="s">
        <v>363</v>
      </c>
      <c r="AJ217" s="50">
        <f>IF(AN217=0,K217,0)</f>
      </c>
      <c r="AK217" s="50">
        <f>IF(AN217=12,K217,0)</f>
      </c>
      <c r="AL217" s="50">
        <f>IF(AN217=21,K217,0)</f>
      </c>
      <c r="AN217" s="50" t="n">
        <v>21</v>
      </c>
      <c r="AO217" s="50">
        <f>H217*1</f>
      </c>
      <c r="AP217" s="50">
        <f>H217*(1-1)</f>
      </c>
      <c r="AQ217" s="52" t="s">
        <v>124</v>
      </c>
      <c r="AV217" s="50">
        <f>ROUND(AW217+AX217,2)</f>
      </c>
      <c r="AW217" s="50">
        <f>ROUND(G217*AO217,2)</f>
      </c>
      <c r="AX217" s="50">
        <f>ROUND(G217*AP217,2)</f>
      </c>
      <c r="AY217" s="52" t="s">
        <v>125</v>
      </c>
      <c r="AZ217" s="52" t="s">
        <v>541</v>
      </c>
      <c r="BA217" s="28" t="s">
        <v>371</v>
      </c>
      <c r="BC217" s="50">
        <f>AW217+AX217</f>
      </c>
      <c r="BD217" s="50">
        <f>H217/(100-BE217)*100</f>
      </c>
      <c r="BE217" s="50" t="n">
        <v>0</v>
      </c>
      <c r="BF217" s="50">
        <f>217</f>
      </c>
      <c r="BH217" s="50">
        <f>G217*AO217</f>
      </c>
      <c r="BI217" s="50">
        <f>G217*AP217</f>
      </c>
      <c r="BJ217" s="50">
        <f>G217*H217</f>
      </c>
      <c r="BK217" s="52" t="s">
        <v>118</v>
      </c>
      <c r="BL217" s="50"/>
      <c r="BW217" s="50" t="n">
        <v>21</v>
      </c>
      <c r="BX217" s="14" t="s">
        <v>562</v>
      </c>
    </row>
    <row r="218">
      <c r="A218" s="9" t="s">
        <v>563</v>
      </c>
      <c r="B218" s="10" t="s">
        <v>363</v>
      </c>
      <c r="C218" s="10" t="s">
        <v>564</v>
      </c>
      <c r="D218" s="14" t="s">
        <v>565</v>
      </c>
      <c r="E218" s="10"/>
      <c r="F218" s="10" t="s">
        <v>80</v>
      </c>
      <c r="G218" s="50" t="n">
        <v>47</v>
      </c>
      <c r="H218" s="50" t="n">
        <v>0</v>
      </c>
      <c r="I218" s="50">
        <f>ROUND(G218*AO218,2)</f>
      </c>
      <c r="J218" s="50">
        <f>ROUND(G218*AP218,2)</f>
      </c>
      <c r="K218" s="50">
        <f>ROUND(G218*H218,2)</f>
      </c>
      <c r="L218" s="51" t="s">
        <v>61</v>
      </c>
      <c r="Z218" s="50">
        <f>ROUND(IF(AQ218="5",BJ218,0),2)</f>
      </c>
      <c r="AB218" s="50">
        <f>ROUND(IF(AQ218="1",BH218,0),2)</f>
      </c>
      <c r="AC218" s="50">
        <f>ROUND(IF(AQ218="1",BI218,0),2)</f>
      </c>
      <c r="AD218" s="50">
        <f>ROUND(IF(AQ218="7",BH218,0),2)</f>
      </c>
      <c r="AE218" s="50">
        <f>ROUND(IF(AQ218="7",BI218,0),2)</f>
      </c>
      <c r="AF218" s="50">
        <f>ROUND(IF(AQ218="2",BH218,0),2)</f>
      </c>
      <c r="AG218" s="50">
        <f>ROUND(IF(AQ218="2",BI218,0),2)</f>
      </c>
      <c r="AH218" s="50">
        <f>ROUND(IF(AQ218="0",BJ218,0),2)</f>
      </c>
      <c r="AI218" s="28" t="s">
        <v>363</v>
      </c>
      <c r="AJ218" s="50">
        <f>IF(AN218=0,K218,0)</f>
      </c>
      <c r="AK218" s="50">
        <f>IF(AN218=12,K218,0)</f>
      </c>
      <c r="AL218" s="50">
        <f>IF(AN218=21,K218,0)</f>
      </c>
      <c r="AN218" s="50" t="n">
        <v>21</v>
      </c>
      <c r="AO218" s="50">
        <f>H218*1</f>
      </c>
      <c r="AP218" s="50">
        <f>H218*(1-1)</f>
      </c>
      <c r="AQ218" s="52" t="s">
        <v>124</v>
      </c>
      <c r="AV218" s="50">
        <f>ROUND(AW218+AX218,2)</f>
      </c>
      <c r="AW218" s="50">
        <f>ROUND(G218*AO218,2)</f>
      </c>
      <c r="AX218" s="50">
        <f>ROUND(G218*AP218,2)</f>
      </c>
      <c r="AY218" s="52" t="s">
        <v>125</v>
      </c>
      <c r="AZ218" s="52" t="s">
        <v>541</v>
      </c>
      <c r="BA218" s="28" t="s">
        <v>371</v>
      </c>
      <c r="BC218" s="50">
        <f>AW218+AX218</f>
      </c>
      <c r="BD218" s="50">
        <f>H218/(100-BE218)*100</f>
      </c>
      <c r="BE218" s="50" t="n">
        <v>0</v>
      </c>
      <c r="BF218" s="50">
        <f>218</f>
      </c>
      <c r="BH218" s="50">
        <f>G218*AO218</f>
      </c>
      <c r="BI218" s="50">
        <f>G218*AP218</f>
      </c>
      <c r="BJ218" s="50">
        <f>G218*H218</f>
      </c>
      <c r="BK218" s="52" t="s">
        <v>118</v>
      </c>
      <c r="BL218" s="50"/>
      <c r="BW218" s="50" t="n">
        <v>21</v>
      </c>
      <c r="BX218" s="14" t="s">
        <v>565</v>
      </c>
    </row>
    <row r="219">
      <c r="A219" s="9" t="s">
        <v>566</v>
      </c>
      <c r="B219" s="10" t="s">
        <v>363</v>
      </c>
      <c r="C219" s="10" t="s">
        <v>567</v>
      </c>
      <c r="D219" s="14" t="s">
        <v>568</v>
      </c>
      <c r="E219" s="10"/>
      <c r="F219" s="10" t="s">
        <v>80</v>
      </c>
      <c r="G219" s="50" t="n">
        <v>5</v>
      </c>
      <c r="H219" s="50" t="n">
        <v>0</v>
      </c>
      <c r="I219" s="50">
        <f>ROUND(G219*AO219,2)</f>
      </c>
      <c r="J219" s="50">
        <f>ROUND(G219*AP219,2)</f>
      </c>
      <c r="K219" s="50">
        <f>ROUND(G219*H219,2)</f>
      </c>
      <c r="L219" s="51" t="s">
        <v>61</v>
      </c>
      <c r="Z219" s="50">
        <f>ROUND(IF(AQ219="5",BJ219,0),2)</f>
      </c>
      <c r="AB219" s="50">
        <f>ROUND(IF(AQ219="1",BH219,0),2)</f>
      </c>
      <c r="AC219" s="50">
        <f>ROUND(IF(AQ219="1",BI219,0),2)</f>
      </c>
      <c r="AD219" s="50">
        <f>ROUND(IF(AQ219="7",BH219,0),2)</f>
      </c>
      <c r="AE219" s="50">
        <f>ROUND(IF(AQ219="7",BI219,0),2)</f>
      </c>
      <c r="AF219" s="50">
        <f>ROUND(IF(AQ219="2",BH219,0),2)</f>
      </c>
      <c r="AG219" s="50">
        <f>ROUND(IF(AQ219="2",BI219,0),2)</f>
      </c>
      <c r="AH219" s="50">
        <f>ROUND(IF(AQ219="0",BJ219,0),2)</f>
      </c>
      <c r="AI219" s="28" t="s">
        <v>363</v>
      </c>
      <c r="AJ219" s="50">
        <f>IF(AN219=0,K219,0)</f>
      </c>
      <c r="AK219" s="50">
        <f>IF(AN219=12,K219,0)</f>
      </c>
      <c r="AL219" s="50">
        <f>IF(AN219=21,K219,0)</f>
      </c>
      <c r="AN219" s="50" t="n">
        <v>21</v>
      </c>
      <c r="AO219" s="50">
        <f>H219*1</f>
      </c>
      <c r="AP219" s="50">
        <f>H219*(1-1)</f>
      </c>
      <c r="AQ219" s="52" t="s">
        <v>124</v>
      </c>
      <c r="AV219" s="50">
        <f>ROUND(AW219+AX219,2)</f>
      </c>
      <c r="AW219" s="50">
        <f>ROUND(G219*AO219,2)</f>
      </c>
      <c r="AX219" s="50">
        <f>ROUND(G219*AP219,2)</f>
      </c>
      <c r="AY219" s="52" t="s">
        <v>125</v>
      </c>
      <c r="AZ219" s="52" t="s">
        <v>541</v>
      </c>
      <c r="BA219" s="28" t="s">
        <v>371</v>
      </c>
      <c r="BC219" s="50">
        <f>AW219+AX219</f>
      </c>
      <c r="BD219" s="50">
        <f>H219/(100-BE219)*100</f>
      </c>
      <c r="BE219" s="50" t="n">
        <v>0</v>
      </c>
      <c r="BF219" s="50">
        <f>219</f>
      </c>
      <c r="BH219" s="50">
        <f>G219*AO219</f>
      </c>
      <c r="BI219" s="50">
        <f>G219*AP219</f>
      </c>
      <c r="BJ219" s="50">
        <f>G219*H219</f>
      </c>
      <c r="BK219" s="52" t="s">
        <v>118</v>
      </c>
      <c r="BL219" s="50"/>
      <c r="BW219" s="50" t="n">
        <v>21</v>
      </c>
      <c r="BX219" s="14" t="s">
        <v>568</v>
      </c>
    </row>
    <row r="220">
      <c r="A220" s="9" t="s">
        <v>569</v>
      </c>
      <c r="B220" s="10" t="s">
        <v>363</v>
      </c>
      <c r="C220" s="10" t="s">
        <v>570</v>
      </c>
      <c r="D220" s="14" t="s">
        <v>571</v>
      </c>
      <c r="E220" s="10"/>
      <c r="F220" s="10" t="s">
        <v>80</v>
      </c>
      <c r="G220" s="50" t="n">
        <v>2</v>
      </c>
      <c r="H220" s="50" t="n">
        <v>0</v>
      </c>
      <c r="I220" s="50">
        <f>ROUND(G220*AO220,2)</f>
      </c>
      <c r="J220" s="50">
        <f>ROUND(G220*AP220,2)</f>
      </c>
      <c r="K220" s="50">
        <f>ROUND(G220*H220,2)</f>
      </c>
      <c r="L220" s="51" t="s">
        <v>61</v>
      </c>
      <c r="Z220" s="50">
        <f>ROUND(IF(AQ220="5",BJ220,0),2)</f>
      </c>
      <c r="AB220" s="50">
        <f>ROUND(IF(AQ220="1",BH220,0),2)</f>
      </c>
      <c r="AC220" s="50">
        <f>ROUND(IF(AQ220="1",BI220,0),2)</f>
      </c>
      <c r="AD220" s="50">
        <f>ROUND(IF(AQ220="7",BH220,0),2)</f>
      </c>
      <c r="AE220" s="50">
        <f>ROUND(IF(AQ220="7",BI220,0),2)</f>
      </c>
      <c r="AF220" s="50">
        <f>ROUND(IF(AQ220="2",BH220,0),2)</f>
      </c>
      <c r="AG220" s="50">
        <f>ROUND(IF(AQ220="2",BI220,0),2)</f>
      </c>
      <c r="AH220" s="50">
        <f>ROUND(IF(AQ220="0",BJ220,0),2)</f>
      </c>
      <c r="AI220" s="28" t="s">
        <v>363</v>
      </c>
      <c r="AJ220" s="50">
        <f>IF(AN220=0,K220,0)</f>
      </c>
      <c r="AK220" s="50">
        <f>IF(AN220=12,K220,0)</f>
      </c>
      <c r="AL220" s="50">
        <f>IF(AN220=21,K220,0)</f>
      </c>
      <c r="AN220" s="50" t="n">
        <v>21</v>
      </c>
      <c r="AO220" s="50">
        <f>H220*1</f>
      </c>
      <c r="AP220" s="50">
        <f>H220*(1-1)</f>
      </c>
      <c r="AQ220" s="52" t="s">
        <v>124</v>
      </c>
      <c r="AV220" s="50">
        <f>ROUND(AW220+AX220,2)</f>
      </c>
      <c r="AW220" s="50">
        <f>ROUND(G220*AO220,2)</f>
      </c>
      <c r="AX220" s="50">
        <f>ROUND(G220*AP220,2)</f>
      </c>
      <c r="AY220" s="52" t="s">
        <v>125</v>
      </c>
      <c r="AZ220" s="52" t="s">
        <v>541</v>
      </c>
      <c r="BA220" s="28" t="s">
        <v>371</v>
      </c>
      <c r="BC220" s="50">
        <f>AW220+AX220</f>
      </c>
      <c r="BD220" s="50">
        <f>H220/(100-BE220)*100</f>
      </c>
      <c r="BE220" s="50" t="n">
        <v>0</v>
      </c>
      <c r="BF220" s="50">
        <f>220</f>
      </c>
      <c r="BH220" s="50">
        <f>G220*AO220</f>
      </c>
      <c r="BI220" s="50">
        <f>G220*AP220</f>
      </c>
      <c r="BJ220" s="50">
        <f>G220*H220</f>
      </c>
      <c r="BK220" s="52" t="s">
        <v>118</v>
      </c>
      <c r="BL220" s="50"/>
      <c r="BW220" s="50" t="n">
        <v>21</v>
      </c>
      <c r="BX220" s="14" t="s">
        <v>571</v>
      </c>
    </row>
    <row r="221">
      <c r="A221" s="9" t="s">
        <v>572</v>
      </c>
      <c r="B221" s="10" t="s">
        <v>363</v>
      </c>
      <c r="C221" s="10" t="s">
        <v>573</v>
      </c>
      <c r="D221" s="14" t="s">
        <v>574</v>
      </c>
      <c r="E221" s="10"/>
      <c r="F221" s="10" t="s">
        <v>80</v>
      </c>
      <c r="G221" s="50" t="n">
        <v>3</v>
      </c>
      <c r="H221" s="50" t="n">
        <v>0</v>
      </c>
      <c r="I221" s="50">
        <f>ROUND(G221*AO221,2)</f>
      </c>
      <c r="J221" s="50">
        <f>ROUND(G221*AP221,2)</f>
      </c>
      <c r="K221" s="50">
        <f>ROUND(G221*H221,2)</f>
      </c>
      <c r="L221" s="51" t="s">
        <v>61</v>
      </c>
      <c r="Z221" s="50">
        <f>ROUND(IF(AQ221="5",BJ221,0),2)</f>
      </c>
      <c r="AB221" s="50">
        <f>ROUND(IF(AQ221="1",BH221,0),2)</f>
      </c>
      <c r="AC221" s="50">
        <f>ROUND(IF(AQ221="1",BI221,0),2)</f>
      </c>
      <c r="AD221" s="50">
        <f>ROUND(IF(AQ221="7",BH221,0),2)</f>
      </c>
      <c r="AE221" s="50">
        <f>ROUND(IF(AQ221="7",BI221,0),2)</f>
      </c>
      <c r="AF221" s="50">
        <f>ROUND(IF(AQ221="2",BH221,0),2)</f>
      </c>
      <c r="AG221" s="50">
        <f>ROUND(IF(AQ221="2",BI221,0),2)</f>
      </c>
      <c r="AH221" s="50">
        <f>ROUND(IF(AQ221="0",BJ221,0),2)</f>
      </c>
      <c r="AI221" s="28" t="s">
        <v>363</v>
      </c>
      <c r="AJ221" s="50">
        <f>IF(AN221=0,K221,0)</f>
      </c>
      <c r="AK221" s="50">
        <f>IF(AN221=12,K221,0)</f>
      </c>
      <c r="AL221" s="50">
        <f>IF(AN221=21,K221,0)</f>
      </c>
      <c r="AN221" s="50" t="n">
        <v>21</v>
      </c>
      <c r="AO221" s="50">
        <f>H221*1</f>
      </c>
      <c r="AP221" s="50">
        <f>H221*(1-1)</f>
      </c>
      <c r="AQ221" s="52" t="s">
        <v>124</v>
      </c>
      <c r="AV221" s="50">
        <f>ROUND(AW221+AX221,2)</f>
      </c>
      <c r="AW221" s="50">
        <f>ROUND(G221*AO221,2)</f>
      </c>
      <c r="AX221" s="50">
        <f>ROUND(G221*AP221,2)</f>
      </c>
      <c r="AY221" s="52" t="s">
        <v>125</v>
      </c>
      <c r="AZ221" s="52" t="s">
        <v>541</v>
      </c>
      <c r="BA221" s="28" t="s">
        <v>371</v>
      </c>
      <c r="BC221" s="50">
        <f>AW221+AX221</f>
      </c>
      <c r="BD221" s="50">
        <f>H221/(100-BE221)*100</f>
      </c>
      <c r="BE221" s="50" t="n">
        <v>0</v>
      </c>
      <c r="BF221" s="50">
        <f>221</f>
      </c>
      <c r="BH221" s="50">
        <f>G221*AO221</f>
      </c>
      <c r="BI221" s="50">
        <f>G221*AP221</f>
      </c>
      <c r="BJ221" s="50">
        <f>G221*H221</f>
      </c>
      <c r="BK221" s="52" t="s">
        <v>118</v>
      </c>
      <c r="BL221" s="50"/>
      <c r="BW221" s="50" t="n">
        <v>21</v>
      </c>
      <c r="BX221" s="14" t="s">
        <v>574</v>
      </c>
    </row>
    <row r="222">
      <c r="A222" s="9" t="s">
        <v>575</v>
      </c>
      <c r="B222" s="10" t="s">
        <v>363</v>
      </c>
      <c r="C222" s="10" t="s">
        <v>576</v>
      </c>
      <c r="D222" s="14" t="s">
        <v>577</v>
      </c>
      <c r="E222" s="10"/>
      <c r="F222" s="10" t="s">
        <v>80</v>
      </c>
      <c r="G222" s="50" t="n">
        <v>3</v>
      </c>
      <c r="H222" s="50" t="n">
        <v>0</v>
      </c>
      <c r="I222" s="50">
        <f>ROUND(G222*AO222,2)</f>
      </c>
      <c r="J222" s="50">
        <f>ROUND(G222*AP222,2)</f>
      </c>
      <c r="K222" s="50">
        <f>ROUND(G222*H222,2)</f>
      </c>
      <c r="L222" s="51" t="s">
        <v>61</v>
      </c>
      <c r="Z222" s="50">
        <f>ROUND(IF(AQ222="5",BJ222,0),2)</f>
      </c>
      <c r="AB222" s="50">
        <f>ROUND(IF(AQ222="1",BH222,0),2)</f>
      </c>
      <c r="AC222" s="50">
        <f>ROUND(IF(AQ222="1",BI222,0),2)</f>
      </c>
      <c r="AD222" s="50">
        <f>ROUND(IF(AQ222="7",BH222,0),2)</f>
      </c>
      <c r="AE222" s="50">
        <f>ROUND(IF(AQ222="7",BI222,0),2)</f>
      </c>
      <c r="AF222" s="50">
        <f>ROUND(IF(AQ222="2",BH222,0),2)</f>
      </c>
      <c r="AG222" s="50">
        <f>ROUND(IF(AQ222="2",BI222,0),2)</f>
      </c>
      <c r="AH222" s="50">
        <f>ROUND(IF(AQ222="0",BJ222,0),2)</f>
      </c>
      <c r="AI222" s="28" t="s">
        <v>363</v>
      </c>
      <c r="AJ222" s="50">
        <f>IF(AN222=0,K222,0)</f>
      </c>
      <c r="AK222" s="50">
        <f>IF(AN222=12,K222,0)</f>
      </c>
      <c r="AL222" s="50">
        <f>IF(AN222=21,K222,0)</f>
      </c>
      <c r="AN222" s="50" t="n">
        <v>21</v>
      </c>
      <c r="AO222" s="50">
        <f>H222*1</f>
      </c>
      <c r="AP222" s="50">
        <f>H222*(1-1)</f>
      </c>
      <c r="AQ222" s="52" t="s">
        <v>124</v>
      </c>
      <c r="AV222" s="50">
        <f>ROUND(AW222+AX222,2)</f>
      </c>
      <c r="AW222" s="50">
        <f>ROUND(G222*AO222,2)</f>
      </c>
      <c r="AX222" s="50">
        <f>ROUND(G222*AP222,2)</f>
      </c>
      <c r="AY222" s="52" t="s">
        <v>125</v>
      </c>
      <c r="AZ222" s="52" t="s">
        <v>541</v>
      </c>
      <c r="BA222" s="28" t="s">
        <v>371</v>
      </c>
      <c r="BC222" s="50">
        <f>AW222+AX222</f>
      </c>
      <c r="BD222" s="50">
        <f>H222/(100-BE222)*100</f>
      </c>
      <c r="BE222" s="50" t="n">
        <v>0</v>
      </c>
      <c r="BF222" s="50">
        <f>222</f>
      </c>
      <c r="BH222" s="50">
        <f>G222*AO222</f>
      </c>
      <c r="BI222" s="50">
        <f>G222*AP222</f>
      </c>
      <c r="BJ222" s="50">
        <f>G222*H222</f>
      </c>
      <c r="BK222" s="52" t="s">
        <v>118</v>
      </c>
      <c r="BL222" s="50"/>
      <c r="BW222" s="50" t="n">
        <v>21</v>
      </c>
      <c r="BX222" s="14" t="s">
        <v>577</v>
      </c>
    </row>
    <row r="223">
      <c r="A223" s="9" t="s">
        <v>578</v>
      </c>
      <c r="B223" s="10" t="s">
        <v>363</v>
      </c>
      <c r="C223" s="10" t="s">
        <v>579</v>
      </c>
      <c r="D223" s="14" t="s">
        <v>580</v>
      </c>
      <c r="E223" s="10"/>
      <c r="F223" s="10" t="s">
        <v>80</v>
      </c>
      <c r="G223" s="50" t="n">
        <v>2</v>
      </c>
      <c r="H223" s="50" t="n">
        <v>0</v>
      </c>
      <c r="I223" s="50">
        <f>ROUND(G223*AO223,2)</f>
      </c>
      <c r="J223" s="50">
        <f>ROUND(G223*AP223,2)</f>
      </c>
      <c r="K223" s="50">
        <f>ROUND(G223*H223,2)</f>
      </c>
      <c r="L223" s="51" t="s">
        <v>61</v>
      </c>
      <c r="Z223" s="50">
        <f>ROUND(IF(AQ223="5",BJ223,0),2)</f>
      </c>
      <c r="AB223" s="50">
        <f>ROUND(IF(AQ223="1",BH223,0),2)</f>
      </c>
      <c r="AC223" s="50">
        <f>ROUND(IF(AQ223="1",BI223,0),2)</f>
      </c>
      <c r="AD223" s="50">
        <f>ROUND(IF(AQ223="7",BH223,0),2)</f>
      </c>
      <c r="AE223" s="50">
        <f>ROUND(IF(AQ223="7",BI223,0),2)</f>
      </c>
      <c r="AF223" s="50">
        <f>ROUND(IF(AQ223="2",BH223,0),2)</f>
      </c>
      <c r="AG223" s="50">
        <f>ROUND(IF(AQ223="2",BI223,0),2)</f>
      </c>
      <c r="AH223" s="50">
        <f>ROUND(IF(AQ223="0",BJ223,0),2)</f>
      </c>
      <c r="AI223" s="28" t="s">
        <v>363</v>
      </c>
      <c r="AJ223" s="50">
        <f>IF(AN223=0,K223,0)</f>
      </c>
      <c r="AK223" s="50">
        <f>IF(AN223=12,K223,0)</f>
      </c>
      <c r="AL223" s="50">
        <f>IF(AN223=21,K223,0)</f>
      </c>
      <c r="AN223" s="50" t="n">
        <v>21</v>
      </c>
      <c r="AO223" s="50">
        <f>H223*1</f>
      </c>
      <c r="AP223" s="50">
        <f>H223*(1-1)</f>
      </c>
      <c r="AQ223" s="52" t="s">
        <v>124</v>
      </c>
      <c r="AV223" s="50">
        <f>ROUND(AW223+AX223,2)</f>
      </c>
      <c r="AW223" s="50">
        <f>ROUND(G223*AO223,2)</f>
      </c>
      <c r="AX223" s="50">
        <f>ROUND(G223*AP223,2)</f>
      </c>
      <c r="AY223" s="52" t="s">
        <v>125</v>
      </c>
      <c r="AZ223" s="52" t="s">
        <v>541</v>
      </c>
      <c r="BA223" s="28" t="s">
        <v>371</v>
      </c>
      <c r="BC223" s="50">
        <f>AW223+AX223</f>
      </c>
      <c r="BD223" s="50">
        <f>H223/(100-BE223)*100</f>
      </c>
      <c r="BE223" s="50" t="n">
        <v>0</v>
      </c>
      <c r="BF223" s="50">
        <f>223</f>
      </c>
      <c r="BH223" s="50">
        <f>G223*AO223</f>
      </c>
      <c r="BI223" s="50">
        <f>G223*AP223</f>
      </c>
      <c r="BJ223" s="50">
        <f>G223*H223</f>
      </c>
      <c r="BK223" s="52" t="s">
        <v>118</v>
      </c>
      <c r="BL223" s="50"/>
      <c r="BW223" s="50" t="n">
        <v>21</v>
      </c>
      <c r="BX223" s="14" t="s">
        <v>580</v>
      </c>
    </row>
    <row r="224">
      <c r="A224" s="9" t="s">
        <v>581</v>
      </c>
      <c r="B224" s="10" t="s">
        <v>363</v>
      </c>
      <c r="C224" s="10" t="s">
        <v>582</v>
      </c>
      <c r="D224" s="14" t="s">
        <v>583</v>
      </c>
      <c r="E224" s="10"/>
      <c r="F224" s="10" t="s">
        <v>80</v>
      </c>
      <c r="G224" s="50" t="n">
        <v>2</v>
      </c>
      <c r="H224" s="50" t="n">
        <v>0</v>
      </c>
      <c r="I224" s="50">
        <f>ROUND(G224*AO224,2)</f>
      </c>
      <c r="J224" s="50">
        <f>ROUND(G224*AP224,2)</f>
      </c>
      <c r="K224" s="50">
        <f>ROUND(G224*H224,2)</f>
      </c>
      <c r="L224" s="51" t="s">
        <v>61</v>
      </c>
      <c r="Z224" s="50">
        <f>ROUND(IF(AQ224="5",BJ224,0),2)</f>
      </c>
      <c r="AB224" s="50">
        <f>ROUND(IF(AQ224="1",BH224,0),2)</f>
      </c>
      <c r="AC224" s="50">
        <f>ROUND(IF(AQ224="1",BI224,0),2)</f>
      </c>
      <c r="AD224" s="50">
        <f>ROUND(IF(AQ224="7",BH224,0),2)</f>
      </c>
      <c r="AE224" s="50">
        <f>ROUND(IF(AQ224="7",BI224,0),2)</f>
      </c>
      <c r="AF224" s="50">
        <f>ROUND(IF(AQ224="2",BH224,0),2)</f>
      </c>
      <c r="AG224" s="50">
        <f>ROUND(IF(AQ224="2",BI224,0),2)</f>
      </c>
      <c r="AH224" s="50">
        <f>ROUND(IF(AQ224="0",BJ224,0),2)</f>
      </c>
      <c r="AI224" s="28" t="s">
        <v>363</v>
      </c>
      <c r="AJ224" s="50">
        <f>IF(AN224=0,K224,0)</f>
      </c>
      <c r="AK224" s="50">
        <f>IF(AN224=12,K224,0)</f>
      </c>
      <c r="AL224" s="50">
        <f>IF(AN224=21,K224,0)</f>
      </c>
      <c r="AN224" s="50" t="n">
        <v>21</v>
      </c>
      <c r="AO224" s="50">
        <f>H224*1</f>
      </c>
      <c r="AP224" s="50">
        <f>H224*(1-1)</f>
      </c>
      <c r="AQ224" s="52" t="s">
        <v>124</v>
      </c>
      <c r="AV224" s="50">
        <f>ROUND(AW224+AX224,2)</f>
      </c>
      <c r="AW224" s="50">
        <f>ROUND(G224*AO224,2)</f>
      </c>
      <c r="AX224" s="50">
        <f>ROUND(G224*AP224,2)</f>
      </c>
      <c r="AY224" s="52" t="s">
        <v>125</v>
      </c>
      <c r="AZ224" s="52" t="s">
        <v>541</v>
      </c>
      <c r="BA224" s="28" t="s">
        <v>371</v>
      </c>
      <c r="BC224" s="50">
        <f>AW224+AX224</f>
      </c>
      <c r="BD224" s="50">
        <f>H224/(100-BE224)*100</f>
      </c>
      <c r="BE224" s="50" t="n">
        <v>0</v>
      </c>
      <c r="BF224" s="50">
        <f>224</f>
      </c>
      <c r="BH224" s="50">
        <f>G224*AO224</f>
      </c>
      <c r="BI224" s="50">
        <f>G224*AP224</f>
      </c>
      <c r="BJ224" s="50">
        <f>G224*H224</f>
      </c>
      <c r="BK224" s="52" t="s">
        <v>118</v>
      </c>
      <c r="BL224" s="50"/>
      <c r="BW224" s="50" t="n">
        <v>21</v>
      </c>
      <c r="BX224" s="14" t="s">
        <v>583</v>
      </c>
    </row>
    <row r="225">
      <c r="A225" s="9" t="s">
        <v>584</v>
      </c>
      <c r="B225" s="10" t="s">
        <v>363</v>
      </c>
      <c r="C225" s="10" t="s">
        <v>585</v>
      </c>
      <c r="D225" s="14" t="s">
        <v>586</v>
      </c>
      <c r="E225" s="10"/>
      <c r="F225" s="10" t="s">
        <v>80</v>
      </c>
      <c r="G225" s="50" t="n">
        <v>1</v>
      </c>
      <c r="H225" s="50" t="n">
        <v>0</v>
      </c>
      <c r="I225" s="50">
        <f>ROUND(G225*AO225,2)</f>
      </c>
      <c r="J225" s="50">
        <f>ROUND(G225*AP225,2)</f>
      </c>
      <c r="K225" s="50">
        <f>ROUND(G225*H225,2)</f>
      </c>
      <c r="L225" s="51" t="s">
        <v>61</v>
      </c>
      <c r="Z225" s="50">
        <f>ROUND(IF(AQ225="5",BJ225,0),2)</f>
      </c>
      <c r="AB225" s="50">
        <f>ROUND(IF(AQ225="1",BH225,0),2)</f>
      </c>
      <c r="AC225" s="50">
        <f>ROUND(IF(AQ225="1",BI225,0),2)</f>
      </c>
      <c r="AD225" s="50">
        <f>ROUND(IF(AQ225="7",BH225,0),2)</f>
      </c>
      <c r="AE225" s="50">
        <f>ROUND(IF(AQ225="7",BI225,0),2)</f>
      </c>
      <c r="AF225" s="50">
        <f>ROUND(IF(AQ225="2",BH225,0),2)</f>
      </c>
      <c r="AG225" s="50">
        <f>ROUND(IF(AQ225="2",BI225,0),2)</f>
      </c>
      <c r="AH225" s="50">
        <f>ROUND(IF(AQ225="0",BJ225,0),2)</f>
      </c>
      <c r="AI225" s="28" t="s">
        <v>363</v>
      </c>
      <c r="AJ225" s="50">
        <f>IF(AN225=0,K225,0)</f>
      </c>
      <c r="AK225" s="50">
        <f>IF(AN225=12,K225,0)</f>
      </c>
      <c r="AL225" s="50">
        <f>IF(AN225=21,K225,0)</f>
      </c>
      <c r="AN225" s="50" t="n">
        <v>21</v>
      </c>
      <c r="AO225" s="50">
        <f>H225*1</f>
      </c>
      <c r="AP225" s="50">
        <f>H225*(1-1)</f>
      </c>
      <c r="AQ225" s="52" t="s">
        <v>124</v>
      </c>
      <c r="AV225" s="50">
        <f>ROUND(AW225+AX225,2)</f>
      </c>
      <c r="AW225" s="50">
        <f>ROUND(G225*AO225,2)</f>
      </c>
      <c r="AX225" s="50">
        <f>ROUND(G225*AP225,2)</f>
      </c>
      <c r="AY225" s="52" t="s">
        <v>125</v>
      </c>
      <c r="AZ225" s="52" t="s">
        <v>541</v>
      </c>
      <c r="BA225" s="28" t="s">
        <v>371</v>
      </c>
      <c r="BC225" s="50">
        <f>AW225+AX225</f>
      </c>
      <c r="BD225" s="50">
        <f>H225/(100-BE225)*100</f>
      </c>
      <c r="BE225" s="50" t="n">
        <v>0</v>
      </c>
      <c r="BF225" s="50">
        <f>225</f>
      </c>
      <c r="BH225" s="50">
        <f>G225*AO225</f>
      </c>
      <c r="BI225" s="50">
        <f>G225*AP225</f>
      </c>
      <c r="BJ225" s="50">
        <f>G225*H225</f>
      </c>
      <c r="BK225" s="52" t="s">
        <v>118</v>
      </c>
      <c r="BL225" s="50"/>
      <c r="BW225" s="50" t="n">
        <v>21</v>
      </c>
      <c r="BX225" s="14" t="s">
        <v>586</v>
      </c>
    </row>
    <row r="226">
      <c r="A226" s="9" t="s">
        <v>587</v>
      </c>
      <c r="B226" s="10" t="s">
        <v>363</v>
      </c>
      <c r="C226" s="10" t="s">
        <v>588</v>
      </c>
      <c r="D226" s="14" t="s">
        <v>589</v>
      </c>
      <c r="E226" s="10"/>
      <c r="F226" s="10" t="s">
        <v>80</v>
      </c>
      <c r="G226" s="50" t="n">
        <v>2</v>
      </c>
      <c r="H226" s="50" t="n">
        <v>0</v>
      </c>
      <c r="I226" s="50">
        <f>ROUND(G226*AO226,2)</f>
      </c>
      <c r="J226" s="50">
        <f>ROUND(G226*AP226,2)</f>
      </c>
      <c r="K226" s="50">
        <f>ROUND(G226*H226,2)</f>
      </c>
      <c r="L226" s="51" t="s">
        <v>61</v>
      </c>
      <c r="Z226" s="50">
        <f>ROUND(IF(AQ226="5",BJ226,0),2)</f>
      </c>
      <c r="AB226" s="50">
        <f>ROUND(IF(AQ226="1",BH226,0),2)</f>
      </c>
      <c r="AC226" s="50">
        <f>ROUND(IF(AQ226="1",BI226,0),2)</f>
      </c>
      <c r="AD226" s="50">
        <f>ROUND(IF(AQ226="7",BH226,0),2)</f>
      </c>
      <c r="AE226" s="50">
        <f>ROUND(IF(AQ226="7",BI226,0),2)</f>
      </c>
      <c r="AF226" s="50">
        <f>ROUND(IF(AQ226="2",BH226,0),2)</f>
      </c>
      <c r="AG226" s="50">
        <f>ROUND(IF(AQ226="2",BI226,0),2)</f>
      </c>
      <c r="AH226" s="50">
        <f>ROUND(IF(AQ226="0",BJ226,0),2)</f>
      </c>
      <c r="AI226" s="28" t="s">
        <v>363</v>
      </c>
      <c r="AJ226" s="50">
        <f>IF(AN226=0,K226,0)</f>
      </c>
      <c r="AK226" s="50">
        <f>IF(AN226=12,K226,0)</f>
      </c>
      <c r="AL226" s="50">
        <f>IF(AN226=21,K226,0)</f>
      </c>
      <c r="AN226" s="50" t="n">
        <v>21</v>
      </c>
      <c r="AO226" s="50">
        <f>H226*1</f>
      </c>
      <c r="AP226" s="50">
        <f>H226*(1-1)</f>
      </c>
      <c r="AQ226" s="52" t="s">
        <v>124</v>
      </c>
      <c r="AV226" s="50">
        <f>ROUND(AW226+AX226,2)</f>
      </c>
      <c r="AW226" s="50">
        <f>ROUND(G226*AO226,2)</f>
      </c>
      <c r="AX226" s="50">
        <f>ROUND(G226*AP226,2)</f>
      </c>
      <c r="AY226" s="52" t="s">
        <v>125</v>
      </c>
      <c r="AZ226" s="52" t="s">
        <v>541</v>
      </c>
      <c r="BA226" s="28" t="s">
        <v>371</v>
      </c>
      <c r="BC226" s="50">
        <f>AW226+AX226</f>
      </c>
      <c r="BD226" s="50">
        <f>H226/(100-BE226)*100</f>
      </c>
      <c r="BE226" s="50" t="n">
        <v>0</v>
      </c>
      <c r="BF226" s="50">
        <f>226</f>
      </c>
      <c r="BH226" s="50">
        <f>G226*AO226</f>
      </c>
      <c r="BI226" s="50">
        <f>G226*AP226</f>
      </c>
      <c r="BJ226" s="50">
        <f>G226*H226</f>
      </c>
      <c r="BK226" s="52" t="s">
        <v>118</v>
      </c>
      <c r="BL226" s="50"/>
      <c r="BW226" s="50" t="n">
        <v>21</v>
      </c>
      <c r="BX226" s="14" t="s">
        <v>589</v>
      </c>
    </row>
    <row r="227">
      <c r="A227" s="9" t="s">
        <v>590</v>
      </c>
      <c r="B227" s="10" t="s">
        <v>363</v>
      </c>
      <c r="C227" s="10" t="s">
        <v>591</v>
      </c>
      <c r="D227" s="14" t="s">
        <v>592</v>
      </c>
      <c r="E227" s="10"/>
      <c r="F227" s="10" t="s">
        <v>80</v>
      </c>
      <c r="G227" s="50" t="n">
        <v>3</v>
      </c>
      <c r="H227" s="50" t="n">
        <v>0</v>
      </c>
      <c r="I227" s="50">
        <f>ROUND(G227*AO227,2)</f>
      </c>
      <c r="J227" s="50">
        <f>ROUND(G227*AP227,2)</f>
      </c>
      <c r="K227" s="50">
        <f>ROUND(G227*H227,2)</f>
      </c>
      <c r="L227" s="51" t="s">
        <v>61</v>
      </c>
      <c r="Z227" s="50">
        <f>ROUND(IF(AQ227="5",BJ227,0),2)</f>
      </c>
      <c r="AB227" s="50">
        <f>ROUND(IF(AQ227="1",BH227,0),2)</f>
      </c>
      <c r="AC227" s="50">
        <f>ROUND(IF(AQ227="1",BI227,0),2)</f>
      </c>
      <c r="AD227" s="50">
        <f>ROUND(IF(AQ227="7",BH227,0),2)</f>
      </c>
      <c r="AE227" s="50">
        <f>ROUND(IF(AQ227="7",BI227,0),2)</f>
      </c>
      <c r="AF227" s="50">
        <f>ROUND(IF(AQ227="2",BH227,0),2)</f>
      </c>
      <c r="AG227" s="50">
        <f>ROUND(IF(AQ227="2",BI227,0),2)</f>
      </c>
      <c r="AH227" s="50">
        <f>ROUND(IF(AQ227="0",BJ227,0),2)</f>
      </c>
      <c r="AI227" s="28" t="s">
        <v>363</v>
      </c>
      <c r="AJ227" s="50">
        <f>IF(AN227=0,K227,0)</f>
      </c>
      <c r="AK227" s="50">
        <f>IF(AN227=12,K227,0)</f>
      </c>
      <c r="AL227" s="50">
        <f>IF(AN227=21,K227,0)</f>
      </c>
      <c r="AN227" s="50" t="n">
        <v>21</v>
      </c>
      <c r="AO227" s="50">
        <f>H227*1</f>
      </c>
      <c r="AP227" s="50">
        <f>H227*(1-1)</f>
      </c>
      <c r="AQ227" s="52" t="s">
        <v>124</v>
      </c>
      <c r="AV227" s="50">
        <f>ROUND(AW227+AX227,2)</f>
      </c>
      <c r="AW227" s="50">
        <f>ROUND(G227*AO227,2)</f>
      </c>
      <c r="AX227" s="50">
        <f>ROUND(G227*AP227,2)</f>
      </c>
      <c r="AY227" s="52" t="s">
        <v>125</v>
      </c>
      <c r="AZ227" s="52" t="s">
        <v>541</v>
      </c>
      <c r="BA227" s="28" t="s">
        <v>371</v>
      </c>
      <c r="BC227" s="50">
        <f>AW227+AX227</f>
      </c>
      <c r="BD227" s="50">
        <f>H227/(100-BE227)*100</f>
      </c>
      <c r="BE227" s="50" t="n">
        <v>0</v>
      </c>
      <c r="BF227" s="50">
        <f>227</f>
      </c>
      <c r="BH227" s="50">
        <f>G227*AO227</f>
      </c>
      <c r="BI227" s="50">
        <f>G227*AP227</f>
      </c>
      <c r="BJ227" s="50">
        <f>G227*H227</f>
      </c>
      <c r="BK227" s="52" t="s">
        <v>118</v>
      </c>
      <c r="BL227" s="50"/>
      <c r="BW227" s="50" t="n">
        <v>21</v>
      </c>
      <c r="BX227" s="14" t="s">
        <v>592</v>
      </c>
    </row>
    <row r="228">
      <c r="A228" s="9" t="s">
        <v>593</v>
      </c>
      <c r="B228" s="10" t="s">
        <v>363</v>
      </c>
      <c r="C228" s="10" t="s">
        <v>594</v>
      </c>
      <c r="D228" s="14" t="s">
        <v>595</v>
      </c>
      <c r="E228" s="10"/>
      <c r="F228" s="10" t="s">
        <v>80</v>
      </c>
      <c r="G228" s="50" t="n">
        <v>7</v>
      </c>
      <c r="H228" s="50" t="n">
        <v>0</v>
      </c>
      <c r="I228" s="50">
        <f>ROUND(G228*AO228,2)</f>
      </c>
      <c r="J228" s="50">
        <f>ROUND(G228*AP228,2)</f>
      </c>
      <c r="K228" s="50">
        <f>ROUND(G228*H228,2)</f>
      </c>
      <c r="L228" s="51" t="s">
        <v>61</v>
      </c>
      <c r="Z228" s="50">
        <f>ROUND(IF(AQ228="5",BJ228,0),2)</f>
      </c>
      <c r="AB228" s="50">
        <f>ROUND(IF(AQ228="1",BH228,0),2)</f>
      </c>
      <c r="AC228" s="50">
        <f>ROUND(IF(AQ228="1",BI228,0),2)</f>
      </c>
      <c r="AD228" s="50">
        <f>ROUND(IF(AQ228="7",BH228,0),2)</f>
      </c>
      <c r="AE228" s="50">
        <f>ROUND(IF(AQ228="7",BI228,0),2)</f>
      </c>
      <c r="AF228" s="50">
        <f>ROUND(IF(AQ228="2",BH228,0),2)</f>
      </c>
      <c r="AG228" s="50">
        <f>ROUND(IF(AQ228="2",BI228,0),2)</f>
      </c>
      <c r="AH228" s="50">
        <f>ROUND(IF(AQ228="0",BJ228,0),2)</f>
      </c>
      <c r="AI228" s="28" t="s">
        <v>363</v>
      </c>
      <c r="AJ228" s="50">
        <f>IF(AN228=0,K228,0)</f>
      </c>
      <c r="AK228" s="50">
        <f>IF(AN228=12,K228,0)</f>
      </c>
      <c r="AL228" s="50">
        <f>IF(AN228=21,K228,0)</f>
      </c>
      <c r="AN228" s="50" t="n">
        <v>21</v>
      </c>
      <c r="AO228" s="50">
        <f>H228*1</f>
      </c>
      <c r="AP228" s="50">
        <f>H228*(1-1)</f>
      </c>
      <c r="AQ228" s="52" t="s">
        <v>124</v>
      </c>
      <c r="AV228" s="50">
        <f>ROUND(AW228+AX228,2)</f>
      </c>
      <c r="AW228" s="50">
        <f>ROUND(G228*AO228,2)</f>
      </c>
      <c r="AX228" s="50">
        <f>ROUND(G228*AP228,2)</f>
      </c>
      <c r="AY228" s="52" t="s">
        <v>125</v>
      </c>
      <c r="AZ228" s="52" t="s">
        <v>541</v>
      </c>
      <c r="BA228" s="28" t="s">
        <v>371</v>
      </c>
      <c r="BC228" s="50">
        <f>AW228+AX228</f>
      </c>
      <c r="BD228" s="50">
        <f>H228/(100-BE228)*100</f>
      </c>
      <c r="BE228" s="50" t="n">
        <v>0</v>
      </c>
      <c r="BF228" s="50">
        <f>228</f>
      </c>
      <c r="BH228" s="50">
        <f>G228*AO228</f>
      </c>
      <c r="BI228" s="50">
        <f>G228*AP228</f>
      </c>
      <c r="BJ228" s="50">
        <f>G228*H228</f>
      </c>
      <c r="BK228" s="52" t="s">
        <v>118</v>
      </c>
      <c r="BL228" s="50"/>
      <c r="BW228" s="50" t="n">
        <v>21</v>
      </c>
      <c r="BX228" s="14" t="s">
        <v>595</v>
      </c>
    </row>
    <row r="229">
      <c r="A229" s="9" t="s">
        <v>596</v>
      </c>
      <c r="B229" s="10" t="s">
        <v>363</v>
      </c>
      <c r="C229" s="10" t="s">
        <v>597</v>
      </c>
      <c r="D229" s="14" t="s">
        <v>598</v>
      </c>
      <c r="E229" s="10"/>
      <c r="F229" s="10" t="s">
        <v>80</v>
      </c>
      <c r="G229" s="50" t="n">
        <v>2</v>
      </c>
      <c r="H229" s="50" t="n">
        <v>0</v>
      </c>
      <c r="I229" s="50">
        <f>ROUND(G229*AO229,2)</f>
      </c>
      <c r="J229" s="50">
        <f>ROUND(G229*AP229,2)</f>
      </c>
      <c r="K229" s="50">
        <f>ROUND(G229*H229,2)</f>
      </c>
      <c r="L229" s="51" t="s">
        <v>61</v>
      </c>
      <c r="Z229" s="50">
        <f>ROUND(IF(AQ229="5",BJ229,0),2)</f>
      </c>
      <c r="AB229" s="50">
        <f>ROUND(IF(AQ229="1",BH229,0),2)</f>
      </c>
      <c r="AC229" s="50">
        <f>ROUND(IF(AQ229="1",BI229,0),2)</f>
      </c>
      <c r="AD229" s="50">
        <f>ROUND(IF(AQ229="7",BH229,0),2)</f>
      </c>
      <c r="AE229" s="50">
        <f>ROUND(IF(AQ229="7",BI229,0),2)</f>
      </c>
      <c r="AF229" s="50">
        <f>ROUND(IF(AQ229="2",BH229,0),2)</f>
      </c>
      <c r="AG229" s="50">
        <f>ROUND(IF(AQ229="2",BI229,0),2)</f>
      </c>
      <c r="AH229" s="50">
        <f>ROUND(IF(AQ229="0",BJ229,0),2)</f>
      </c>
      <c r="AI229" s="28" t="s">
        <v>363</v>
      </c>
      <c r="AJ229" s="50">
        <f>IF(AN229=0,K229,0)</f>
      </c>
      <c r="AK229" s="50">
        <f>IF(AN229=12,K229,0)</f>
      </c>
      <c r="AL229" s="50">
        <f>IF(AN229=21,K229,0)</f>
      </c>
      <c r="AN229" s="50" t="n">
        <v>21</v>
      </c>
      <c r="AO229" s="50">
        <f>H229*1</f>
      </c>
      <c r="AP229" s="50">
        <f>H229*(1-1)</f>
      </c>
      <c r="AQ229" s="52" t="s">
        <v>124</v>
      </c>
      <c r="AV229" s="50">
        <f>ROUND(AW229+AX229,2)</f>
      </c>
      <c r="AW229" s="50">
        <f>ROUND(G229*AO229,2)</f>
      </c>
      <c r="AX229" s="50">
        <f>ROUND(G229*AP229,2)</f>
      </c>
      <c r="AY229" s="52" t="s">
        <v>125</v>
      </c>
      <c r="AZ229" s="52" t="s">
        <v>541</v>
      </c>
      <c r="BA229" s="28" t="s">
        <v>371</v>
      </c>
      <c r="BC229" s="50">
        <f>AW229+AX229</f>
      </c>
      <c r="BD229" s="50">
        <f>H229/(100-BE229)*100</f>
      </c>
      <c r="BE229" s="50" t="n">
        <v>0</v>
      </c>
      <c r="BF229" s="50">
        <f>229</f>
      </c>
      <c r="BH229" s="50">
        <f>G229*AO229</f>
      </c>
      <c r="BI229" s="50">
        <f>G229*AP229</f>
      </c>
      <c r="BJ229" s="50">
        <f>G229*H229</f>
      </c>
      <c r="BK229" s="52" t="s">
        <v>118</v>
      </c>
      <c r="BL229" s="50"/>
      <c r="BW229" s="50" t="n">
        <v>21</v>
      </c>
      <c r="BX229" s="14" t="s">
        <v>598</v>
      </c>
    </row>
    <row r="230">
      <c r="A230" s="9" t="s">
        <v>599</v>
      </c>
      <c r="B230" s="10" t="s">
        <v>363</v>
      </c>
      <c r="C230" s="10" t="s">
        <v>600</v>
      </c>
      <c r="D230" s="14" t="s">
        <v>601</v>
      </c>
      <c r="E230" s="10"/>
      <c r="F230" s="10" t="s">
        <v>80</v>
      </c>
      <c r="G230" s="50" t="n">
        <v>7</v>
      </c>
      <c r="H230" s="50" t="n">
        <v>0</v>
      </c>
      <c r="I230" s="50">
        <f>ROUND(G230*AO230,2)</f>
      </c>
      <c r="J230" s="50">
        <f>ROUND(G230*AP230,2)</f>
      </c>
      <c r="K230" s="50">
        <f>ROUND(G230*H230,2)</f>
      </c>
      <c r="L230" s="51" t="s">
        <v>61</v>
      </c>
      <c r="Z230" s="50">
        <f>ROUND(IF(AQ230="5",BJ230,0),2)</f>
      </c>
      <c r="AB230" s="50">
        <f>ROUND(IF(AQ230="1",BH230,0),2)</f>
      </c>
      <c r="AC230" s="50">
        <f>ROUND(IF(AQ230="1",BI230,0),2)</f>
      </c>
      <c r="AD230" s="50">
        <f>ROUND(IF(AQ230="7",BH230,0),2)</f>
      </c>
      <c r="AE230" s="50">
        <f>ROUND(IF(AQ230="7",BI230,0),2)</f>
      </c>
      <c r="AF230" s="50">
        <f>ROUND(IF(AQ230="2",BH230,0),2)</f>
      </c>
      <c r="AG230" s="50">
        <f>ROUND(IF(AQ230="2",BI230,0),2)</f>
      </c>
      <c r="AH230" s="50">
        <f>ROUND(IF(AQ230="0",BJ230,0),2)</f>
      </c>
      <c r="AI230" s="28" t="s">
        <v>363</v>
      </c>
      <c r="AJ230" s="50">
        <f>IF(AN230=0,K230,0)</f>
      </c>
      <c r="AK230" s="50">
        <f>IF(AN230=12,K230,0)</f>
      </c>
      <c r="AL230" s="50">
        <f>IF(AN230=21,K230,0)</f>
      </c>
      <c r="AN230" s="50" t="n">
        <v>21</v>
      </c>
      <c r="AO230" s="50">
        <f>H230*1</f>
      </c>
      <c r="AP230" s="50">
        <f>H230*(1-1)</f>
      </c>
      <c r="AQ230" s="52" t="s">
        <v>124</v>
      </c>
      <c r="AV230" s="50">
        <f>ROUND(AW230+AX230,2)</f>
      </c>
      <c r="AW230" s="50">
        <f>ROUND(G230*AO230,2)</f>
      </c>
      <c r="AX230" s="50">
        <f>ROUND(G230*AP230,2)</f>
      </c>
      <c r="AY230" s="52" t="s">
        <v>125</v>
      </c>
      <c r="AZ230" s="52" t="s">
        <v>541</v>
      </c>
      <c r="BA230" s="28" t="s">
        <v>371</v>
      </c>
      <c r="BC230" s="50">
        <f>AW230+AX230</f>
      </c>
      <c r="BD230" s="50">
        <f>H230/(100-BE230)*100</f>
      </c>
      <c r="BE230" s="50" t="n">
        <v>0</v>
      </c>
      <c r="BF230" s="50">
        <f>230</f>
      </c>
      <c r="BH230" s="50">
        <f>G230*AO230</f>
      </c>
      <c r="BI230" s="50">
        <f>G230*AP230</f>
      </c>
      <c r="BJ230" s="50">
        <f>G230*H230</f>
      </c>
      <c r="BK230" s="52" t="s">
        <v>118</v>
      </c>
      <c r="BL230" s="50"/>
      <c r="BW230" s="50" t="n">
        <v>21</v>
      </c>
      <c r="BX230" s="14" t="s">
        <v>601</v>
      </c>
    </row>
    <row r="231">
      <c r="A231" s="9" t="s">
        <v>602</v>
      </c>
      <c r="B231" s="10" t="s">
        <v>363</v>
      </c>
      <c r="C231" s="10" t="s">
        <v>603</v>
      </c>
      <c r="D231" s="14" t="s">
        <v>604</v>
      </c>
      <c r="E231" s="10"/>
      <c r="F231" s="10" t="s">
        <v>80</v>
      </c>
      <c r="G231" s="50" t="n">
        <v>7.07</v>
      </c>
      <c r="H231" s="50" t="n">
        <v>0</v>
      </c>
      <c r="I231" s="50">
        <f>ROUND(G231*AO231,2)</f>
      </c>
      <c r="J231" s="50">
        <f>ROUND(G231*AP231,2)</f>
      </c>
      <c r="K231" s="50">
        <f>ROUND(G231*H231,2)</f>
      </c>
      <c r="L231" s="51" t="s">
        <v>61</v>
      </c>
      <c r="Z231" s="50">
        <f>ROUND(IF(AQ231="5",BJ231,0),2)</f>
      </c>
      <c r="AB231" s="50">
        <f>ROUND(IF(AQ231="1",BH231,0),2)</f>
      </c>
      <c r="AC231" s="50">
        <f>ROUND(IF(AQ231="1",BI231,0),2)</f>
      </c>
      <c r="AD231" s="50">
        <f>ROUND(IF(AQ231="7",BH231,0),2)</f>
      </c>
      <c r="AE231" s="50">
        <f>ROUND(IF(AQ231="7",BI231,0),2)</f>
      </c>
      <c r="AF231" s="50">
        <f>ROUND(IF(AQ231="2",BH231,0),2)</f>
      </c>
      <c r="AG231" s="50">
        <f>ROUND(IF(AQ231="2",BI231,0),2)</f>
      </c>
      <c r="AH231" s="50">
        <f>ROUND(IF(AQ231="0",BJ231,0),2)</f>
      </c>
      <c r="AI231" s="28" t="s">
        <v>363</v>
      </c>
      <c r="AJ231" s="50">
        <f>IF(AN231=0,K231,0)</f>
      </c>
      <c r="AK231" s="50">
        <f>IF(AN231=12,K231,0)</f>
      </c>
      <c r="AL231" s="50">
        <f>IF(AN231=21,K231,0)</f>
      </c>
      <c r="AN231" s="50" t="n">
        <v>21</v>
      </c>
      <c r="AO231" s="50">
        <f>H231*1</f>
      </c>
      <c r="AP231" s="50">
        <f>H231*(1-1)</f>
      </c>
      <c r="AQ231" s="52" t="s">
        <v>124</v>
      </c>
      <c r="AV231" s="50">
        <f>ROUND(AW231+AX231,2)</f>
      </c>
      <c r="AW231" s="50">
        <f>ROUND(G231*AO231,2)</f>
      </c>
      <c r="AX231" s="50">
        <f>ROUND(G231*AP231,2)</f>
      </c>
      <c r="AY231" s="52" t="s">
        <v>125</v>
      </c>
      <c r="AZ231" s="52" t="s">
        <v>541</v>
      </c>
      <c r="BA231" s="28" t="s">
        <v>371</v>
      </c>
      <c r="BC231" s="50">
        <f>AW231+AX231</f>
      </c>
      <c r="BD231" s="50">
        <f>H231/(100-BE231)*100</f>
      </c>
      <c r="BE231" s="50" t="n">
        <v>0</v>
      </c>
      <c r="BF231" s="50">
        <f>231</f>
      </c>
      <c r="BH231" s="50">
        <f>G231*AO231</f>
      </c>
      <c r="BI231" s="50">
        <f>G231*AP231</f>
      </c>
      <c r="BJ231" s="50">
        <f>G231*H231</f>
      </c>
      <c r="BK231" s="52" t="s">
        <v>118</v>
      </c>
      <c r="BL231" s="50"/>
      <c r="BW231" s="50" t="n">
        <v>21</v>
      </c>
      <c r="BX231" s="14" t="s">
        <v>604</v>
      </c>
    </row>
    <row r="232">
      <c r="A232" s="9" t="s">
        <v>605</v>
      </c>
      <c r="B232" s="10" t="s">
        <v>363</v>
      </c>
      <c r="C232" s="10" t="s">
        <v>606</v>
      </c>
      <c r="D232" s="14" t="s">
        <v>607</v>
      </c>
      <c r="E232" s="10"/>
      <c r="F232" s="10" t="s">
        <v>80</v>
      </c>
      <c r="G232" s="50" t="n">
        <v>7.07</v>
      </c>
      <c r="H232" s="50" t="n">
        <v>0</v>
      </c>
      <c r="I232" s="50">
        <f>ROUND(G232*AO232,2)</f>
      </c>
      <c r="J232" s="50">
        <f>ROUND(G232*AP232,2)</f>
      </c>
      <c r="K232" s="50">
        <f>ROUND(G232*H232,2)</f>
      </c>
      <c r="L232" s="51" t="s">
        <v>61</v>
      </c>
      <c r="Z232" s="50">
        <f>ROUND(IF(AQ232="5",BJ232,0),2)</f>
      </c>
      <c r="AB232" s="50">
        <f>ROUND(IF(AQ232="1",BH232,0),2)</f>
      </c>
      <c r="AC232" s="50">
        <f>ROUND(IF(AQ232="1",BI232,0),2)</f>
      </c>
      <c r="AD232" s="50">
        <f>ROUND(IF(AQ232="7",BH232,0),2)</f>
      </c>
      <c r="AE232" s="50">
        <f>ROUND(IF(AQ232="7",BI232,0),2)</f>
      </c>
      <c r="AF232" s="50">
        <f>ROUND(IF(AQ232="2",BH232,0),2)</f>
      </c>
      <c r="AG232" s="50">
        <f>ROUND(IF(AQ232="2",BI232,0),2)</f>
      </c>
      <c r="AH232" s="50">
        <f>ROUND(IF(AQ232="0",BJ232,0),2)</f>
      </c>
      <c r="AI232" s="28" t="s">
        <v>363</v>
      </c>
      <c r="AJ232" s="50">
        <f>IF(AN232=0,K232,0)</f>
      </c>
      <c r="AK232" s="50">
        <f>IF(AN232=12,K232,0)</f>
      </c>
      <c r="AL232" s="50">
        <f>IF(AN232=21,K232,0)</f>
      </c>
      <c r="AN232" s="50" t="n">
        <v>21</v>
      </c>
      <c r="AO232" s="50">
        <f>H232*1</f>
      </c>
      <c r="AP232" s="50">
        <f>H232*(1-1)</f>
      </c>
      <c r="AQ232" s="52" t="s">
        <v>124</v>
      </c>
      <c r="AV232" s="50">
        <f>ROUND(AW232+AX232,2)</f>
      </c>
      <c r="AW232" s="50">
        <f>ROUND(G232*AO232,2)</f>
      </c>
      <c r="AX232" s="50">
        <f>ROUND(G232*AP232,2)</f>
      </c>
      <c r="AY232" s="52" t="s">
        <v>125</v>
      </c>
      <c r="AZ232" s="52" t="s">
        <v>541</v>
      </c>
      <c r="BA232" s="28" t="s">
        <v>371</v>
      </c>
      <c r="BC232" s="50">
        <f>AW232+AX232</f>
      </c>
      <c r="BD232" s="50">
        <f>H232/(100-BE232)*100</f>
      </c>
      <c r="BE232" s="50" t="n">
        <v>0</v>
      </c>
      <c r="BF232" s="50">
        <f>232</f>
      </c>
      <c r="BH232" s="50">
        <f>G232*AO232</f>
      </c>
      <c r="BI232" s="50">
        <f>G232*AP232</f>
      </c>
      <c r="BJ232" s="50">
        <f>G232*H232</f>
      </c>
      <c r="BK232" s="52" t="s">
        <v>118</v>
      </c>
      <c r="BL232" s="50"/>
      <c r="BW232" s="50" t="n">
        <v>21</v>
      </c>
      <c r="BX232" s="14" t="s">
        <v>607</v>
      </c>
    </row>
    <row r="233">
      <c r="A233" s="9" t="s">
        <v>608</v>
      </c>
      <c r="B233" s="10" t="s">
        <v>363</v>
      </c>
      <c r="C233" s="10" t="s">
        <v>609</v>
      </c>
      <c r="D233" s="14" t="s">
        <v>610</v>
      </c>
      <c r="E233" s="10"/>
      <c r="F233" s="10" t="s">
        <v>80</v>
      </c>
      <c r="G233" s="50" t="n">
        <v>6.06</v>
      </c>
      <c r="H233" s="50" t="n">
        <v>0</v>
      </c>
      <c r="I233" s="50">
        <f>ROUND(G233*AO233,2)</f>
      </c>
      <c r="J233" s="50">
        <f>ROUND(G233*AP233,2)</f>
      </c>
      <c r="K233" s="50">
        <f>ROUND(G233*H233,2)</f>
      </c>
      <c r="L233" s="51" t="s">
        <v>61</v>
      </c>
      <c r="Z233" s="50">
        <f>ROUND(IF(AQ233="5",BJ233,0),2)</f>
      </c>
      <c r="AB233" s="50">
        <f>ROUND(IF(AQ233="1",BH233,0),2)</f>
      </c>
      <c r="AC233" s="50">
        <f>ROUND(IF(AQ233="1",BI233,0),2)</f>
      </c>
      <c r="AD233" s="50">
        <f>ROUND(IF(AQ233="7",BH233,0),2)</f>
      </c>
      <c r="AE233" s="50">
        <f>ROUND(IF(AQ233="7",BI233,0),2)</f>
      </c>
      <c r="AF233" s="50">
        <f>ROUND(IF(AQ233="2",BH233,0),2)</f>
      </c>
      <c r="AG233" s="50">
        <f>ROUND(IF(AQ233="2",BI233,0),2)</f>
      </c>
      <c r="AH233" s="50">
        <f>ROUND(IF(AQ233="0",BJ233,0),2)</f>
      </c>
      <c r="AI233" s="28" t="s">
        <v>363</v>
      </c>
      <c r="AJ233" s="50">
        <f>IF(AN233=0,K233,0)</f>
      </c>
      <c r="AK233" s="50">
        <f>IF(AN233=12,K233,0)</f>
      </c>
      <c r="AL233" s="50">
        <f>IF(AN233=21,K233,0)</f>
      </c>
      <c r="AN233" s="50" t="n">
        <v>21</v>
      </c>
      <c r="AO233" s="50">
        <f>H233*1</f>
      </c>
      <c r="AP233" s="50">
        <f>H233*(1-1)</f>
      </c>
      <c r="AQ233" s="52" t="s">
        <v>124</v>
      </c>
      <c r="AV233" s="50">
        <f>ROUND(AW233+AX233,2)</f>
      </c>
      <c r="AW233" s="50">
        <f>ROUND(G233*AO233,2)</f>
      </c>
      <c r="AX233" s="50">
        <f>ROUND(G233*AP233,2)</f>
      </c>
      <c r="AY233" s="52" t="s">
        <v>125</v>
      </c>
      <c r="AZ233" s="52" t="s">
        <v>541</v>
      </c>
      <c r="BA233" s="28" t="s">
        <v>371</v>
      </c>
      <c r="BC233" s="50">
        <f>AW233+AX233</f>
      </c>
      <c r="BD233" s="50">
        <f>H233/(100-BE233)*100</f>
      </c>
      <c r="BE233" s="50" t="n">
        <v>0</v>
      </c>
      <c r="BF233" s="50">
        <f>233</f>
      </c>
      <c r="BH233" s="50">
        <f>G233*AO233</f>
      </c>
      <c r="BI233" s="50">
        <f>G233*AP233</f>
      </c>
      <c r="BJ233" s="50">
        <f>G233*H233</f>
      </c>
      <c r="BK233" s="52" t="s">
        <v>118</v>
      </c>
      <c r="BL233" s="50"/>
      <c r="BW233" s="50" t="n">
        <v>21</v>
      </c>
      <c r="BX233" s="14" t="s">
        <v>610</v>
      </c>
    </row>
    <row r="234">
      <c r="A234" s="9" t="s">
        <v>611</v>
      </c>
      <c r="B234" s="10" t="s">
        <v>363</v>
      </c>
      <c r="C234" s="10" t="s">
        <v>612</v>
      </c>
      <c r="D234" s="14" t="s">
        <v>613</v>
      </c>
      <c r="E234" s="10"/>
      <c r="F234" s="10" t="s">
        <v>80</v>
      </c>
      <c r="G234" s="50" t="n">
        <v>2.02</v>
      </c>
      <c r="H234" s="50" t="n">
        <v>0</v>
      </c>
      <c r="I234" s="50">
        <f>ROUND(G234*AO234,2)</f>
      </c>
      <c r="J234" s="50">
        <f>ROUND(G234*AP234,2)</f>
      </c>
      <c r="K234" s="50">
        <f>ROUND(G234*H234,2)</f>
      </c>
      <c r="L234" s="51" t="s">
        <v>61</v>
      </c>
      <c r="Z234" s="50">
        <f>ROUND(IF(AQ234="5",BJ234,0),2)</f>
      </c>
      <c r="AB234" s="50">
        <f>ROUND(IF(AQ234="1",BH234,0),2)</f>
      </c>
      <c r="AC234" s="50">
        <f>ROUND(IF(AQ234="1",BI234,0),2)</f>
      </c>
      <c r="AD234" s="50">
        <f>ROUND(IF(AQ234="7",BH234,0),2)</f>
      </c>
      <c r="AE234" s="50">
        <f>ROUND(IF(AQ234="7",BI234,0),2)</f>
      </c>
      <c r="AF234" s="50">
        <f>ROUND(IF(AQ234="2",BH234,0),2)</f>
      </c>
      <c r="AG234" s="50">
        <f>ROUND(IF(AQ234="2",BI234,0),2)</f>
      </c>
      <c r="AH234" s="50">
        <f>ROUND(IF(AQ234="0",BJ234,0),2)</f>
      </c>
      <c r="AI234" s="28" t="s">
        <v>363</v>
      </c>
      <c r="AJ234" s="50">
        <f>IF(AN234=0,K234,0)</f>
      </c>
      <c r="AK234" s="50">
        <f>IF(AN234=12,K234,0)</f>
      </c>
      <c r="AL234" s="50">
        <f>IF(AN234=21,K234,0)</f>
      </c>
      <c r="AN234" s="50" t="n">
        <v>21</v>
      </c>
      <c r="AO234" s="50">
        <f>H234*1</f>
      </c>
      <c r="AP234" s="50">
        <f>H234*(1-1)</f>
      </c>
      <c r="AQ234" s="52" t="s">
        <v>124</v>
      </c>
      <c r="AV234" s="50">
        <f>ROUND(AW234+AX234,2)</f>
      </c>
      <c r="AW234" s="50">
        <f>ROUND(G234*AO234,2)</f>
      </c>
      <c r="AX234" s="50">
        <f>ROUND(G234*AP234,2)</f>
      </c>
      <c r="AY234" s="52" t="s">
        <v>125</v>
      </c>
      <c r="AZ234" s="52" t="s">
        <v>541</v>
      </c>
      <c r="BA234" s="28" t="s">
        <v>371</v>
      </c>
      <c r="BC234" s="50">
        <f>AW234+AX234</f>
      </c>
      <c r="BD234" s="50">
        <f>H234/(100-BE234)*100</f>
      </c>
      <c r="BE234" s="50" t="n">
        <v>0</v>
      </c>
      <c r="BF234" s="50">
        <f>234</f>
      </c>
      <c r="BH234" s="50">
        <f>G234*AO234</f>
      </c>
      <c r="BI234" s="50">
        <f>G234*AP234</f>
      </c>
      <c r="BJ234" s="50">
        <f>G234*H234</f>
      </c>
      <c r="BK234" s="52" t="s">
        <v>118</v>
      </c>
      <c r="BL234" s="50"/>
      <c r="BW234" s="50" t="n">
        <v>21</v>
      </c>
      <c r="BX234" s="14" t="s">
        <v>613</v>
      </c>
    </row>
    <row r="235">
      <c r="A235" s="9" t="s">
        <v>614</v>
      </c>
      <c r="B235" s="10" t="s">
        <v>363</v>
      </c>
      <c r="C235" s="10" t="s">
        <v>615</v>
      </c>
      <c r="D235" s="14" t="s">
        <v>616</v>
      </c>
      <c r="E235" s="10"/>
      <c r="F235" s="10" t="s">
        <v>80</v>
      </c>
      <c r="G235" s="50" t="n">
        <v>7.07</v>
      </c>
      <c r="H235" s="50" t="n">
        <v>0</v>
      </c>
      <c r="I235" s="50">
        <f>ROUND(G235*AO235,2)</f>
      </c>
      <c r="J235" s="50">
        <f>ROUND(G235*AP235,2)</f>
      </c>
      <c r="K235" s="50">
        <f>ROUND(G235*H235,2)</f>
      </c>
      <c r="L235" s="51" t="s">
        <v>61</v>
      </c>
      <c r="Z235" s="50">
        <f>ROUND(IF(AQ235="5",BJ235,0),2)</f>
      </c>
      <c r="AB235" s="50">
        <f>ROUND(IF(AQ235="1",BH235,0),2)</f>
      </c>
      <c r="AC235" s="50">
        <f>ROUND(IF(AQ235="1",BI235,0),2)</f>
      </c>
      <c r="AD235" s="50">
        <f>ROUND(IF(AQ235="7",BH235,0),2)</f>
      </c>
      <c r="AE235" s="50">
        <f>ROUND(IF(AQ235="7",BI235,0),2)</f>
      </c>
      <c r="AF235" s="50">
        <f>ROUND(IF(AQ235="2",BH235,0),2)</f>
      </c>
      <c r="AG235" s="50">
        <f>ROUND(IF(AQ235="2",BI235,0),2)</f>
      </c>
      <c r="AH235" s="50">
        <f>ROUND(IF(AQ235="0",BJ235,0),2)</f>
      </c>
      <c r="AI235" s="28" t="s">
        <v>363</v>
      </c>
      <c r="AJ235" s="50">
        <f>IF(AN235=0,K235,0)</f>
      </c>
      <c r="AK235" s="50">
        <f>IF(AN235=12,K235,0)</f>
      </c>
      <c r="AL235" s="50">
        <f>IF(AN235=21,K235,0)</f>
      </c>
      <c r="AN235" s="50" t="n">
        <v>21</v>
      </c>
      <c r="AO235" s="50">
        <f>H235*1</f>
      </c>
      <c r="AP235" s="50">
        <f>H235*(1-1)</f>
      </c>
      <c r="AQ235" s="52" t="s">
        <v>124</v>
      </c>
      <c r="AV235" s="50">
        <f>ROUND(AW235+AX235,2)</f>
      </c>
      <c r="AW235" s="50">
        <f>ROUND(G235*AO235,2)</f>
      </c>
      <c r="AX235" s="50">
        <f>ROUND(G235*AP235,2)</f>
      </c>
      <c r="AY235" s="52" t="s">
        <v>125</v>
      </c>
      <c r="AZ235" s="52" t="s">
        <v>541</v>
      </c>
      <c r="BA235" s="28" t="s">
        <v>371</v>
      </c>
      <c r="BC235" s="50">
        <f>AW235+AX235</f>
      </c>
      <c r="BD235" s="50">
        <f>H235/(100-BE235)*100</f>
      </c>
      <c r="BE235" s="50" t="n">
        <v>0</v>
      </c>
      <c r="BF235" s="50">
        <f>235</f>
      </c>
      <c r="BH235" s="50">
        <f>G235*AO235</f>
      </c>
      <c r="BI235" s="50">
        <f>G235*AP235</f>
      </c>
      <c r="BJ235" s="50">
        <f>G235*H235</f>
      </c>
      <c r="BK235" s="52" t="s">
        <v>118</v>
      </c>
      <c r="BL235" s="50"/>
      <c r="BW235" s="50" t="n">
        <v>21</v>
      </c>
      <c r="BX235" s="14" t="s">
        <v>616</v>
      </c>
    </row>
    <row r="236">
      <c r="A236" s="9" t="s">
        <v>617</v>
      </c>
      <c r="B236" s="10" t="s">
        <v>363</v>
      </c>
      <c r="C236" s="10" t="s">
        <v>618</v>
      </c>
      <c r="D236" s="14" t="s">
        <v>619</v>
      </c>
      <c r="E236" s="10"/>
      <c r="F236" s="10" t="s">
        <v>80</v>
      </c>
      <c r="G236" s="50" t="n">
        <v>7.07</v>
      </c>
      <c r="H236" s="50" t="n">
        <v>0</v>
      </c>
      <c r="I236" s="50">
        <f>ROUND(G236*AO236,2)</f>
      </c>
      <c r="J236" s="50">
        <f>ROUND(G236*AP236,2)</f>
      </c>
      <c r="K236" s="50">
        <f>ROUND(G236*H236,2)</f>
      </c>
      <c r="L236" s="51" t="s">
        <v>61</v>
      </c>
      <c r="Z236" s="50">
        <f>ROUND(IF(AQ236="5",BJ236,0),2)</f>
      </c>
      <c r="AB236" s="50">
        <f>ROUND(IF(AQ236="1",BH236,0),2)</f>
      </c>
      <c r="AC236" s="50">
        <f>ROUND(IF(AQ236="1",BI236,0),2)</f>
      </c>
      <c r="AD236" s="50">
        <f>ROUND(IF(AQ236="7",BH236,0),2)</f>
      </c>
      <c r="AE236" s="50">
        <f>ROUND(IF(AQ236="7",BI236,0),2)</f>
      </c>
      <c r="AF236" s="50">
        <f>ROUND(IF(AQ236="2",BH236,0),2)</f>
      </c>
      <c r="AG236" s="50">
        <f>ROUND(IF(AQ236="2",BI236,0),2)</f>
      </c>
      <c r="AH236" s="50">
        <f>ROUND(IF(AQ236="0",BJ236,0),2)</f>
      </c>
      <c r="AI236" s="28" t="s">
        <v>363</v>
      </c>
      <c r="AJ236" s="50">
        <f>IF(AN236=0,K236,0)</f>
      </c>
      <c r="AK236" s="50">
        <f>IF(AN236=12,K236,0)</f>
      </c>
      <c r="AL236" s="50">
        <f>IF(AN236=21,K236,0)</f>
      </c>
      <c r="AN236" s="50" t="n">
        <v>21</v>
      </c>
      <c r="AO236" s="50">
        <f>H236*1</f>
      </c>
      <c r="AP236" s="50">
        <f>H236*(1-1)</f>
      </c>
      <c r="AQ236" s="52" t="s">
        <v>124</v>
      </c>
      <c r="AV236" s="50">
        <f>ROUND(AW236+AX236,2)</f>
      </c>
      <c r="AW236" s="50">
        <f>ROUND(G236*AO236,2)</f>
      </c>
      <c r="AX236" s="50">
        <f>ROUND(G236*AP236,2)</f>
      </c>
      <c r="AY236" s="52" t="s">
        <v>125</v>
      </c>
      <c r="AZ236" s="52" t="s">
        <v>541</v>
      </c>
      <c r="BA236" s="28" t="s">
        <v>371</v>
      </c>
      <c r="BC236" s="50">
        <f>AW236+AX236</f>
      </c>
      <c r="BD236" s="50">
        <f>H236/(100-BE236)*100</f>
      </c>
      <c r="BE236" s="50" t="n">
        <v>0</v>
      </c>
      <c r="BF236" s="50">
        <f>236</f>
      </c>
      <c r="BH236" s="50">
        <f>G236*AO236</f>
      </c>
      <c r="BI236" s="50">
        <f>G236*AP236</f>
      </c>
      <c r="BJ236" s="50">
        <f>G236*H236</f>
      </c>
      <c r="BK236" s="52" t="s">
        <v>118</v>
      </c>
      <c r="BL236" s="50"/>
      <c r="BW236" s="50" t="n">
        <v>21</v>
      </c>
      <c r="BX236" s="14" t="s">
        <v>619</v>
      </c>
    </row>
    <row r="237">
      <c r="A237" s="58" t="s">
        <v>620</v>
      </c>
      <c r="B237" s="59" t="s">
        <v>363</v>
      </c>
      <c r="C237" s="59" t="s">
        <v>621</v>
      </c>
      <c r="D237" s="60" t="s">
        <v>622</v>
      </c>
      <c r="E237" s="59"/>
      <c r="F237" s="59" t="s">
        <v>80</v>
      </c>
      <c r="G237" s="61" t="n">
        <v>8</v>
      </c>
      <c r="H237" s="61" t="n">
        <v>0</v>
      </c>
      <c r="I237" s="61">
        <f>ROUND(G237*AO237,2)</f>
      </c>
      <c r="J237" s="61">
        <f>ROUND(G237*AP237,2)</f>
      </c>
      <c r="K237" s="61">
        <f>ROUND(G237*H237,2)</f>
      </c>
      <c r="L237" s="62" t="s">
        <v>61</v>
      </c>
      <c r="Z237" s="50">
        <f>ROUND(IF(AQ237="5",BJ237,0),2)</f>
      </c>
      <c r="AB237" s="50">
        <f>ROUND(IF(AQ237="1",BH237,0),2)</f>
      </c>
      <c r="AC237" s="50">
        <f>ROUND(IF(AQ237="1",BI237,0),2)</f>
      </c>
      <c r="AD237" s="50">
        <f>ROUND(IF(AQ237="7",BH237,0),2)</f>
      </c>
      <c r="AE237" s="50">
        <f>ROUND(IF(AQ237="7",BI237,0),2)</f>
      </c>
      <c r="AF237" s="50">
        <f>ROUND(IF(AQ237="2",BH237,0),2)</f>
      </c>
      <c r="AG237" s="50">
        <f>ROUND(IF(AQ237="2",BI237,0),2)</f>
      </c>
      <c r="AH237" s="50">
        <f>ROUND(IF(AQ237="0",BJ237,0),2)</f>
      </c>
      <c r="AI237" s="28" t="s">
        <v>363</v>
      </c>
      <c r="AJ237" s="50">
        <f>IF(AN237=0,K237,0)</f>
      </c>
      <c r="AK237" s="50">
        <f>IF(AN237=12,K237,0)</f>
      </c>
      <c r="AL237" s="50">
        <f>IF(AN237=21,K237,0)</f>
      </c>
      <c r="AN237" s="50" t="n">
        <v>21</v>
      </c>
      <c r="AO237" s="50">
        <f>H237*1</f>
      </c>
      <c r="AP237" s="50">
        <f>H237*(1-1)</f>
      </c>
      <c r="AQ237" s="52" t="s">
        <v>124</v>
      </c>
      <c r="AV237" s="50">
        <f>ROUND(AW237+AX237,2)</f>
      </c>
      <c r="AW237" s="50">
        <f>ROUND(G237*AO237,2)</f>
      </c>
      <c r="AX237" s="50">
        <f>ROUND(G237*AP237,2)</f>
      </c>
      <c r="AY237" s="52" t="s">
        <v>125</v>
      </c>
      <c r="AZ237" s="52" t="s">
        <v>541</v>
      </c>
      <c r="BA237" s="28" t="s">
        <v>371</v>
      </c>
      <c r="BC237" s="50">
        <f>AW237+AX237</f>
      </c>
      <c r="BD237" s="50">
        <f>H237/(100-BE237)*100</f>
      </c>
      <c r="BE237" s="50" t="n">
        <v>0</v>
      </c>
      <c r="BF237" s="50">
        <f>237</f>
      </c>
      <c r="BH237" s="50">
        <f>G237*AO237</f>
      </c>
      <c r="BI237" s="50">
        <f>G237*AP237</f>
      </c>
      <c r="BJ237" s="50">
        <f>G237*H237</f>
      </c>
      <c r="BK237" s="52" t="s">
        <v>118</v>
      </c>
      <c r="BL237" s="50"/>
      <c r="BW237" s="50" t="n">
        <v>21</v>
      </c>
      <c r="BX237" s="14" t="s">
        <v>622</v>
      </c>
    </row>
    <row r="238">
      <c r="I238" s="63" t="s">
        <v>623</v>
      </c>
      <c r="J238" s="63"/>
      <c r="K238" s="64">
        <f>ROUND(K13+K15+K17+K19+K22+K27+K31+K49+K51+K53+K56+K67+K69+K71+K74+K77+K82+K91+K104+K106+K108+K110+K112+K119+K128+K135+K137+K140+K149+K156+K164+K168+K170+K173+K176+K178+K183+K185+K187+K192+K207+K209,2)</f>
      </c>
    </row>
    <row r="239">
      <c r="A239" s="65" t="s">
        <v>189</v>
      </c>
    </row>
    <row r="240" customHeight="true" ht="12.75">
      <c r="A240" s="14" t="s">
        <v>52</v>
      </c>
      <c r="B240" s="10"/>
      <c r="C240" s="10"/>
      <c r="D240" s="10"/>
      <c r="E240" s="10"/>
      <c r="F240" s="10"/>
      <c r="G240" s="10"/>
      <c r="H240" s="10"/>
      <c r="I240" s="10"/>
      <c r="J240" s="10"/>
      <c r="K240" s="10"/>
      <c r="L240" s="10"/>
    </row>
  </sheetData>
  <mergeCells>
    <mergeCell ref="A1:L1"/>
    <mergeCell ref="A2:C3"/>
    <mergeCell ref="A4:C5"/>
    <mergeCell ref="A6:C7"/>
    <mergeCell ref="A8:C9"/>
    <mergeCell ref="F2:G3"/>
    <mergeCell ref="F4:G5"/>
    <mergeCell ref="F6:G7"/>
    <mergeCell ref="F8:G9"/>
    <mergeCell ref="I2:I3"/>
    <mergeCell ref="I4:I5"/>
    <mergeCell ref="I6:I7"/>
    <mergeCell ref="I8:I9"/>
    <mergeCell ref="D2:E3"/>
    <mergeCell ref="D4:E5"/>
    <mergeCell ref="D6:E7"/>
    <mergeCell ref="D8:E9"/>
    <mergeCell ref="H2:H3"/>
    <mergeCell ref="H4:H5"/>
    <mergeCell ref="H6:H7"/>
    <mergeCell ref="H8:H9"/>
    <mergeCell ref="J2:L3"/>
    <mergeCell ref="J4:L5"/>
    <mergeCell ref="J6:L7"/>
    <mergeCell ref="J8:L9"/>
    <mergeCell ref="D10:E10"/>
    <mergeCell ref="D11:E11"/>
    <mergeCell ref="I10:K10"/>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L33"/>
    <mergeCell ref="D34:E34"/>
    <mergeCell ref="D35:L35"/>
    <mergeCell ref="D36:E36"/>
    <mergeCell ref="D37:L37"/>
    <mergeCell ref="D38:E38"/>
    <mergeCell ref="D39:L39"/>
    <mergeCell ref="D40:E40"/>
    <mergeCell ref="D41:L41"/>
    <mergeCell ref="D42:E42"/>
    <mergeCell ref="D43:L43"/>
    <mergeCell ref="D44:E44"/>
    <mergeCell ref="D45:L45"/>
    <mergeCell ref="D46:E46"/>
    <mergeCell ref="D47:L47"/>
    <mergeCell ref="D48:E48"/>
    <mergeCell ref="D49:E49"/>
    <mergeCell ref="D50:E50"/>
    <mergeCell ref="D51:E51"/>
    <mergeCell ref="D52:E52"/>
    <mergeCell ref="D53:E53"/>
    <mergeCell ref="D54:E54"/>
    <mergeCell ref="D55:E55"/>
    <mergeCell ref="D56:E56"/>
    <mergeCell ref="D57:E57"/>
    <mergeCell ref="D58:L58"/>
    <mergeCell ref="D59:L59"/>
    <mergeCell ref="D60:E60"/>
    <mergeCell ref="D61:L61"/>
    <mergeCell ref="D62:E62"/>
    <mergeCell ref="D63:E63"/>
    <mergeCell ref="D64:L64"/>
    <mergeCell ref="D65:E65"/>
    <mergeCell ref="D66:L66"/>
    <mergeCell ref="D67:E67"/>
    <mergeCell ref="D68:E68"/>
    <mergeCell ref="D69:E69"/>
    <mergeCell ref="D70:E70"/>
    <mergeCell ref="D71:E71"/>
    <mergeCell ref="D72:E72"/>
    <mergeCell ref="D73:L73"/>
    <mergeCell ref="D74:E74"/>
    <mergeCell ref="D75:E75"/>
    <mergeCell ref="D76:E76"/>
    <mergeCell ref="D77:E77"/>
    <mergeCell ref="D78:E78"/>
    <mergeCell ref="D79:E79"/>
    <mergeCell ref="D80:E80"/>
    <mergeCell ref="D81:E81"/>
    <mergeCell ref="D82:E82"/>
    <mergeCell ref="D83:E83"/>
    <mergeCell ref="D84:L84"/>
    <mergeCell ref="D85:E85"/>
    <mergeCell ref="D86:L86"/>
    <mergeCell ref="D87:E87"/>
    <mergeCell ref="D88:L88"/>
    <mergeCell ref="D89:E89"/>
    <mergeCell ref="D90:L90"/>
    <mergeCell ref="D91:E91"/>
    <mergeCell ref="D92:E92"/>
    <mergeCell ref="D93:E93"/>
    <mergeCell ref="D94:E94"/>
    <mergeCell ref="D95:L95"/>
    <mergeCell ref="D96:E96"/>
    <mergeCell ref="D97:E97"/>
    <mergeCell ref="D98:E98"/>
    <mergeCell ref="D99:L99"/>
    <mergeCell ref="D100:E100"/>
    <mergeCell ref="D101:L101"/>
    <mergeCell ref="D102:E102"/>
    <mergeCell ref="D103:L103"/>
    <mergeCell ref="D104:E104"/>
    <mergeCell ref="D105:E105"/>
    <mergeCell ref="D106:E106"/>
    <mergeCell ref="D107:E107"/>
    <mergeCell ref="D108:E108"/>
    <mergeCell ref="D109:E109"/>
    <mergeCell ref="D110:E110"/>
    <mergeCell ref="D111:E111"/>
    <mergeCell ref="D112:E112"/>
    <mergeCell ref="D113:E113"/>
    <mergeCell ref="D114:L114"/>
    <mergeCell ref="D115:E115"/>
    <mergeCell ref="D116:L116"/>
    <mergeCell ref="D117:E117"/>
    <mergeCell ref="D118:L118"/>
    <mergeCell ref="D119:E119"/>
    <mergeCell ref="D120:E120"/>
    <mergeCell ref="D121:L121"/>
    <mergeCell ref="D122:E122"/>
    <mergeCell ref="D123:L123"/>
    <mergeCell ref="D124:L124"/>
    <mergeCell ref="D125:E125"/>
    <mergeCell ref="D126:L126"/>
    <mergeCell ref="D127:E127"/>
    <mergeCell ref="D128:E128"/>
    <mergeCell ref="D129:E129"/>
    <mergeCell ref="D130:E130"/>
    <mergeCell ref="D131:E131"/>
    <mergeCell ref="D132:E132"/>
    <mergeCell ref="D133:L133"/>
    <mergeCell ref="D134:E134"/>
    <mergeCell ref="D135:E135"/>
    <mergeCell ref="D136:E136"/>
    <mergeCell ref="D137:E137"/>
    <mergeCell ref="D138:E138"/>
    <mergeCell ref="D139:E139"/>
    <mergeCell ref="D140:E140"/>
    <mergeCell ref="D141:E141"/>
    <mergeCell ref="D142:L142"/>
    <mergeCell ref="D143:E143"/>
    <mergeCell ref="D144:L144"/>
    <mergeCell ref="D145:E145"/>
    <mergeCell ref="D146:L146"/>
    <mergeCell ref="D147:E147"/>
    <mergeCell ref="D148:L148"/>
    <mergeCell ref="D149:E149"/>
    <mergeCell ref="D150:E150"/>
    <mergeCell ref="D151:L151"/>
    <mergeCell ref="D152:E152"/>
    <mergeCell ref="D153:E153"/>
    <mergeCell ref="D154:L154"/>
    <mergeCell ref="D155:E155"/>
    <mergeCell ref="D156:E156"/>
    <mergeCell ref="D157:E157"/>
    <mergeCell ref="D158:L158"/>
    <mergeCell ref="D159:E159"/>
    <mergeCell ref="D160:L160"/>
    <mergeCell ref="D161:E161"/>
    <mergeCell ref="D162:E162"/>
    <mergeCell ref="D163:E163"/>
    <mergeCell ref="D164:E164"/>
    <mergeCell ref="D165:E165"/>
    <mergeCell ref="D166:E166"/>
    <mergeCell ref="D167:E167"/>
    <mergeCell ref="D168:E168"/>
    <mergeCell ref="D169:E169"/>
    <mergeCell ref="D170:E170"/>
    <mergeCell ref="D171:E171"/>
    <mergeCell ref="D172:E172"/>
    <mergeCell ref="D173:E173"/>
    <mergeCell ref="D174:E174"/>
    <mergeCell ref="D175:E175"/>
    <mergeCell ref="D176:E176"/>
    <mergeCell ref="D177:E177"/>
    <mergeCell ref="D178:E178"/>
    <mergeCell ref="D179:E179"/>
    <mergeCell ref="D180:E180"/>
    <mergeCell ref="D181:E181"/>
    <mergeCell ref="D182:E182"/>
    <mergeCell ref="D183:E183"/>
    <mergeCell ref="D184:E184"/>
    <mergeCell ref="D185:E185"/>
    <mergeCell ref="D186:E186"/>
    <mergeCell ref="D187:E187"/>
    <mergeCell ref="D188:E188"/>
    <mergeCell ref="D189:E189"/>
    <mergeCell ref="D190:E190"/>
    <mergeCell ref="D191:E191"/>
    <mergeCell ref="D192:E192"/>
    <mergeCell ref="D193:E193"/>
    <mergeCell ref="D194:E194"/>
    <mergeCell ref="D195:E195"/>
    <mergeCell ref="D196:E196"/>
    <mergeCell ref="D197:E197"/>
    <mergeCell ref="D198:E198"/>
    <mergeCell ref="D199:E199"/>
    <mergeCell ref="D200:E200"/>
    <mergeCell ref="D201:E201"/>
    <mergeCell ref="D202:E202"/>
    <mergeCell ref="D203:E203"/>
    <mergeCell ref="D204:E204"/>
    <mergeCell ref="D205:E205"/>
    <mergeCell ref="D206:E206"/>
    <mergeCell ref="D207:E207"/>
    <mergeCell ref="D208:E208"/>
    <mergeCell ref="D209:E209"/>
    <mergeCell ref="D210:E210"/>
    <mergeCell ref="D211:E211"/>
    <mergeCell ref="D212:E212"/>
    <mergeCell ref="D213:E213"/>
    <mergeCell ref="D214:E214"/>
    <mergeCell ref="D215:E215"/>
    <mergeCell ref="D216:E216"/>
    <mergeCell ref="D217:E217"/>
    <mergeCell ref="D218:E218"/>
    <mergeCell ref="D219:E219"/>
    <mergeCell ref="D220:E220"/>
    <mergeCell ref="D221:E221"/>
    <mergeCell ref="D222:E222"/>
    <mergeCell ref="D223:E223"/>
    <mergeCell ref="D224:E224"/>
    <mergeCell ref="D225:E225"/>
    <mergeCell ref="D226:E226"/>
    <mergeCell ref="D227:E227"/>
    <mergeCell ref="D228:E228"/>
    <mergeCell ref="D229:E229"/>
    <mergeCell ref="D230:E230"/>
    <mergeCell ref="D231:E231"/>
    <mergeCell ref="D232:E232"/>
    <mergeCell ref="D233:E233"/>
    <mergeCell ref="D234:E234"/>
    <mergeCell ref="D235:E235"/>
    <mergeCell ref="D236:E236"/>
    <mergeCell ref="D237:E237"/>
    <mergeCell ref="I238:J238"/>
    <mergeCell ref="A240:L240"/>
  </mergeCells>
  <pageMargins left="0.393999993801117" top="0.591000020503998" right="0.393999993801117" bottom="0.591000020503998" header="0" footer="0"/>
  <pageSetup orientation="landscape" fitToHeight="0" fitToWidth="1" cellComments="none"/>
  <drawing r:id="rId1"/>
</worksheet>
</file>

<file path=xl/worksheets/sheet2.xml><?xml version="1.0" encoding="utf-8"?>
<worksheet xmlns:r="http://schemas.openxmlformats.org/officeDocument/2006/relationships" xmlns="http://schemas.openxmlformats.org/spreadsheetml/2006/main">
  <sheetPr>
    <outlinePr summaryBelow="true" summaryRight="true"/>
    <pageSetUpPr fitToPage="true"/>
  </sheetPr>
  <dimension ref="A1:I37"/>
  <sheetViews>
    <sheetView workbookViewId="0" showZeros="true" showFormulas="false" showGridLines="true" showRowColHeaders="true">
      <selection sqref="A37:I37" activeCell="A37"/>
    </sheetView>
  </sheetViews>
  <sheetFormatPr defaultColWidth="12.140625" customHeight="true" defaultRowHeight="15"/>
  <cols>
    <col max="1" min="1" style="0" width="9.140625" customWidth="true"/>
    <col max="2" min="2" style="0" width="12.85546875" customWidth="true"/>
    <col max="3" min="3" style="0" width="27.140625" customWidth="true"/>
    <col max="4" min="4" style="0" width="10" customWidth="true"/>
    <col max="5" min="5" style="0" width="14" customWidth="true"/>
    <col max="6" min="6" style="0" width="27.140625" customWidth="true"/>
    <col max="7" min="7" style="0" width="9.140625" customWidth="true"/>
    <col max="8" min="8" style="0" width="12.85546875" customWidth="true"/>
    <col max="9" min="9" style="0" width="27.140625" customWidth="true"/>
  </cols>
  <sheetData>
    <row r="1" customHeight="true" ht="54.75">
      <c r="A1" s="66" t="s">
        <v>624</v>
      </c>
      <c r="B1" s="1"/>
      <c r="C1" s="1"/>
      <c r="D1" s="1"/>
      <c r="E1" s="1"/>
      <c r="F1" s="1"/>
      <c r="G1" s="1"/>
      <c r="H1" s="1"/>
      <c r="I1" s="1"/>
    </row>
    <row r="2">
      <c r="A2" s="3" t="s">
        <v>1</v>
      </c>
      <c r="B2" s="4"/>
      <c r="C2" s="5">
        <f>'Stavební rozpočet'!D2</f>
      </c>
      <c r="D2" s="6"/>
      <c r="E2" s="7" t="s">
        <v>5</v>
      </c>
      <c r="F2" s="7">
        <f>'Stavební rozpočet'!J2</f>
      </c>
      <c r="G2" s="4"/>
      <c r="H2" s="7" t="s">
        <v>625</v>
      </c>
      <c r="I2" s="8" t="s">
        <v>52</v>
      </c>
    </row>
    <row r="3" customHeight="true" ht="15">
      <c r="A3" s="9"/>
      <c r="B3" s="10"/>
      <c r="C3" s="11"/>
      <c r="D3" s="11"/>
      <c r="E3" s="10"/>
      <c r="F3" s="10"/>
      <c r="G3" s="10"/>
      <c r="H3" s="10"/>
      <c r="I3" s="12"/>
    </row>
    <row r="4">
      <c r="A4" s="13" t="s">
        <v>7</v>
      </c>
      <c r="B4" s="10"/>
      <c r="C4" s="14">
        <f>'Stavební rozpočet'!D4</f>
      </c>
      <c r="D4" s="10"/>
      <c r="E4" s="14" t="s">
        <v>11</v>
      </c>
      <c r="F4" s="14">
        <f>'Stavební rozpočet'!J4</f>
      </c>
      <c r="G4" s="10"/>
      <c r="H4" s="14" t="s">
        <v>625</v>
      </c>
      <c r="I4" s="12" t="s">
        <v>52</v>
      </c>
    </row>
    <row r="5" customHeight="true" ht="15">
      <c r="A5" s="9"/>
      <c r="B5" s="10"/>
      <c r="C5" s="10"/>
      <c r="D5" s="10"/>
      <c r="E5" s="10"/>
      <c r="F5" s="10"/>
      <c r="G5" s="10"/>
      <c r="H5" s="10"/>
      <c r="I5" s="12"/>
    </row>
    <row r="6">
      <c r="A6" s="13" t="s">
        <v>12</v>
      </c>
      <c r="B6" s="10"/>
      <c r="C6" s="14">
        <f>'Stavební rozpočet'!D6</f>
      </c>
      <c r="D6" s="10"/>
      <c r="E6" s="14" t="s">
        <v>16</v>
      </c>
      <c r="F6" s="14">
        <f>'Stavební rozpočet'!J6</f>
      </c>
      <c r="G6" s="10"/>
      <c r="H6" s="14" t="s">
        <v>625</v>
      </c>
      <c r="I6" s="12" t="s">
        <v>52</v>
      </c>
    </row>
    <row r="7" customHeight="true" ht="15">
      <c r="A7" s="9"/>
      <c r="B7" s="10"/>
      <c r="C7" s="10"/>
      <c r="D7" s="10"/>
      <c r="E7" s="10"/>
      <c r="F7" s="10"/>
      <c r="G7" s="10"/>
      <c r="H7" s="10"/>
      <c r="I7" s="12"/>
    </row>
    <row r="8">
      <c r="A8" s="13" t="s">
        <v>9</v>
      </c>
      <c r="B8" s="10"/>
      <c r="C8" s="14">
        <f>'Stavební rozpočet'!H4</f>
      </c>
      <c r="D8" s="10"/>
      <c r="E8" s="14" t="s">
        <v>14</v>
      </c>
      <c r="F8" s="14">
        <f>'Stavební rozpočet'!H6</f>
      </c>
      <c r="G8" s="10"/>
      <c r="H8" s="10" t="s">
        <v>626</v>
      </c>
      <c r="I8" s="67" t="n">
        <v>141</v>
      </c>
    </row>
    <row r="9">
      <c r="A9" s="9"/>
      <c r="B9" s="10"/>
      <c r="C9" s="10"/>
      <c r="D9" s="10"/>
      <c r="E9" s="10"/>
      <c r="F9" s="10"/>
      <c r="G9" s="10"/>
      <c r="H9" s="10"/>
      <c r="I9" s="12"/>
    </row>
    <row r="10">
      <c r="A10" s="13" t="s">
        <v>17</v>
      </c>
      <c r="B10" s="10"/>
      <c r="C10" s="14">
        <f>'Stavební rozpočet'!D8</f>
      </c>
      <c r="D10" s="10"/>
      <c r="E10" s="14" t="s">
        <v>20</v>
      </c>
      <c r="F10" s="14">
        <f>'Stavební rozpočet'!J8</f>
      </c>
      <c r="G10" s="10"/>
      <c r="H10" s="10" t="s">
        <v>627</v>
      </c>
      <c r="I10" s="68">
        <f>'Stavební rozpočet'!H8</f>
      </c>
    </row>
    <row r="11">
      <c r="A11" s="58"/>
      <c r="B11" s="59"/>
      <c r="C11" s="59"/>
      <c r="D11" s="59"/>
      <c r="E11" s="59"/>
      <c r="F11" s="59"/>
      <c r="G11" s="59"/>
      <c r="H11" s="59"/>
      <c r="I11" s="69"/>
    </row>
    <row r="12">
      <c r="A12" s="70" t="s">
        <v>628</v>
      </c>
      <c r="B12" s="70"/>
      <c r="C12" s="70"/>
      <c r="D12" s="70"/>
      <c r="E12" s="70"/>
      <c r="F12" s="70"/>
      <c r="G12" s="70"/>
      <c r="H12" s="70"/>
      <c r="I12" s="70"/>
    </row>
    <row r="13" customHeight="true" ht="26.25">
      <c r="A13" s="71" t="s">
        <v>629</v>
      </c>
      <c r="B13" s="72" t="s">
        <v>630</v>
      </c>
      <c r="C13" s="73"/>
      <c r="D13" s="74" t="s">
        <v>631</v>
      </c>
      <c r="E13" s="72" t="s">
        <v>632</v>
      </c>
      <c r="F13" s="73"/>
      <c r="G13" s="74" t="s">
        <v>633</v>
      </c>
      <c r="H13" s="72" t="s">
        <v>634</v>
      </c>
      <c r="I13" s="73"/>
    </row>
    <row r="14">
      <c r="A14" s="75" t="s">
        <v>635</v>
      </c>
      <c r="B14" s="76" t="s">
        <v>636</v>
      </c>
      <c r="C14" s="77">
        <f>SUM('Stavební rozpočet'!AB12:AB474)</f>
      </c>
      <c r="D14" s="78" t="s">
        <v>637</v>
      </c>
      <c r="E14" s="79"/>
      <c r="F14" s="77">
        <f>VORN!I15</f>
      </c>
      <c r="G14" s="78" t="s">
        <v>160</v>
      </c>
      <c r="H14" s="79"/>
      <c r="I14" s="80">
        <f>VORN!I21</f>
      </c>
    </row>
    <row r="15">
      <c r="A15" s="81" t="s">
        <v>52</v>
      </c>
      <c r="B15" s="76" t="s">
        <v>37</v>
      </c>
      <c r="C15" s="77">
        <f>SUM('Stavební rozpočet'!AC12:AC474)</f>
      </c>
      <c r="D15" s="78" t="s">
        <v>638</v>
      </c>
      <c r="E15" s="79"/>
      <c r="F15" s="77">
        <f>VORN!I16</f>
      </c>
      <c r="G15" s="78" t="s">
        <v>639</v>
      </c>
      <c r="H15" s="79"/>
      <c r="I15" s="80">
        <f>VORN!I22</f>
      </c>
    </row>
    <row r="16">
      <c r="A16" s="75" t="s">
        <v>640</v>
      </c>
      <c r="B16" s="76" t="s">
        <v>636</v>
      </c>
      <c r="C16" s="77">
        <f>SUM('Stavební rozpočet'!AD12:AD474)</f>
      </c>
      <c r="D16" s="78" t="s">
        <v>641</v>
      </c>
      <c r="E16" s="79"/>
      <c r="F16" s="77">
        <f>VORN!I17</f>
      </c>
      <c r="G16" s="78" t="s">
        <v>642</v>
      </c>
      <c r="H16" s="79"/>
      <c r="I16" s="80">
        <f>VORN!I23</f>
      </c>
    </row>
    <row r="17">
      <c r="A17" s="81" t="s">
        <v>52</v>
      </c>
      <c r="B17" s="76" t="s">
        <v>37</v>
      </c>
      <c r="C17" s="77">
        <f>SUM('Stavební rozpočet'!AE12:AE474)</f>
      </c>
      <c r="D17" s="78" t="s">
        <v>52</v>
      </c>
      <c r="E17" s="79"/>
      <c r="F17" s="80" t="s">
        <v>52</v>
      </c>
      <c r="G17" s="78" t="s">
        <v>174</v>
      </c>
      <c r="H17" s="79"/>
      <c r="I17" s="80">
        <f>VORN!I24</f>
      </c>
    </row>
    <row r="18">
      <c r="A18" s="75" t="s">
        <v>643</v>
      </c>
      <c r="B18" s="76" t="s">
        <v>636</v>
      </c>
      <c r="C18" s="77">
        <f>SUM('Stavební rozpočet'!AF12:AF474)</f>
      </c>
      <c r="D18" s="78" t="s">
        <v>52</v>
      </c>
      <c r="E18" s="79"/>
      <c r="F18" s="80" t="s">
        <v>52</v>
      </c>
      <c r="G18" s="78" t="s">
        <v>644</v>
      </c>
      <c r="H18" s="79"/>
      <c r="I18" s="80">
        <f>VORN!I25</f>
      </c>
    </row>
    <row r="19">
      <c r="A19" s="81" t="s">
        <v>52</v>
      </c>
      <c r="B19" s="76" t="s">
        <v>37</v>
      </c>
      <c r="C19" s="77">
        <f>SUM('Stavební rozpočet'!AG12:AG474)</f>
      </c>
      <c r="D19" s="78" t="s">
        <v>52</v>
      </c>
      <c r="E19" s="79"/>
      <c r="F19" s="80" t="s">
        <v>52</v>
      </c>
      <c r="G19" s="78" t="s">
        <v>645</v>
      </c>
      <c r="H19" s="79"/>
      <c r="I19" s="80">
        <f>VORN!I26</f>
      </c>
    </row>
    <row r="20">
      <c r="A20" s="82" t="s">
        <v>119</v>
      </c>
      <c r="B20" s="83"/>
      <c r="C20" s="77">
        <f>SUM('Stavební rozpočet'!AH12:AH474)</f>
      </c>
      <c r="D20" s="78" t="s">
        <v>52</v>
      </c>
      <c r="E20" s="79"/>
      <c r="F20" s="80" t="s">
        <v>52</v>
      </c>
      <c r="G20" s="78" t="s">
        <v>52</v>
      </c>
      <c r="H20" s="79"/>
      <c r="I20" s="80" t="s">
        <v>52</v>
      </c>
    </row>
    <row r="21">
      <c r="A21" s="84" t="s">
        <v>646</v>
      </c>
      <c r="B21" s="85"/>
      <c r="C21" s="86">
        <f>SUM('Stavební rozpočet'!Z12:Z474)</f>
      </c>
      <c r="D21" s="87" t="s">
        <v>52</v>
      </c>
      <c r="E21" s="88"/>
      <c r="F21" s="89" t="s">
        <v>52</v>
      </c>
      <c r="G21" s="87" t="s">
        <v>52</v>
      </c>
      <c r="H21" s="88"/>
      <c r="I21" s="89" t="s">
        <v>52</v>
      </c>
    </row>
    <row r="22" customHeight="true" ht="16.5">
      <c r="A22" s="90" t="s">
        <v>647</v>
      </c>
      <c r="B22" s="91"/>
      <c r="C22" s="92">
        <f>ROUND(SUM(C14:C21),2)</f>
      </c>
      <c r="D22" s="93" t="s">
        <v>648</v>
      </c>
      <c r="E22" s="91"/>
      <c r="F22" s="92">
        <f>SUM(F14:F21)</f>
      </c>
      <c r="G22" s="93" t="s">
        <v>649</v>
      </c>
      <c r="H22" s="91"/>
      <c r="I22" s="92">
        <f>SUM(I14:I21)</f>
      </c>
    </row>
    <row r="23">
      <c r="D23" s="82" t="s">
        <v>650</v>
      </c>
      <c r="E23" s="83"/>
      <c r="F23" s="94" t="n">
        <v>0</v>
      </c>
      <c r="G23" s="95" t="s">
        <v>651</v>
      </c>
      <c r="H23" s="83"/>
      <c r="I23" s="77" t="n">
        <v>0</v>
      </c>
    </row>
    <row r="24">
      <c r="G24" s="82" t="s">
        <v>652</v>
      </c>
      <c r="H24" s="83"/>
      <c r="I24" s="86">
        <f>vorn_sum</f>
      </c>
    </row>
    <row r="25">
      <c r="G25" s="82" t="s">
        <v>653</v>
      </c>
      <c r="H25" s="83"/>
      <c r="I25" s="92" t="n">
        <v>0</v>
      </c>
    </row>
    <row r="27">
      <c r="A27" s="96" t="s">
        <v>654</v>
      </c>
      <c r="B27" s="97"/>
      <c r="C27" s="98">
        <f>ROUND(SUM('Stavební rozpočet'!AJ12:AJ474),2)</f>
      </c>
    </row>
    <row r="28">
      <c r="A28" s="99" t="s">
        <v>655</v>
      </c>
      <c r="B28" s="100"/>
      <c r="C28" s="101">
        <f>ROUND(SUM('Stavební rozpočet'!AK12:AK474),2)</f>
      </c>
      <c r="D28" s="102" t="s">
        <v>656</v>
      </c>
      <c r="E28" s="97"/>
      <c r="F28" s="98">
        <f>ROUND(C28*(12/100),2)</f>
      </c>
      <c r="G28" s="102" t="s">
        <v>657</v>
      </c>
      <c r="H28" s="97"/>
      <c r="I28" s="98">
        <f>ROUND(SUM(C27:C29),2)</f>
      </c>
    </row>
    <row r="29">
      <c r="A29" s="99" t="s">
        <v>658</v>
      </c>
      <c r="B29" s="100"/>
      <c r="C29" s="101">
        <f>ROUND(SUM('Stavební rozpočet'!AL12:AL474),2)</f>
      </c>
      <c r="D29" s="103" t="s">
        <v>659</v>
      </c>
      <c r="E29" s="100"/>
      <c r="F29" s="101">
        <f>ROUND(C29*(21/100),2)</f>
      </c>
      <c r="G29" s="103" t="s">
        <v>660</v>
      </c>
      <c r="H29" s="100"/>
      <c r="I29" s="101">
        <f>ROUND(SUM(F28:F29)+I28,2)</f>
      </c>
    </row>
    <row r="31">
      <c r="A31" s="104" t="s">
        <v>661</v>
      </c>
      <c r="B31" s="105"/>
      <c r="C31" s="106"/>
      <c r="D31" s="107" t="s">
        <v>662</v>
      </c>
      <c r="E31" s="105"/>
      <c r="F31" s="106"/>
      <c r="G31" s="107" t="s">
        <v>663</v>
      </c>
      <c r="H31" s="105"/>
      <c r="I31" s="106"/>
    </row>
    <row r="32">
      <c r="A32" s="108" t="s">
        <v>52</v>
      </c>
      <c r="B32" s="109"/>
      <c r="C32" s="110"/>
      <c r="D32" s="111" t="s">
        <v>52</v>
      </c>
      <c r="E32" s="109"/>
      <c r="F32" s="110"/>
      <c r="G32" s="111" t="s">
        <v>52</v>
      </c>
      <c r="H32" s="109"/>
      <c r="I32" s="110"/>
    </row>
    <row r="33">
      <c r="A33" s="108" t="s">
        <v>52</v>
      </c>
      <c r="B33" s="109"/>
      <c r="C33" s="110"/>
      <c r="D33" s="111" t="s">
        <v>52</v>
      </c>
      <c r="E33" s="109"/>
      <c r="F33" s="110"/>
      <c r="G33" s="111" t="s">
        <v>52</v>
      </c>
      <c r="H33" s="109"/>
      <c r="I33" s="110"/>
    </row>
    <row r="34">
      <c r="A34" s="108" t="s">
        <v>52</v>
      </c>
      <c r="B34" s="109"/>
      <c r="C34" s="110"/>
      <c r="D34" s="111" t="s">
        <v>52</v>
      </c>
      <c r="E34" s="109"/>
      <c r="F34" s="110"/>
      <c r="G34" s="111" t="s">
        <v>52</v>
      </c>
      <c r="H34" s="109"/>
      <c r="I34" s="110"/>
    </row>
    <row r="35">
      <c r="A35" s="112" t="s">
        <v>664</v>
      </c>
      <c r="B35" s="113"/>
      <c r="C35" s="114"/>
      <c r="D35" s="115" t="s">
        <v>664</v>
      </c>
      <c r="E35" s="113"/>
      <c r="F35" s="114"/>
      <c r="G35" s="115" t="s">
        <v>664</v>
      </c>
      <c r="H35" s="113"/>
      <c r="I35" s="114"/>
    </row>
    <row r="36">
      <c r="A36" s="116" t="s">
        <v>189</v>
      </c>
    </row>
    <row r="37" customHeight="true" ht="12.75">
      <c r="A37" s="14" t="s">
        <v>52</v>
      </c>
      <c r="B37" s="10"/>
      <c r="C37" s="10"/>
      <c r="D37" s="10"/>
      <c r="E37" s="10"/>
      <c r="F37" s="10"/>
      <c r="G37" s="10"/>
      <c r="H37" s="10"/>
      <c r="I37" s="10"/>
    </row>
  </sheetData>
  <mergeCells>
    <mergeCell ref="A1:I1"/>
    <mergeCell ref="A2:B3"/>
    <mergeCell ref="A4:B5"/>
    <mergeCell ref="A6:B7"/>
    <mergeCell ref="A8:B9"/>
    <mergeCell ref="A10:B11"/>
    <mergeCell ref="E2:E3"/>
    <mergeCell ref="E4:E5"/>
    <mergeCell ref="E6:E7"/>
    <mergeCell ref="E8:E9"/>
    <mergeCell ref="E10:E11"/>
    <mergeCell ref="C2:D3"/>
    <mergeCell ref="C4:D5"/>
    <mergeCell ref="C6:D7"/>
    <mergeCell ref="C8:D9"/>
    <mergeCell ref="C10:D11"/>
    <mergeCell ref="F2:G3"/>
    <mergeCell ref="F4:G5"/>
    <mergeCell ref="F6:G7"/>
    <mergeCell ref="F8:G9"/>
    <mergeCell ref="F10:G11"/>
    <mergeCell ref="H2:H3"/>
    <mergeCell ref="H4:H5"/>
    <mergeCell ref="H6:H7"/>
    <mergeCell ref="H8:H9"/>
    <mergeCell ref="H10:H11"/>
    <mergeCell ref="I2:I3"/>
    <mergeCell ref="I4:I5"/>
    <mergeCell ref="I6:I7"/>
    <mergeCell ref="I8:I9"/>
    <mergeCell ref="I10:I11"/>
    <mergeCell ref="A12:I12"/>
    <mergeCell ref="B13:C13"/>
    <mergeCell ref="E13:F13"/>
    <mergeCell ref="H13:I13"/>
    <mergeCell ref="A20:B20"/>
    <mergeCell ref="A21:B21"/>
    <mergeCell ref="A22:B22"/>
    <mergeCell ref="D14:E14"/>
    <mergeCell ref="D15:E15"/>
    <mergeCell ref="D16:E16"/>
    <mergeCell ref="D17:E17"/>
    <mergeCell ref="D18:E18"/>
    <mergeCell ref="D19:E19"/>
    <mergeCell ref="D20:E20"/>
    <mergeCell ref="D21:E21"/>
    <mergeCell ref="D22:E22"/>
    <mergeCell ref="D23:E23"/>
    <mergeCell ref="G14:H14"/>
    <mergeCell ref="G15:H15"/>
    <mergeCell ref="G16:H16"/>
    <mergeCell ref="G17:H17"/>
    <mergeCell ref="G18:H18"/>
    <mergeCell ref="G19:H19"/>
    <mergeCell ref="G20:H20"/>
    <mergeCell ref="G21:H21"/>
    <mergeCell ref="G22:H22"/>
    <mergeCell ref="G23:H23"/>
    <mergeCell ref="G24:H24"/>
    <mergeCell ref="G25:H25"/>
    <mergeCell ref="A27:B27"/>
    <mergeCell ref="A28:B28"/>
    <mergeCell ref="A29:B29"/>
    <mergeCell ref="D28:E28"/>
    <mergeCell ref="D29:E29"/>
    <mergeCell ref="G28:H28"/>
    <mergeCell ref="G29:H29"/>
    <mergeCell ref="A31:C31"/>
    <mergeCell ref="A32:C32"/>
    <mergeCell ref="A33:C33"/>
    <mergeCell ref="A34:C34"/>
    <mergeCell ref="A35:C35"/>
    <mergeCell ref="D31:F31"/>
    <mergeCell ref="D32:F32"/>
    <mergeCell ref="D33:F33"/>
    <mergeCell ref="D34:F34"/>
    <mergeCell ref="D35:F35"/>
    <mergeCell ref="G31:I31"/>
    <mergeCell ref="G32:I32"/>
    <mergeCell ref="G33:I33"/>
    <mergeCell ref="G34:I34"/>
    <mergeCell ref="G35:I35"/>
    <mergeCell ref="A37:I37"/>
  </mergeCells>
  <pageMargins left="0.393999993801117" top="0.591000020503998" right="0.393999993801117" bottom="0.591000020503998" header="0" footer="0"/>
  <pageSetup orientation="landscape" fitToHeight="1" fitToWidth="1" cellComments="none"/>
  <drawing r:id="rId1"/>
</worksheet>
</file>

<file path=xl/worksheets/sheet3.xml><?xml version="1.0" encoding="utf-8"?>
<worksheet xmlns:r="http://schemas.openxmlformats.org/officeDocument/2006/relationships" xmlns="http://schemas.openxmlformats.org/spreadsheetml/2006/main">
  <sheetPr>
    <outlinePr summaryBelow="true" summaryRight="true"/>
    <pageSetUpPr fitToPage="true"/>
  </sheetPr>
  <dimension ref="A1:I45"/>
  <sheetViews>
    <sheetView workbookViewId="0" showZeros="true" showFormulas="false" showGridLines="true" showRowColHeaders="true">
      <selection sqref="A45:E45" activeCell="A45"/>
    </sheetView>
  </sheetViews>
  <sheetFormatPr defaultColWidth="12.140625" customHeight="true" defaultRowHeight="15"/>
  <cols>
    <col max="1" min="1" style="0" width="9.140625" customWidth="true"/>
    <col max="2" min="2" style="0" width="12.85546875" customWidth="true"/>
    <col max="3" min="3" style="0" width="22.85546875" customWidth="true"/>
    <col max="4" min="4" style="0" width="10" customWidth="true"/>
    <col max="5" min="5" style="0" width="14" customWidth="true"/>
    <col max="6" min="6" style="0" width="22.85546875" customWidth="true"/>
    <col max="7" min="7" style="0" width="9.140625" customWidth="true"/>
    <col max="8" min="8" style="0" width="17.140625" customWidth="true"/>
    <col max="9" min="9" style="0" width="22.85546875" customWidth="true"/>
  </cols>
  <sheetData>
    <row r="1" customHeight="true" ht="54.75">
      <c r="A1" s="66" t="s">
        <v>158</v>
      </c>
      <c r="B1" s="1"/>
      <c r="C1" s="1"/>
      <c r="D1" s="1"/>
      <c r="E1" s="1"/>
      <c r="F1" s="1"/>
      <c r="G1" s="1"/>
      <c r="H1" s="1"/>
      <c r="I1" s="1"/>
    </row>
    <row r="2">
      <c r="A2" s="3" t="s">
        <v>1</v>
      </c>
      <c r="B2" s="4"/>
      <c r="C2" s="5">
        <f>'Stavební rozpočet'!D2</f>
      </c>
      <c r="D2" s="6"/>
      <c r="E2" s="7" t="s">
        <v>5</v>
      </c>
      <c r="F2" s="7">
        <f>'Stavební rozpočet'!J2</f>
      </c>
      <c r="G2" s="4"/>
      <c r="H2" s="7" t="s">
        <v>625</v>
      </c>
      <c r="I2" s="8" t="s">
        <v>52</v>
      </c>
    </row>
    <row r="3" customHeight="true" ht="15">
      <c r="A3" s="9"/>
      <c r="B3" s="10"/>
      <c r="C3" s="11"/>
      <c r="D3" s="11"/>
      <c r="E3" s="10"/>
      <c r="F3" s="10"/>
      <c r="G3" s="10"/>
      <c r="H3" s="10"/>
      <c r="I3" s="12"/>
    </row>
    <row r="4">
      <c r="A4" s="13" t="s">
        <v>7</v>
      </c>
      <c r="B4" s="10"/>
      <c r="C4" s="14">
        <f>'Stavební rozpočet'!D4</f>
      </c>
      <c r="D4" s="10"/>
      <c r="E4" s="14" t="s">
        <v>11</v>
      </c>
      <c r="F4" s="14">
        <f>'Stavební rozpočet'!J4</f>
      </c>
      <c r="G4" s="10"/>
      <c r="H4" s="14" t="s">
        <v>625</v>
      </c>
      <c r="I4" s="12" t="s">
        <v>52</v>
      </c>
    </row>
    <row r="5" customHeight="true" ht="15">
      <c r="A5" s="9"/>
      <c r="B5" s="10"/>
      <c r="C5" s="10"/>
      <c r="D5" s="10"/>
      <c r="E5" s="10"/>
      <c r="F5" s="10"/>
      <c r="G5" s="10"/>
      <c r="H5" s="10"/>
      <c r="I5" s="12"/>
    </row>
    <row r="6">
      <c r="A6" s="13" t="s">
        <v>12</v>
      </c>
      <c r="B6" s="10"/>
      <c r="C6" s="14">
        <f>'Stavební rozpočet'!D6</f>
      </c>
      <c r="D6" s="10"/>
      <c r="E6" s="14" t="s">
        <v>16</v>
      </c>
      <c r="F6" s="14">
        <f>'Stavební rozpočet'!J6</f>
      </c>
      <c r="G6" s="10"/>
      <c r="H6" s="14" t="s">
        <v>625</v>
      </c>
      <c r="I6" s="12" t="s">
        <v>52</v>
      </c>
    </row>
    <row r="7" customHeight="true" ht="15">
      <c r="A7" s="9"/>
      <c r="B7" s="10"/>
      <c r="C7" s="10"/>
      <c r="D7" s="10"/>
      <c r="E7" s="10"/>
      <c r="F7" s="10"/>
      <c r="G7" s="10"/>
      <c r="H7" s="10"/>
      <c r="I7" s="12"/>
    </row>
    <row r="8">
      <c r="A8" s="13" t="s">
        <v>9</v>
      </c>
      <c r="B8" s="10"/>
      <c r="C8" s="14">
        <f>'Stavební rozpočet'!H4</f>
      </c>
      <c r="D8" s="10"/>
      <c r="E8" s="14" t="s">
        <v>14</v>
      </c>
      <c r="F8" s="14">
        <f>'Stavební rozpočet'!H6</f>
      </c>
      <c r="G8" s="10"/>
      <c r="H8" s="10" t="s">
        <v>626</v>
      </c>
      <c r="I8" s="67" t="n">
        <v>141</v>
      </c>
    </row>
    <row r="9">
      <c r="A9" s="9"/>
      <c r="B9" s="10"/>
      <c r="C9" s="10"/>
      <c r="D9" s="10"/>
      <c r="E9" s="10"/>
      <c r="F9" s="10"/>
      <c r="G9" s="10"/>
      <c r="H9" s="10"/>
      <c r="I9" s="12"/>
    </row>
    <row r="10">
      <c r="A10" s="13" t="s">
        <v>17</v>
      </c>
      <c r="B10" s="10"/>
      <c r="C10" s="14">
        <f>'Stavební rozpočet'!D8</f>
      </c>
      <c r="D10" s="10"/>
      <c r="E10" s="14" t="s">
        <v>20</v>
      </c>
      <c r="F10" s="14">
        <f>'Stavební rozpočet'!J8</f>
      </c>
      <c r="G10" s="10"/>
      <c r="H10" s="10" t="s">
        <v>627</v>
      </c>
      <c r="I10" s="68">
        <f>'Stavební rozpočet'!H8</f>
      </c>
    </row>
    <row r="11">
      <c r="A11" s="58"/>
      <c r="B11" s="59"/>
      <c r="C11" s="59"/>
      <c r="D11" s="59"/>
      <c r="E11" s="59"/>
      <c r="F11" s="59"/>
      <c r="G11" s="59"/>
      <c r="H11" s="59"/>
      <c r="I11" s="69"/>
    </row>
    <row r="13">
      <c r="A13" s="117" t="s">
        <v>665</v>
      </c>
      <c r="B13" s="117"/>
      <c r="C13" s="117"/>
      <c r="D13" s="117"/>
      <c r="E13" s="117"/>
    </row>
    <row r="14">
      <c r="A14" s="118" t="s">
        <v>666</v>
      </c>
      <c r="B14" s="119"/>
      <c r="C14" s="119"/>
      <c r="D14" s="119"/>
      <c r="E14" s="120"/>
      <c r="F14" s="121" t="s">
        <v>667</v>
      </c>
      <c r="G14" s="121" t="s">
        <v>668</v>
      </c>
      <c r="H14" s="121" t="s">
        <v>669</v>
      </c>
      <c r="I14" s="121" t="s">
        <v>667</v>
      </c>
    </row>
    <row r="15">
      <c r="A15" s="122" t="s">
        <v>637</v>
      </c>
      <c r="B15" s="123"/>
      <c r="C15" s="123"/>
      <c r="D15" s="123"/>
      <c r="E15" s="124"/>
      <c r="F15" s="125" t="n">
        <v>0</v>
      </c>
      <c r="G15" s="126" t="s">
        <v>52</v>
      </c>
      <c r="H15" s="126" t="s">
        <v>52</v>
      </c>
      <c r="I15" s="125">
        <f>F15</f>
      </c>
    </row>
    <row r="16">
      <c r="A16" s="122" t="s">
        <v>638</v>
      </c>
      <c r="B16" s="123"/>
      <c r="C16" s="123"/>
      <c r="D16" s="123"/>
      <c r="E16" s="124"/>
      <c r="F16" s="125" t="n">
        <v>0</v>
      </c>
      <c r="G16" s="126" t="s">
        <v>52</v>
      </c>
      <c r="H16" s="126" t="s">
        <v>52</v>
      </c>
      <c r="I16" s="125">
        <f>F16</f>
      </c>
    </row>
    <row r="17">
      <c r="A17" s="127" t="s">
        <v>641</v>
      </c>
      <c r="B17" s="128"/>
      <c r="C17" s="128"/>
      <c r="D17" s="128"/>
      <c r="E17" s="129"/>
      <c r="F17" s="130" t="n">
        <v>0</v>
      </c>
      <c r="G17" s="131" t="s">
        <v>52</v>
      </c>
      <c r="H17" s="131" t="s">
        <v>52</v>
      </c>
      <c r="I17" s="130">
        <f>F17</f>
      </c>
    </row>
    <row r="18">
      <c r="A18" s="132" t="s">
        <v>670</v>
      </c>
      <c r="B18" s="133"/>
      <c r="C18" s="133"/>
      <c r="D18" s="133"/>
      <c r="E18" s="134"/>
      <c r="F18" s="135" t="s">
        <v>52</v>
      </c>
      <c r="G18" s="136" t="s">
        <v>52</v>
      </c>
      <c r="H18" s="136" t="s">
        <v>52</v>
      </c>
      <c r="I18" s="137">
        <f>SUM(I15:I17)</f>
      </c>
    </row>
    <row r="20">
      <c r="A20" s="118" t="s">
        <v>634</v>
      </c>
      <c r="B20" s="119"/>
      <c r="C20" s="119"/>
      <c r="D20" s="119"/>
      <c r="E20" s="120"/>
      <c r="F20" s="121" t="s">
        <v>667</v>
      </c>
      <c r="G20" s="121" t="s">
        <v>668</v>
      </c>
      <c r="H20" s="121" t="s">
        <v>669</v>
      </c>
      <c r="I20" s="121" t="s">
        <v>667</v>
      </c>
    </row>
    <row r="21">
      <c r="A21" s="122" t="s">
        <v>160</v>
      </c>
      <c r="B21" s="123"/>
      <c r="C21" s="123"/>
      <c r="D21" s="123"/>
      <c r="E21" s="124"/>
      <c r="F21" s="125" t="n">
        <v>0</v>
      </c>
      <c r="G21" s="126" t="s">
        <v>52</v>
      </c>
      <c r="H21" s="126" t="s">
        <v>52</v>
      </c>
      <c r="I21" s="125">
        <f>F21</f>
      </c>
    </row>
    <row r="22">
      <c r="A22" s="122" t="s">
        <v>639</v>
      </c>
      <c r="B22" s="123"/>
      <c r="C22" s="123"/>
      <c r="D22" s="123"/>
      <c r="E22" s="124"/>
      <c r="F22" s="125" t="n">
        <v>0</v>
      </c>
      <c r="G22" s="126" t="s">
        <v>52</v>
      </c>
      <c r="H22" s="126" t="s">
        <v>52</v>
      </c>
      <c r="I22" s="125">
        <f>F22</f>
      </c>
    </row>
    <row r="23">
      <c r="A23" s="122" t="s">
        <v>642</v>
      </c>
      <c r="B23" s="123"/>
      <c r="C23" s="123"/>
      <c r="D23" s="123"/>
      <c r="E23" s="124"/>
      <c r="F23" s="125" t="n">
        <v>0</v>
      </c>
      <c r="G23" s="126" t="s">
        <v>52</v>
      </c>
      <c r="H23" s="126" t="s">
        <v>52</v>
      </c>
      <c r="I23" s="125">
        <f>F23</f>
      </c>
    </row>
    <row r="24">
      <c r="A24" s="122" t="s">
        <v>174</v>
      </c>
      <c r="B24" s="123"/>
      <c r="C24" s="123"/>
      <c r="D24" s="123"/>
      <c r="E24" s="124"/>
      <c r="F24" s="125" t="n">
        <v>0</v>
      </c>
      <c r="G24" s="126" t="s">
        <v>52</v>
      </c>
      <c r="H24" s="126" t="s">
        <v>52</v>
      </c>
      <c r="I24" s="125">
        <f>F24</f>
      </c>
    </row>
    <row r="25">
      <c r="A25" s="122" t="s">
        <v>644</v>
      </c>
      <c r="B25" s="123"/>
      <c r="C25" s="123"/>
      <c r="D25" s="123"/>
      <c r="E25" s="124"/>
      <c r="F25" s="125" t="n">
        <v>0</v>
      </c>
      <c r="G25" s="126" t="s">
        <v>52</v>
      </c>
      <c r="H25" s="126" t="s">
        <v>52</v>
      </c>
      <c r="I25" s="125">
        <f>F25</f>
      </c>
    </row>
    <row r="26">
      <c r="A26" s="127" t="s">
        <v>645</v>
      </c>
      <c r="B26" s="128"/>
      <c r="C26" s="128"/>
      <c r="D26" s="128"/>
      <c r="E26" s="129"/>
      <c r="F26" s="130" t="n">
        <v>0</v>
      </c>
      <c r="G26" s="131" t="s">
        <v>52</v>
      </c>
      <c r="H26" s="131" t="s">
        <v>52</v>
      </c>
      <c r="I26" s="130">
        <f>F26</f>
      </c>
    </row>
    <row r="27">
      <c r="A27" s="132" t="s">
        <v>671</v>
      </c>
      <c r="B27" s="133"/>
      <c r="C27" s="133"/>
      <c r="D27" s="133"/>
      <c r="E27" s="134"/>
      <c r="F27" s="135" t="s">
        <v>52</v>
      </c>
      <c r="G27" s="136" t="s">
        <v>52</v>
      </c>
      <c r="H27" s="136" t="s">
        <v>52</v>
      </c>
      <c r="I27" s="137">
        <f>SUM(I21:I26)</f>
      </c>
    </row>
    <row r="29">
      <c r="A29" s="138" t="s">
        <v>672</v>
      </c>
      <c r="B29" s="139"/>
      <c r="C29" s="139"/>
      <c r="D29" s="139"/>
      <c r="E29" s="140"/>
      <c r="F29" s="141">
        <f>I18+I27</f>
      </c>
      <c r="G29" s="142"/>
      <c r="H29" s="142"/>
      <c r="I29" s="143"/>
    </row>
    <row r="33">
      <c r="A33" s="117" t="s">
        <v>673</v>
      </c>
      <c r="B33" s="117"/>
      <c r="C33" s="117"/>
      <c r="D33" s="117"/>
      <c r="E33" s="117"/>
    </row>
    <row r="34">
      <c r="A34" s="118" t="s">
        <v>674</v>
      </c>
      <c r="B34" s="119"/>
      <c r="C34" s="119"/>
      <c r="D34" s="119"/>
      <c r="E34" s="120"/>
      <c r="F34" s="121" t="s">
        <v>667</v>
      </c>
      <c r="G34" s="121" t="s">
        <v>668</v>
      </c>
      <c r="H34" s="121" t="s">
        <v>669</v>
      </c>
      <c r="I34" s="121" t="s">
        <v>667</v>
      </c>
    </row>
    <row r="35">
      <c r="A35" s="122" t="s">
        <v>343</v>
      </c>
      <c r="B35" s="123"/>
      <c r="C35" s="123"/>
      <c r="D35" s="123"/>
      <c r="E35" s="124"/>
      <c r="F35" s="125">
        <f>SUM('Stavební rozpočet'!BM12:BM474)</f>
      </c>
      <c r="G35" s="126" t="s">
        <v>52</v>
      </c>
      <c r="H35" s="126" t="s">
        <v>52</v>
      </c>
      <c r="I35" s="125">
        <f>F35</f>
      </c>
    </row>
    <row r="36">
      <c r="A36" s="122" t="s">
        <v>675</v>
      </c>
      <c r="B36" s="123"/>
      <c r="C36" s="123"/>
      <c r="D36" s="123"/>
      <c r="E36" s="124"/>
      <c r="F36" s="125">
        <f>SUM('Stavební rozpočet'!BN12:BN474)</f>
      </c>
      <c r="G36" s="126" t="s">
        <v>52</v>
      </c>
      <c r="H36" s="126" t="s">
        <v>52</v>
      </c>
      <c r="I36" s="125">
        <f>F36</f>
      </c>
    </row>
    <row r="37">
      <c r="A37" s="122" t="s">
        <v>160</v>
      </c>
      <c r="B37" s="123"/>
      <c r="C37" s="123"/>
      <c r="D37" s="123"/>
      <c r="E37" s="124"/>
      <c r="F37" s="125">
        <f>SUM('Stavební rozpočet'!BO12:BO474)</f>
      </c>
      <c r="G37" s="126" t="s">
        <v>52</v>
      </c>
      <c r="H37" s="126" t="s">
        <v>52</v>
      </c>
      <c r="I37" s="125">
        <f>F37</f>
      </c>
    </row>
    <row r="38">
      <c r="A38" s="122" t="s">
        <v>168</v>
      </c>
      <c r="B38" s="123"/>
      <c r="C38" s="123"/>
      <c r="D38" s="123"/>
      <c r="E38" s="124"/>
      <c r="F38" s="125">
        <f>SUM('Stavební rozpočet'!BP12:BP474)</f>
      </c>
      <c r="G38" s="126" t="s">
        <v>52</v>
      </c>
      <c r="H38" s="126" t="s">
        <v>52</v>
      </c>
      <c r="I38" s="125">
        <f>F38</f>
      </c>
    </row>
    <row r="39">
      <c r="A39" s="122" t="s">
        <v>676</v>
      </c>
      <c r="B39" s="123"/>
      <c r="C39" s="123"/>
      <c r="D39" s="123"/>
      <c r="E39" s="124"/>
      <c r="F39" s="125">
        <f>SUM('Stavební rozpočet'!BQ12:BQ474)</f>
      </c>
      <c r="G39" s="126" t="s">
        <v>52</v>
      </c>
      <c r="H39" s="126" t="s">
        <v>52</v>
      </c>
      <c r="I39" s="125">
        <f>F39</f>
      </c>
    </row>
    <row r="40">
      <c r="A40" s="122" t="s">
        <v>642</v>
      </c>
      <c r="B40" s="123"/>
      <c r="C40" s="123"/>
      <c r="D40" s="123"/>
      <c r="E40" s="124"/>
      <c r="F40" s="125">
        <f>SUM('Stavební rozpočet'!BR12:BR474)</f>
      </c>
      <c r="G40" s="126" t="s">
        <v>52</v>
      </c>
      <c r="H40" s="126" t="s">
        <v>52</v>
      </c>
      <c r="I40" s="125">
        <f>F40</f>
      </c>
    </row>
    <row r="41">
      <c r="A41" s="122" t="s">
        <v>174</v>
      </c>
      <c r="B41" s="123"/>
      <c r="C41" s="123"/>
      <c r="D41" s="123"/>
      <c r="E41" s="124"/>
      <c r="F41" s="125">
        <f>SUM('Stavební rozpočet'!BS12:BS474)</f>
      </c>
      <c r="G41" s="126" t="s">
        <v>52</v>
      </c>
      <c r="H41" s="126" t="s">
        <v>52</v>
      </c>
      <c r="I41" s="125">
        <f>F41</f>
      </c>
    </row>
    <row r="42">
      <c r="A42" s="122" t="s">
        <v>677</v>
      </c>
      <c r="B42" s="123"/>
      <c r="C42" s="123"/>
      <c r="D42" s="123"/>
      <c r="E42" s="124"/>
      <c r="F42" s="125">
        <f>SUM('Stavební rozpočet'!BT12:BT474)</f>
      </c>
      <c r="G42" s="126" t="s">
        <v>52</v>
      </c>
      <c r="H42" s="126" t="s">
        <v>52</v>
      </c>
      <c r="I42" s="125">
        <f>F42</f>
      </c>
    </row>
    <row r="43">
      <c r="A43" s="122" t="s">
        <v>678</v>
      </c>
      <c r="B43" s="123"/>
      <c r="C43" s="123"/>
      <c r="D43" s="123"/>
      <c r="E43" s="124"/>
      <c r="F43" s="125">
        <f>SUM('Stavební rozpočet'!BU12:BU474)</f>
      </c>
      <c r="G43" s="126" t="s">
        <v>52</v>
      </c>
      <c r="H43" s="126" t="s">
        <v>52</v>
      </c>
      <c r="I43" s="125">
        <f>F43</f>
      </c>
    </row>
    <row r="44">
      <c r="A44" s="127" t="s">
        <v>679</v>
      </c>
      <c r="B44" s="128"/>
      <c r="C44" s="128"/>
      <c r="D44" s="128"/>
      <c r="E44" s="129"/>
      <c r="F44" s="130">
        <f>SUM('Stavební rozpočet'!BV12:BV474)</f>
      </c>
      <c r="G44" s="131" t="s">
        <v>52</v>
      </c>
      <c r="H44" s="131" t="s">
        <v>52</v>
      </c>
      <c r="I44" s="130">
        <f>F44</f>
      </c>
    </row>
    <row r="45">
      <c r="A45" s="132" t="s">
        <v>680</v>
      </c>
      <c r="B45" s="133"/>
      <c r="C45" s="133"/>
      <c r="D45" s="133"/>
      <c r="E45" s="134"/>
      <c r="F45" s="135" t="s">
        <v>52</v>
      </c>
      <c r="G45" s="136" t="s">
        <v>52</v>
      </c>
      <c r="H45" s="136" t="s">
        <v>52</v>
      </c>
      <c r="I45" s="137">
        <f>SUM(I35:I44)</f>
      </c>
    </row>
  </sheetData>
  <mergeCells>
    <mergeCell ref="A1:I1"/>
    <mergeCell ref="A2:B3"/>
    <mergeCell ref="A4:B5"/>
    <mergeCell ref="A6:B7"/>
    <mergeCell ref="A8:B9"/>
    <mergeCell ref="A10:B11"/>
    <mergeCell ref="E2:E3"/>
    <mergeCell ref="E4:E5"/>
    <mergeCell ref="E6:E7"/>
    <mergeCell ref="E8:E9"/>
    <mergeCell ref="E10:E11"/>
    <mergeCell ref="H2:H3"/>
    <mergeCell ref="H4:H5"/>
    <mergeCell ref="H6:H7"/>
    <mergeCell ref="H8:H9"/>
    <mergeCell ref="H10:H11"/>
    <mergeCell ref="C2:D3"/>
    <mergeCell ref="C4:D5"/>
    <mergeCell ref="C6:D7"/>
    <mergeCell ref="C8:D9"/>
    <mergeCell ref="C10:D11"/>
    <mergeCell ref="F2:G3"/>
    <mergeCell ref="F4:G5"/>
    <mergeCell ref="F6:G7"/>
    <mergeCell ref="F8:G9"/>
    <mergeCell ref="F10:G11"/>
    <mergeCell ref="I2:I3"/>
    <mergeCell ref="I4:I5"/>
    <mergeCell ref="I6:I7"/>
    <mergeCell ref="I8:I9"/>
    <mergeCell ref="I10:I11"/>
    <mergeCell ref="A13:E13"/>
    <mergeCell ref="A14:E14"/>
    <mergeCell ref="A15:E15"/>
    <mergeCell ref="A16:E16"/>
    <mergeCell ref="A17:E17"/>
    <mergeCell ref="A18:E18"/>
    <mergeCell ref="A20:E20"/>
    <mergeCell ref="A21:E21"/>
    <mergeCell ref="A22:E22"/>
    <mergeCell ref="A23:E23"/>
    <mergeCell ref="A24:E24"/>
    <mergeCell ref="A25:E25"/>
    <mergeCell ref="A26:E26"/>
    <mergeCell ref="A27:E27"/>
    <mergeCell ref="A29:E29"/>
    <mergeCell ref="F29:I29"/>
    <mergeCell ref="A33:E33"/>
    <mergeCell ref="A34:E34"/>
    <mergeCell ref="A35:E35"/>
    <mergeCell ref="A36:E36"/>
    <mergeCell ref="A37:E37"/>
    <mergeCell ref="A38:E38"/>
    <mergeCell ref="A39:E39"/>
    <mergeCell ref="A40:E40"/>
    <mergeCell ref="A41:E41"/>
    <mergeCell ref="A42:E42"/>
    <mergeCell ref="A43:E43"/>
    <mergeCell ref="A44:E44"/>
    <mergeCell ref="A45:E45"/>
  </mergeCells>
  <pageMargins left="0.393999993801117" top="0.591000020503998" right="0.393999993801117" bottom="0.591000020503998" header="0" footer="0"/>
  <pageSetup orientation="landscape" fitToHeight="0" fitToWidth="1" cellComments="none"/>
  <drawing r:id="rId1"/>
</worksheet>
</file>

<file path=docProps/core.xml><?xml version="1.0" encoding="utf-8"?>
<cp:coreProperties xmlns:xsi="http://www.w3.org/2001/XMLSchema-instance" xmlns:dcmitype="http://purl.org/dc/dcmitype/" xmlns:dcterms="http://purl.org/dc/terms/" xmlns:dc="http://purl.org/dc/elements/1.1/" xmlns:cp="http://schemas.openxmlformats.org/package/2006/metadata/core-properties">
  <dc:creator>HP</dc:creator>
  <cp:lastModifiedBy>HP</cp:lastModifiedBy>
  <dcterms:created xsi:type="dcterms:W3CDTF">2021-06-10T20:06:38.031Z</dcterms:created>
  <dcterms:modified xsi:type="dcterms:W3CDTF">2021-06-10T20:06:38.351Z</dcterms:modified>
</cp:coreProperties>
</file>