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40" windowHeight="8950" activeTab="0"/>
  </bookViews>
  <sheets>
    <sheet name="Rekapitulace stavby" sheetId="1" r:id="rId1"/>
    <sheet name="SO 02 - Fasáda" sheetId="2" r:id="rId2"/>
    <sheet name="SO 03 - Drenáže" sheetId="3" r:id="rId3"/>
  </sheets>
  <definedNames>
    <definedName name="_xlnm.Print_Titles" localSheetId="0">'Rekapitulace stavby'!$85:$85</definedName>
    <definedName name="_xlnm.Print_Titles" localSheetId="1">'SO 02 - Fasáda'!$136:$136</definedName>
    <definedName name="_xlnm.Print_Titles" localSheetId="2">'SO 03 - Drenáže'!$133:$133</definedName>
    <definedName name="_xlnm.Print_Area" localSheetId="0">'Rekapitulace stavby'!$C$4:$AP$70,'Rekapitulace stavby'!$C$76:$AP$106</definedName>
    <definedName name="_xlnm.Print_Area" localSheetId="1">'SO 02 - Fasáda'!$C$4:$Q$70,'SO 02 - Fasáda'!$C$76:$Q$120,'SO 02 - Fasáda'!$C$126:$Q$255</definedName>
    <definedName name="_xlnm.Print_Area" localSheetId="2">'SO 03 - Drenáže'!$C$4:$Q$70,'SO 03 - Drenáže'!$C$76:$Q$117,'SO 03 - Drenáže'!$C$123:$Q$223</definedName>
  </definedNames>
  <calcPr fullCalcOnLoad="1"/>
</workbook>
</file>

<file path=xl/sharedStrings.xml><?xml version="1.0" encoding="utf-8"?>
<sst xmlns="http://schemas.openxmlformats.org/spreadsheetml/2006/main" count="2799" uniqueCount="747">
  <si>
    <t>2012</t>
  </si>
  <si>
    <t>List obsahuje:</t>
  </si>
  <si>
    <t>2.0</t>
  </si>
  <si>
    <t>ZAMOK</t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</si>
  <si>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</si>
  <si>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</si>
  <si>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</si>
  <si>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</si>
  <si>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</si>
  <si>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</si>
  <si>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</si>
  <si>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</si>
  <si>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Návod na vyplnění</t>
  </si>
  <si>
    <t>0,001</t>
  </si>
  <si>
    <t>Kód:</t>
  </si>
  <si>
    <t>MUVARNSDORF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</si>
  <si>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případe potřeby poznámku (ta je v skrytém sloupci)</t>
  </si>
  <si>
    <t>Stavba:</t>
  </si>
  <si>
    <t>Oprava fasády ZŠ Karlova č.p. 1700 ve Varnsdorfu_upravený</t>
  </si>
  <si>
    <t>0,1</t>
  </si>
  <si>
    <t>JKSO:</t>
  </si>
  <si>
    <t>CC-CZ:</t>
  </si>
  <si>
    <t>1</t>
  </si>
  <si>
    <t>Místo:</t>
  </si>
  <si>
    <t>Varnsdorf</t>
  </si>
  <si>
    <t>Datum:</t>
  </si>
  <si>
    <t>15.10.2011</t>
  </si>
  <si>
    <t>10</t>
  </si>
  <si>
    <t>100</t>
  </si>
  <si>
    <t>Objednavatel:</t>
  </si>
  <si>
    <t>IČ:</t>
  </si>
  <si>
    <t>Město Varnsdorf, nám. E. Beneše 470, Varnsdorf</t>
  </si>
  <si>
    <t>DIČ:</t>
  </si>
  <si>
    <t>Zhotovitel:</t>
  </si>
  <si>
    <t>Vyplň údaj</t>
  </si>
  <si>
    <t>True</t>
  </si>
  <si>
    <t>Projektant:</t>
  </si>
  <si>
    <t>ProProjekt s.r.o., Komenského 1173, Rumburk</t>
  </si>
  <si>
    <t>Zpracovatel:</t>
  </si>
  <si>
    <t>Pavel Hruška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</si>
  <si>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</si>
  <si>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</si>
  <si>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</si>
  <si>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</si>
  <si>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</si>
  <si>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</si>
  <si>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</si>
  <si>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</si>
  <si>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</si>
  <si>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</si>
  <si>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</si>
  <si>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</si>
  <si>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</si>
  <si>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</si>
  <si>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</si>
  <si>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</si>
  <si>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</si>
  <si>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</si>
  <si>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</si>
  <si>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</si>
  <si>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</si>
  <si>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</si>
  <si>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</si>
  <si>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</si>
  <si>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</si>
  <si>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</si>
  <si>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</si>
  <si>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</si>
  <si>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</si>
  <si>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</si>
  <si>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</si>
  <si>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</si>
  <si>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</si>
  <si>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</si>
  <si>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</si>
  <si>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</si>
  <si>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</si>
  <si>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</si>
  <si>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</si>
  <si>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</si>
  <si>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</si>
  <si>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</si>
  <si>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</si>
  <si>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{F4CCB7CA-C572-4548-B72D-F75B840240F0}</t>
  </si>
  <si>
    <t>{00000000-0000-0000-0000-000000000000}</t>
  </si>
  <si>
    <t>SO 02</t>
  </si>
  <si>
    <t>Fasáda</t>
  </si>
  <si>
    <t>{E72DDDAF-1633-469C-BB0A-B039151D4D82}</t>
  </si>
  <si>
    <t>SO 03</t>
  </si>
  <si>
    <t>Drenáže</t>
  </si>
  <si>
    <t>{17B6A42E-34C7-4028-807B-859879B1DA7B}</t>
  </si>
  <si>
    <t>2) Ostatní náklady ze souhrnného listu</t>
  </si>
  <si>
    <t>Procent. zadání
[% nákladů rozpočtu]</t>
  </si>
  <si>
    <t>Zařazení nákladů</t>
  </si>
  <si>
    <t>Projektové práce</t>
  </si>
  <si>
    <t>stavební čast</t>
  </si>
  <si>
    <t>OSTATNENAKLADY</t>
  </si>
  <si>
    <t>Průzkumné práce</t>
  </si>
  <si>
    <t>Stroje, zařízení, inventář</t>
  </si>
  <si>
    <t>Umělecká díla</t>
  </si>
  <si>
    <t>Vedlejší náklady</t>
  </si>
  <si>
    <t>Ostatní náklady</t>
  </si>
  <si>
    <t>H. Rezerva</t>
  </si>
  <si>
    <t>I. Ostatní investice</t>
  </si>
  <si>
    <t>Nehmotný investiční majetek</t>
  </si>
  <si>
    <t>Provozní náklady</t>
  </si>
  <si>
    <t>Vyplň vlastní</t>
  </si>
  <si>
    <t>OSTATNENAKLADYVLASTNE</t>
  </si>
  <si>
    <t>Celkové náklady za stavbu 1) + 2)</t>
  </si>
  <si>
    <t>Zpět na list:</t>
  </si>
  <si>
    <t>2</t>
  </si>
  <si>
    <t>KRYCÍ LIST ROZPOČTU</t>
  </si>
  <si>
    <t>Objekt:</t>
  </si>
  <si>
    <t>SO 02 - Fasáda</t>
  </si>
  <si>
    <t>bude vybrán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</si>
  <si>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</si>
  <si>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</si>
  <si>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</si>
  <si>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</si>
  <si>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</si>
  <si>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</si>
  <si>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</si>
  <si>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</si>
  <si>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</si>
  <si>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</si>
  <si>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</si>
  <si>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6 - Úpravy povrchu, podlahy, osazení</t>
  </si>
  <si>
    <t xml:space="preserve">    9 - Ostatní konstrukce a práce-bourání</t>
  </si>
  <si>
    <t xml:space="preserve">      99 - Přesun hmot</t>
  </si>
  <si>
    <t>PSV - Práce a dodávky PSV</t>
  </si>
  <si>
    <t xml:space="preserve">    721 - Zdravotechnika - vnitřní kanalizace</t>
  </si>
  <si>
    <t xml:space="preserve">    722 - Zdravotechnika - vnitřní vodovod</t>
  </si>
  <si>
    <t xml:space="preserve">    723 - Zdravotechnika - vnitřní plynovod</t>
  </si>
  <si>
    <t xml:space="preserve">    725 - Zdravotechnika - zařizovací předměty</t>
  </si>
  <si>
    <t xml:space="preserve">    764 - Konstrukce klempířské</t>
  </si>
  <si>
    <t xml:space="preserve">    767 - Konstrukce zámečnické</t>
  </si>
  <si>
    <t xml:space="preserve">    783 - Dokončovací práce - nátěry</t>
  </si>
  <si>
    <t>M - Práce a dodávky M</t>
  </si>
  <si>
    <t xml:space="preserve">    21-M - Elektromontáže</t>
  </si>
  <si>
    <t xml:space="preserve">    58-M - Revize vyhrazených technických zařízení</t>
  </si>
  <si>
    <t>VRN - Vedlejší rozpočtové náklady</t>
  </si>
  <si>
    <t xml:space="preserve">    VRN4 - Inženýrská činnost</t>
  </si>
  <si>
    <t>VP -   Vícepráce</t>
  </si>
  <si>
    <t>2) Ostatní náklady</t>
  </si>
  <si>
    <t>Zařízení staveniště</t>
  </si>
  <si>
    <t>VRN</t>
  </si>
  <si>
    <t>Mimostav. doprava</t>
  </si>
  <si>
    <t>Územní vlivy</t>
  </si>
  <si>
    <t>Provozní vlivy</t>
  </si>
  <si>
    <t>Ostatní</t>
  </si>
  <si>
    <t>Kompletační činnost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</si>
  <si>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</si>
  <si>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</si>
  <si>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</si>
  <si>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</si>
  <si>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</si>
  <si>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</si>
  <si>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</si>
  <si>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</si>
  <si>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Cena celkem
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</si>
  <si>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</si>
  <si>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</si>
  <si>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</si>
  <si>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</si>
  <si>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</si>
  <si>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</si>
  <si>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</si>
  <si>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</si>
  <si>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</si>
  <si>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132201101</t>
  </si>
  <si>
    <t>Hloubení rýh š do 600 mm v hornině tř. 3 objemu do 100 m3</t>
  </si>
  <si>
    <t>m3</t>
  </si>
  <si>
    <t>4</t>
  </si>
  <si>
    <t>2101206743</t>
  </si>
  <si>
    <t>132201109</t>
  </si>
  <si>
    <t>Příplatek za lepivost k hloubení rýh š do 600 mm v hornině tř. 3</t>
  </si>
  <si>
    <t>-551243883</t>
  </si>
  <si>
    <t>3</t>
  </si>
  <si>
    <t>162501102</t>
  </si>
  <si>
    <t>Vodorovné přemístění do 3000 m výkopku z horniny tř. 1 až 4</t>
  </si>
  <si>
    <t>-26262809</t>
  </si>
  <si>
    <t>167101101</t>
  </si>
  <si>
    <t>Nakládání výkopku z hornin tř. 1 až 4 do 100 m3</t>
  </si>
  <si>
    <t>-785449879</t>
  </si>
  <si>
    <t>5</t>
  </si>
  <si>
    <t>171201-1</t>
  </si>
  <si>
    <t>Poplatek za skládku - zemina</t>
  </si>
  <si>
    <t>452546376</t>
  </si>
  <si>
    <t>6</t>
  </si>
  <si>
    <t>171201201</t>
  </si>
  <si>
    <t>Uložení sypaniny na skládky</t>
  </si>
  <si>
    <t>1682245635</t>
  </si>
  <si>
    <t>7</t>
  </si>
  <si>
    <t>175101201</t>
  </si>
  <si>
    <t>Obsyp objektů bez prohození sypaniny z hornin tř. 1 až 4 uloženým do 30 m od kraje objektu</t>
  </si>
  <si>
    <t>2075988174</t>
  </si>
  <si>
    <t>8</t>
  </si>
  <si>
    <t>M</t>
  </si>
  <si>
    <t>581533070</t>
  </si>
  <si>
    <t>písek technický tříděný KP 48 kamínky</t>
  </si>
  <si>
    <t>t</t>
  </si>
  <si>
    <t>1415112971</t>
  </si>
  <si>
    <t>9</t>
  </si>
  <si>
    <t>1811011-R1</t>
  </si>
  <si>
    <t>Terénní úpravy okolo okapového chodníčku včetně dodávky zeminy a osetí travním semenem</t>
  </si>
  <si>
    <t>m2</t>
  </si>
  <si>
    <t>-501412453</t>
  </si>
  <si>
    <t>216903121</t>
  </si>
  <si>
    <t>Otryskání pískem zdiva líce kleneb</t>
  </si>
  <si>
    <t>-4365273</t>
  </si>
  <si>
    <t>11</t>
  </si>
  <si>
    <t>289474211</t>
  </si>
  <si>
    <t>Spárování kleneb, stěn a zdiva řádkového nebo kvádrového hl spár do 30 mm</t>
  </si>
  <si>
    <t>990109757</t>
  </si>
  <si>
    <t>12</t>
  </si>
  <si>
    <t>289971211</t>
  </si>
  <si>
    <t>Vrstvy z geotextilií ve sklonu do 1:5 š do 3 m</t>
  </si>
  <si>
    <t>-1838766696</t>
  </si>
  <si>
    <t>13</t>
  </si>
  <si>
    <t>673520200</t>
  </si>
  <si>
    <t>geotextilie tkaná (polypropylen) Geolon PP 15 100 g/m2</t>
  </si>
  <si>
    <t>1059251920</t>
  </si>
  <si>
    <t>14</t>
  </si>
  <si>
    <t>317235-R1</t>
  </si>
  <si>
    <t>Příplatek za opravu a doplnění říms</t>
  </si>
  <si>
    <t>m</t>
  </si>
  <si>
    <t>9410986</t>
  </si>
  <si>
    <t>317235-R2</t>
  </si>
  <si>
    <t>Doplnění a oprava zdobného prvku nad okny č. F6</t>
  </si>
  <si>
    <t>-29694898</t>
  </si>
  <si>
    <t>16</t>
  </si>
  <si>
    <t>317235-R3</t>
  </si>
  <si>
    <t>Doplnění a oprava zdobného prvku na rozích objektu (horní) č. F8</t>
  </si>
  <si>
    <t>kus</t>
  </si>
  <si>
    <t>-959497697</t>
  </si>
  <si>
    <t>17</t>
  </si>
  <si>
    <t>317235-R4</t>
  </si>
  <si>
    <t>Doplnění a oprava zdobného prvku na rozích objektu (dolní) č. F9</t>
  </si>
  <si>
    <t>-1093318156</t>
  </si>
  <si>
    <t>18</t>
  </si>
  <si>
    <t>317235-R5</t>
  </si>
  <si>
    <t>Doplnění a oprava zdobného prvku nad hlavním vstupem pod oknem č. F7</t>
  </si>
  <si>
    <t>-1281108576</t>
  </si>
  <si>
    <t>19</t>
  </si>
  <si>
    <t>317235-R6</t>
  </si>
  <si>
    <t>Doplnění a oprava zdobného prvku nad hlavním vstupem nad oknem</t>
  </si>
  <si>
    <t>-1245520257</t>
  </si>
  <si>
    <t>20</t>
  </si>
  <si>
    <t>317235-R7</t>
  </si>
  <si>
    <t>Doplnění a oprava zdobného prvku nad hlavním vstupem ve štítu č. F4</t>
  </si>
  <si>
    <t>1025893673</t>
  </si>
  <si>
    <t>317235-R8</t>
  </si>
  <si>
    <t>Doplnění a oprava zdobného prvku - polosloupy č. F5</t>
  </si>
  <si>
    <t>-1135206468</t>
  </si>
  <si>
    <t>22</t>
  </si>
  <si>
    <t>4341914-R1</t>
  </si>
  <si>
    <t>Vyrovnání žulových schodišťových stupňů včetně opravy a stavebníh přípomocí - hlavní vstup</t>
  </si>
  <si>
    <t>soubor</t>
  </si>
  <si>
    <t>-1293132090</t>
  </si>
  <si>
    <t>23</t>
  </si>
  <si>
    <t>4341914-R2</t>
  </si>
  <si>
    <t>Vyrovnání žulových schodišťových stupňů včetně opravy a stavebníh přípomocí - zadní vstup</t>
  </si>
  <si>
    <t>-236646301</t>
  </si>
  <si>
    <t>24</t>
  </si>
  <si>
    <t>612409991</t>
  </si>
  <si>
    <t>Začištění omítek kolem oken, dveří, podlah nebo obkladů</t>
  </si>
  <si>
    <t>1347879883</t>
  </si>
  <si>
    <t>25</t>
  </si>
  <si>
    <t>61242-1</t>
  </si>
  <si>
    <t>Omítka vápenná štuková vnějšího ostění okenního nebo dveřního</t>
  </si>
  <si>
    <t>-1131406177</t>
  </si>
  <si>
    <t>26</t>
  </si>
  <si>
    <t>620471-4</t>
  </si>
  <si>
    <t>Vnější silikonový nátěr jedno nebo dvou barevný (plochy provedené štukem)</t>
  </si>
  <si>
    <t>-1122053791</t>
  </si>
  <si>
    <t>27</t>
  </si>
  <si>
    <t>6224-1</t>
  </si>
  <si>
    <t>Dodávka a provedení kontaktního můstku (penetračního nátěru) vnějších stěn Weber.podklad Haft</t>
  </si>
  <si>
    <t>1592829158</t>
  </si>
  <si>
    <t>28</t>
  </si>
  <si>
    <t>6224-2</t>
  </si>
  <si>
    <t>Dodávka a aplikace aktivního štuku Weber.san 600 stupeň složitosti 6 včetně adhézní emulze H (plastifikační přísada)</t>
  </si>
  <si>
    <t>91690164</t>
  </si>
  <si>
    <t>29</t>
  </si>
  <si>
    <t>6224-3a</t>
  </si>
  <si>
    <t>Dodávka a provedení penetračního silikonového nátěru Weber.silikonový podkladní nátěr</t>
  </si>
  <si>
    <t>-1431944810</t>
  </si>
  <si>
    <t>30</t>
  </si>
  <si>
    <t>6224-3b</t>
  </si>
  <si>
    <t>Dodávka a provedení finálního silikonového nátěru Weber.ton micro V ve dvou vrstvách</t>
  </si>
  <si>
    <t>345845867</t>
  </si>
  <si>
    <t>31</t>
  </si>
  <si>
    <t>6224-4</t>
  </si>
  <si>
    <t>Příplatek za provedení štukových říms, trojúhelníkových a obloukových frontonů, obrazců, polosloupů atd.</t>
  </si>
  <si>
    <t>-1944121288</t>
  </si>
  <si>
    <t>32</t>
  </si>
  <si>
    <t>6224-5</t>
  </si>
  <si>
    <t>Dodávka a provedení vnější jádrové omítky - podhoz Weber.dur JRU stupeň složitosti 6</t>
  </si>
  <si>
    <t>-1495619686</t>
  </si>
  <si>
    <t>33</t>
  </si>
  <si>
    <t>622903130</t>
  </si>
  <si>
    <t>Mytís odmaštěním vnějších omítek stupně složitosti 5 a 6 tlakovou vodou</t>
  </si>
  <si>
    <t>-1989974357</t>
  </si>
  <si>
    <t>34</t>
  </si>
  <si>
    <t>629451111</t>
  </si>
  <si>
    <t>Vyrovnávací vrstva pod klempířské prvky z MC š do 150 mm</t>
  </si>
  <si>
    <t>1557807577</t>
  </si>
  <si>
    <t>35</t>
  </si>
  <si>
    <t>6299990R</t>
  </si>
  <si>
    <t>Příplatek k úpravám povrchů za provádění dvou barev nebo struktur na fasádě</t>
  </si>
  <si>
    <t>1450388656</t>
  </si>
  <si>
    <t>36</t>
  </si>
  <si>
    <t>640991111</t>
  </si>
  <si>
    <t>Zakrývání výplně otvorů fólií a plastickým profilem</t>
  </si>
  <si>
    <t>-1350926424</t>
  </si>
  <si>
    <t>37</t>
  </si>
  <si>
    <t>916561111</t>
  </si>
  <si>
    <t>Osazení záhonového obrubníku betonového do lože z betonu s boční opěrou</t>
  </si>
  <si>
    <t>247933063</t>
  </si>
  <si>
    <t>38</t>
  </si>
  <si>
    <t>592172110</t>
  </si>
  <si>
    <t>obrubník betonový zahradní Granitoid ABO100/5/25 II šedý 100 x 5 x 25 cm</t>
  </si>
  <si>
    <t>-1822602963</t>
  </si>
  <si>
    <t>39</t>
  </si>
  <si>
    <t>941941052</t>
  </si>
  <si>
    <t>Montáž lešení jednořadového s podlahami š do 1,5 m v do 24 m</t>
  </si>
  <si>
    <t>-1831709240</t>
  </si>
  <si>
    <t>40</t>
  </si>
  <si>
    <t>941941392</t>
  </si>
  <si>
    <t>Příplatek k lešení jednořadovému s podlahami š do 1,5 m v do 24 m za první a ZKD měsíc použití</t>
  </si>
  <si>
    <t>-1472241489</t>
  </si>
  <si>
    <t>41</t>
  </si>
  <si>
    <t>941941852</t>
  </si>
  <si>
    <t>Demontáž lešení jednořadového s podlahami š do 1,5 m v do 24 m</t>
  </si>
  <si>
    <t>-718309912</t>
  </si>
  <si>
    <t>42</t>
  </si>
  <si>
    <t>944511111</t>
  </si>
  <si>
    <t>Montáž ochranné sítě z textilie z umělých vláken</t>
  </si>
  <si>
    <t>-1661232743</t>
  </si>
  <si>
    <t>43</t>
  </si>
  <si>
    <t>944511211</t>
  </si>
  <si>
    <t>Příplatek k ochranné síti za první a ZKD den použití</t>
  </si>
  <si>
    <t>1800117648</t>
  </si>
  <si>
    <t>44</t>
  </si>
  <si>
    <t>944511811</t>
  </si>
  <si>
    <t>Demontáž ochranné sítě z textilie z umělých vláken</t>
  </si>
  <si>
    <t>482080774</t>
  </si>
  <si>
    <t>45</t>
  </si>
  <si>
    <t>944940000006</t>
  </si>
  <si>
    <t>Zajištění vstupů do objektu</t>
  </si>
  <si>
    <t>-850632497</t>
  </si>
  <si>
    <t>46</t>
  </si>
  <si>
    <t>965043441</t>
  </si>
  <si>
    <t>Bourání podkladů pod dlažby betonových s potěrem nebo teracem tl do 150 mm pl přes 4 m2</t>
  </si>
  <si>
    <t>329024988</t>
  </si>
  <si>
    <t>47</t>
  </si>
  <si>
    <t>978023411</t>
  </si>
  <si>
    <t>Vysekání a vyčištění spár zdiva cihelného mimo komínového</t>
  </si>
  <si>
    <t>213958447</t>
  </si>
  <si>
    <t>48</t>
  </si>
  <si>
    <t>978036171</t>
  </si>
  <si>
    <t>Otlučení vnějších omítek břízolitových o rozsahu do 65 %</t>
  </si>
  <si>
    <t>-139764490</t>
  </si>
  <si>
    <t>49</t>
  </si>
  <si>
    <t>9790-1</t>
  </si>
  <si>
    <t>Poplatek za skládku - suť</t>
  </si>
  <si>
    <t>-6853674</t>
  </si>
  <si>
    <t>50</t>
  </si>
  <si>
    <t>979011111</t>
  </si>
  <si>
    <t>Svislá doprava suti a vybouraných hmot za prvé podlaží</t>
  </si>
  <si>
    <t>-488658992</t>
  </si>
  <si>
    <t>51</t>
  </si>
  <si>
    <t>979011121</t>
  </si>
  <si>
    <t>Svislá doprava suti a vybouraných hmot ZKD podlaží</t>
  </si>
  <si>
    <t>428813253</t>
  </si>
  <si>
    <t>52</t>
  </si>
  <si>
    <t>979081111</t>
  </si>
  <si>
    <t>Odvoz suti a vybouraných hmot na skládku do 1 km</t>
  </si>
  <si>
    <t>-1334766716</t>
  </si>
  <si>
    <t>53</t>
  </si>
  <si>
    <t>979081121</t>
  </si>
  <si>
    <t>Odvoz suti a vybouraných hmot na skládku ZKD 1 km přes 1 km</t>
  </si>
  <si>
    <t>1833458906</t>
  </si>
  <si>
    <t>54</t>
  </si>
  <si>
    <t>979082111</t>
  </si>
  <si>
    <t>Vnitrostaveništní doprava suti a vybouraných hmot do 10 m</t>
  </si>
  <si>
    <t>1553295075</t>
  </si>
  <si>
    <t>55</t>
  </si>
  <si>
    <t>979082121</t>
  </si>
  <si>
    <t>Vnitrostaveništní doprava suti a vybouraných hmot ZKD 5 m přes 10 m</t>
  </si>
  <si>
    <t>-434204384</t>
  </si>
  <si>
    <t>56</t>
  </si>
  <si>
    <t>979086112</t>
  </si>
  <si>
    <t>Nakládání nebo překládání suti a vybouraných hmot</t>
  </si>
  <si>
    <t>-1350215473</t>
  </si>
  <si>
    <t>57</t>
  </si>
  <si>
    <t>979093111</t>
  </si>
  <si>
    <t>Uložení suti na skládku s hrubým urovnáním bez zhutnění</t>
  </si>
  <si>
    <t>-1848082494</t>
  </si>
  <si>
    <t>58</t>
  </si>
  <si>
    <t>985131311</t>
  </si>
  <si>
    <t>Ruční dočištění ploch stěn, rubu kleneb a podlah ocelových kartáči</t>
  </si>
  <si>
    <t>2042764401</t>
  </si>
  <si>
    <t>59</t>
  </si>
  <si>
    <t>998011003</t>
  </si>
  <si>
    <t>Přesun hmot pro budovy zděné výšky do 24 m</t>
  </si>
  <si>
    <t>866986263</t>
  </si>
  <si>
    <t>60</t>
  </si>
  <si>
    <t>72124-R1</t>
  </si>
  <si>
    <t>Dodávka a osazení lapačů střešních splavenin z PP se zápachovou klapkou a lapacím košem DN 110 včetně napojení na stávající dešťovou kanalizaci a stavebních přípomocí</t>
  </si>
  <si>
    <t>-266898540</t>
  </si>
  <si>
    <t>61</t>
  </si>
  <si>
    <t>7222401-R1</t>
  </si>
  <si>
    <t>Dodávka a osazení zahradního ventilu včetně úpravy, dvířek, úpravy vodovodního potrubí a stavebních přípomocí</t>
  </si>
  <si>
    <t>-161356832</t>
  </si>
  <si>
    <t>62</t>
  </si>
  <si>
    <t>7232111-R1</t>
  </si>
  <si>
    <t>Oprava plynového pilířku včetně nové omítky, nového oplechování a nátěru dvířek</t>
  </si>
  <si>
    <t>739232647</t>
  </si>
  <si>
    <t>63</t>
  </si>
  <si>
    <t>725410812</t>
  </si>
  <si>
    <t>Demontáž žlab litinový nebo ocelový jednoduchý délky 2000 4 baterie</t>
  </si>
  <si>
    <t>2000748028</t>
  </si>
  <si>
    <t>64</t>
  </si>
  <si>
    <t>764004861</t>
  </si>
  <si>
    <t>Demontáž svodu do suti</t>
  </si>
  <si>
    <t>1970474546</t>
  </si>
  <si>
    <t>65</t>
  </si>
  <si>
    <t>764421850</t>
  </si>
  <si>
    <t>Demontáž oplechování říms rš do 330 mm</t>
  </si>
  <si>
    <t>-2120231530</t>
  </si>
  <si>
    <t>66</t>
  </si>
  <si>
    <t>764421-R1</t>
  </si>
  <si>
    <t>Demontáž oplechování říms nad okny atyp</t>
  </si>
  <si>
    <t>1348002995</t>
  </si>
  <si>
    <t>67</t>
  </si>
  <si>
    <t>764430840</t>
  </si>
  <si>
    <t>Demontáž oplechování zdí rš do 500 mm</t>
  </si>
  <si>
    <t>-162201390</t>
  </si>
  <si>
    <t>68</t>
  </si>
  <si>
    <t>764510550</t>
  </si>
  <si>
    <t>Oplechování parapetů Zn-Ti rš 330 mm včetně rohů - RHEINZINK</t>
  </si>
  <si>
    <t>-1363435669</t>
  </si>
  <si>
    <t>69</t>
  </si>
  <si>
    <t>764510R1</t>
  </si>
  <si>
    <t>Příplatek za zasekání parapetů</t>
  </si>
  <si>
    <t>-1827192149</t>
  </si>
  <si>
    <t>70</t>
  </si>
  <si>
    <t>764521550</t>
  </si>
  <si>
    <t>Oplechování Zn-Ti říms rš 330 mm - RHEINZINK předzvětralý šedý</t>
  </si>
  <si>
    <t>-1060456298</t>
  </si>
  <si>
    <t>71</t>
  </si>
  <si>
    <t>764521-R1</t>
  </si>
  <si>
    <t>Oplechování Zn-Ti říms nad okny atyp - RHEINZINK předzvětralý šedý</t>
  </si>
  <si>
    <t>152110737</t>
  </si>
  <si>
    <t>72</t>
  </si>
  <si>
    <t>764530540</t>
  </si>
  <si>
    <t>Oplechování Zn-Ti zdí rš 500 mm včetně rohů - RHEINZINK předzvětralý šedý</t>
  </si>
  <si>
    <t>-978247419</t>
  </si>
  <si>
    <t>73</t>
  </si>
  <si>
    <t>998764103</t>
  </si>
  <si>
    <t>Přesun hmot pro konstrukce klempířské v objektech v do 24 m</t>
  </si>
  <si>
    <t>743241133</t>
  </si>
  <si>
    <t>74</t>
  </si>
  <si>
    <t>76787-1</t>
  </si>
  <si>
    <t>Demontáž, dodávka a montáž konzole pro vlajku</t>
  </si>
  <si>
    <t>898806370</t>
  </si>
  <si>
    <t>75</t>
  </si>
  <si>
    <t>7678711-R1</t>
  </si>
  <si>
    <t>Demontáž stříšky u vstupu do šaten včetně sloupků a zábradlí</t>
  </si>
  <si>
    <t>1649291356</t>
  </si>
  <si>
    <t>76</t>
  </si>
  <si>
    <t>7678711-R2</t>
  </si>
  <si>
    <t>Demontáž zábradlí u zadního vstupu</t>
  </si>
  <si>
    <t>-612401901</t>
  </si>
  <si>
    <t>77</t>
  </si>
  <si>
    <t>7678711-R3</t>
  </si>
  <si>
    <t>Dodávka a osazení nového zábradlí ze žárově zinkovaných profilů - vstup do šaten</t>
  </si>
  <si>
    <t>941230600</t>
  </si>
  <si>
    <t>78</t>
  </si>
  <si>
    <t>7678711-R4</t>
  </si>
  <si>
    <t>Dodávka a osazení nového zábradlí ze žárově zinkovaných profilů - zadní vstup</t>
  </si>
  <si>
    <t>-845549912</t>
  </si>
  <si>
    <t>79</t>
  </si>
  <si>
    <t>7678711-R5</t>
  </si>
  <si>
    <t>Dodávka a osazení stříšky ze žárově zinkovaných profilů a bezpečnostního skla - vstup do šaten</t>
  </si>
  <si>
    <t>-112379887</t>
  </si>
  <si>
    <t>80</t>
  </si>
  <si>
    <t>7678711-R6</t>
  </si>
  <si>
    <t>Dodávka a osazení stříšky ze žárově zinkovaných profilů a bezpečnostního skla - zadní vstup</t>
  </si>
  <si>
    <t>-1185894988</t>
  </si>
  <si>
    <t>81</t>
  </si>
  <si>
    <t>7678711-R7</t>
  </si>
  <si>
    <t>Úprava oplocení ve styku s fasádou</t>
  </si>
  <si>
    <t>-74568342</t>
  </si>
  <si>
    <t>82</t>
  </si>
  <si>
    <t>76789-1</t>
  </si>
  <si>
    <t>Demontáž, dodávka a montáž cedulí "ZÁKLADNÍ ŠKOLA", státní znak a číslo popisné na distanční nerezové trubičky</t>
  </si>
  <si>
    <t>1347543038</t>
  </si>
  <si>
    <t>83</t>
  </si>
  <si>
    <t>998767103</t>
  </si>
  <si>
    <t>Přesun hmot pro zámečnické konstrukce v objektech v do 24 m</t>
  </si>
  <si>
    <t>-1902178310</t>
  </si>
  <si>
    <t>84</t>
  </si>
  <si>
    <t>7839000000</t>
  </si>
  <si>
    <t>Nátěry hydrofobní - sokl pískovec</t>
  </si>
  <si>
    <t>322012109</t>
  </si>
  <si>
    <t>85</t>
  </si>
  <si>
    <t>210110000009</t>
  </si>
  <si>
    <t>Demontáž veškerých nefunkčních vedení včetně konzol, úchytů apod.</t>
  </si>
  <si>
    <t>1314529472</t>
  </si>
  <si>
    <t>86</t>
  </si>
  <si>
    <t>21011000-R1</t>
  </si>
  <si>
    <t>Dodávka a osazení 4 ks svítidel včetně pohybového a časového spínače (hlavní vstup, vstup u šaten, zadní vstup), úpravy elektroinstalace a stavebních přípomocí</t>
  </si>
  <si>
    <t>-1084421253</t>
  </si>
  <si>
    <t>87</t>
  </si>
  <si>
    <t>21011000-R2</t>
  </si>
  <si>
    <t>Demontáž  a osazení stávajícího zvonkového tabla včetně stavebních přípomocí</t>
  </si>
  <si>
    <t>-163315842</t>
  </si>
  <si>
    <t>88</t>
  </si>
  <si>
    <t>21021000002</t>
  </si>
  <si>
    <t>Demontáž a montáž sirény - alarm včetně zapojení</t>
  </si>
  <si>
    <t>751067872</t>
  </si>
  <si>
    <t>89</t>
  </si>
  <si>
    <t>580101-R1</t>
  </si>
  <si>
    <t>Dokumentace skutečného provedení</t>
  </si>
  <si>
    <t>-1808536302</t>
  </si>
  <si>
    <t>90</t>
  </si>
  <si>
    <t>580101-R2</t>
  </si>
  <si>
    <t>Zajištění veškerých potřebných dokladů k řádnému předání stavby (revize, zkoušky, certifikáty, prohlášení o shodě, stavební deník, předávací protkoly, doklady o likvidaci odpadů a další)</t>
  </si>
  <si>
    <t>1648724485</t>
  </si>
  <si>
    <t>91</t>
  </si>
  <si>
    <t>043134000</t>
  </si>
  <si>
    <t xml:space="preserve">Zkoušky přídržnosti a odtrhovu </t>
  </si>
  <si>
    <t>1024</t>
  </si>
  <si>
    <t>-1217062893</t>
  </si>
  <si>
    <t>VP - Vícepráce</t>
  </si>
  <si>
    <t>PN</t>
  </si>
  <si>
    <t>SO 03 - Drenáže</t>
  </si>
  <si>
    <t xml:space="preserve">    5 - Komunikace pozemní</t>
  </si>
  <si>
    <t xml:space="preserve">    6 - Úpravy povrchů, podlahy a osazování výplní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</si>
  <si>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</si>
  <si>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</si>
  <si>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</si>
  <si>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</si>
  <si>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 xml:space="preserve">    711 - Izolace proti vodě, vlhkosti a plynům</t>
  </si>
  <si>
    <t xml:space="preserve">    46-M - Zemní práce při extr.mont.pracích</t>
  </si>
  <si>
    <t xml:space="preserve">    VRN1 - Průzkumné, geodetické a projektové práce</t>
  </si>
  <si>
    <t xml:space="preserve">    VRN3 - Zařízení staveniště</t>
  </si>
  <si>
    <t>113106211</t>
  </si>
  <si>
    <t>Rozebrání dlažeb vozovek pl přes 50 do 200 m2 z velkých kostek do lože z kameniva</t>
  </si>
  <si>
    <t>1963144830</t>
  </si>
  <si>
    <t>113107131</t>
  </si>
  <si>
    <t>Odstranění podkladu pl do 50 m2 z betonu prostého tl 150 mm</t>
  </si>
  <si>
    <t>-1087554873</t>
  </si>
  <si>
    <t>121101101</t>
  </si>
  <si>
    <t>Sejmutí ornice s přemístěním na vzdálenost do 50 m</t>
  </si>
  <si>
    <t>-1494816647</t>
  </si>
  <si>
    <t>122201101</t>
  </si>
  <si>
    <t>Odkopávky a prokopávky nezapažené v hornině tř. 3 objem do 100 m3</t>
  </si>
  <si>
    <t>1400546718</t>
  </si>
  <si>
    <t>130001101</t>
  </si>
  <si>
    <t>Příplatek za ztížení vykopávky v blízkosti podzemního vedení</t>
  </si>
  <si>
    <t>-901973019</t>
  </si>
  <si>
    <t>132201201</t>
  </si>
  <si>
    <t>Hloubení rýh š do 2000 mm v hornině tř. 3 objemu do 100 m3</t>
  </si>
  <si>
    <t>1539728866</t>
  </si>
  <si>
    <t>132201209</t>
  </si>
  <si>
    <t>Příplatek za lepivost k hloubení rýh š do 2000 mm v hornině tř. 3</t>
  </si>
  <si>
    <t>-808438484</t>
  </si>
  <si>
    <t>132212201</t>
  </si>
  <si>
    <t>Hloubení rýh š přes 600 do 2000 mm ručním nebo pneum nářadím v soudržných horninách tř. 3</t>
  </si>
  <si>
    <t>-1626201784</t>
  </si>
  <si>
    <t>132212209</t>
  </si>
  <si>
    <t>Příplatek za lepivost u hloubení rýh š do 2000 mm ručním nebo pneum nářadím v hornině tř. 3</t>
  </si>
  <si>
    <t>873426211</t>
  </si>
  <si>
    <t>151101101</t>
  </si>
  <si>
    <t>Zřízení příložného pažení a rozepření stěn rýh hl do 2 m</t>
  </si>
  <si>
    <t>-1385676096</t>
  </si>
  <si>
    <t>151101111</t>
  </si>
  <si>
    <t>Odstranění příložného pažení a rozepření stěn rýh hl do 2 m</t>
  </si>
  <si>
    <t>813300904</t>
  </si>
  <si>
    <t>161101101</t>
  </si>
  <si>
    <t>Svislé přemístění výkopku z horniny tř. 1 až 4 hl výkopu do 2,5 m</t>
  </si>
  <si>
    <t>-1943211660</t>
  </si>
  <si>
    <t>162701105</t>
  </si>
  <si>
    <t>Vodorovné přemístění do 10000 m výkopku/sypaniny z horniny tř. 1 až 4</t>
  </si>
  <si>
    <t>-1346384963</t>
  </si>
  <si>
    <t>162701109</t>
  </si>
  <si>
    <t>Příplatek k vodorovnému přemístění výkopku/sypaniny z horniny tř. 1 až 4 ZKD 1000 m přes 10000 m</t>
  </si>
  <si>
    <t>692091435</t>
  </si>
  <si>
    <t>833718520</t>
  </si>
  <si>
    <t>-1688860854</t>
  </si>
  <si>
    <t>171201211</t>
  </si>
  <si>
    <t>Poplatek za uložení odpadu ze sypaniny na skládce (skládkovné)</t>
  </si>
  <si>
    <t>-1601760285</t>
  </si>
  <si>
    <t>174101101</t>
  </si>
  <si>
    <t>Zásyp jam, šachet rýh nebo kolem objektů sypaninou se zhutněním</t>
  </si>
  <si>
    <t>806319973</t>
  </si>
  <si>
    <t>175111101</t>
  </si>
  <si>
    <t>Obsypání potrubí ručně sypaninou bez prohození, uloženou do 3 m</t>
  </si>
  <si>
    <t>-915405744</t>
  </si>
  <si>
    <t>583439320</t>
  </si>
  <si>
    <t>kamenivo drcené hrubé  frakce 16-32</t>
  </si>
  <si>
    <t>-1981867685</t>
  </si>
  <si>
    <t>583413460</t>
  </si>
  <si>
    <t>kamenivo drcené drobné frakce 0-4</t>
  </si>
  <si>
    <t>-959839255</t>
  </si>
  <si>
    <t>181301102</t>
  </si>
  <si>
    <t>Rozprostření ornice tl vrstvy do 150 mm pl do 500 m2 v rovině nebo ve svahu do 1:5</t>
  </si>
  <si>
    <t>380144406</t>
  </si>
  <si>
    <t>183403153</t>
  </si>
  <si>
    <t>Obdělání půdy hrabáním v rovině a svahu do 1:5</t>
  </si>
  <si>
    <t>745766495</t>
  </si>
  <si>
    <t>212755215</t>
  </si>
  <si>
    <t>Trativody z drenážních trubek plastových flexibilních D 130 mm bez lože</t>
  </si>
  <si>
    <t>-1676253110</t>
  </si>
  <si>
    <t>212972113</t>
  </si>
  <si>
    <t>Opláštění drenážních trub filtrační textilií DN 160</t>
  </si>
  <si>
    <t>-1827159900</t>
  </si>
  <si>
    <t>213141132</t>
  </si>
  <si>
    <t>Zřízení vrstvy z geotextilie ve sklonu do 1:1 š do 6 m</t>
  </si>
  <si>
    <t>987327956</t>
  </si>
  <si>
    <t>562416470</t>
  </si>
  <si>
    <t>geotextilie filtrační Garantia 300 g/m2</t>
  </si>
  <si>
    <t>2131083456</t>
  </si>
  <si>
    <t>279351101</t>
  </si>
  <si>
    <t>Zřízení bednění základových zdí jednostranné</t>
  </si>
  <si>
    <t>574160879</t>
  </si>
  <si>
    <t>279351102</t>
  </si>
  <si>
    <t>Odstranění bednění základových zdí jednostranné</t>
  </si>
  <si>
    <t>-1129987941</t>
  </si>
  <si>
    <t>451572111</t>
  </si>
  <si>
    <t>Lože pod potrubí otevřený výkop z kameniva drobného těženého</t>
  </si>
  <si>
    <t>-840657270</t>
  </si>
  <si>
    <t>452311131</t>
  </si>
  <si>
    <t>Podkladní desky z betonu prostého tř. C 12/15 otevřený výkop</t>
  </si>
  <si>
    <t>-1435390025</t>
  </si>
  <si>
    <t>564761111</t>
  </si>
  <si>
    <t>Podklad z kameniva hrubého drceného vel. 32-63 mm tl 200 mm</t>
  </si>
  <si>
    <t>1236806794</t>
  </si>
  <si>
    <t>567114112</t>
  </si>
  <si>
    <t>Podklad z podkladového betonu tř. PB II (C 16/20) tl 100 mm</t>
  </si>
  <si>
    <t>395736333</t>
  </si>
  <si>
    <t>591111111</t>
  </si>
  <si>
    <t>Kladení dlažby z kostek velkých z kamene do lože z kameniva těženého tl 50 mm</t>
  </si>
  <si>
    <t>316672790</t>
  </si>
  <si>
    <t>583801200</t>
  </si>
  <si>
    <t>kostka dlažební drobná, žula velikost 8/10 cm</t>
  </si>
  <si>
    <t>1302133597</t>
  </si>
  <si>
    <t>622125111</t>
  </si>
  <si>
    <t>Vyplnění spár cementovou maltou vnějších stěn z tvárnic nebo kamene</t>
  </si>
  <si>
    <t>-1144219961</t>
  </si>
  <si>
    <t>622131101</t>
  </si>
  <si>
    <t>Cementový postřik vnějších stěn nanášený celoplošně ručně</t>
  </si>
  <si>
    <t>1123794708</t>
  </si>
  <si>
    <t>629995101</t>
  </si>
  <si>
    <t>Očištění vnějších ploch tlakovou vodou</t>
  </si>
  <si>
    <t>-1080516983</t>
  </si>
  <si>
    <t>632457107</t>
  </si>
  <si>
    <t>Potěr cementový hlazený dřevěným hladítkem tl 20 mm ploch zakřivených pl 30 m2</t>
  </si>
  <si>
    <t>2059211496</t>
  </si>
  <si>
    <t>632457109</t>
  </si>
  <si>
    <t>Příplatek ZKD 10 mm tl u cementového potěru ploch zakřivených hlazeného dřevěným hladítkem</t>
  </si>
  <si>
    <t>1110850916</t>
  </si>
  <si>
    <t>8712600-R</t>
  </si>
  <si>
    <t>Napojení do stávající šachty včetně utěsnění prostupu</t>
  </si>
  <si>
    <t>1804445413</t>
  </si>
  <si>
    <t>871315211</t>
  </si>
  <si>
    <t>Kanalizační potrubí z tvrdého PVC-systém KG tuhost třídy SN4 DN150</t>
  </si>
  <si>
    <t>-266688325</t>
  </si>
  <si>
    <t>891315321</t>
  </si>
  <si>
    <t>Montáž zpětných klapek DN 150</t>
  </si>
  <si>
    <t>-210198461</t>
  </si>
  <si>
    <t>422840150</t>
  </si>
  <si>
    <t>klapka zpětná koncová ZAKA z ŠL L55 067 601 DN150</t>
  </si>
  <si>
    <t>904590801</t>
  </si>
  <si>
    <t>894812113</t>
  </si>
  <si>
    <t>Revizní a čistící šachta z PP šachtové dno DN 315/150 pravý a levý přítok</t>
  </si>
  <si>
    <t>551517580</t>
  </si>
  <si>
    <t>894812132</t>
  </si>
  <si>
    <t>Revizní a čistící šachta z PP DN 315 šachtová roura korugovaná bez hrdla světlé hloubky 2000 mm</t>
  </si>
  <si>
    <t>1955204774</t>
  </si>
  <si>
    <t>894812149</t>
  </si>
  <si>
    <t>Příplatek k rourám revizní a čistící šachty z PP DN 315 za uříznutí šachtové roury</t>
  </si>
  <si>
    <t>-48121750</t>
  </si>
  <si>
    <t>894812156</t>
  </si>
  <si>
    <t>Revizní a čistící šachta z PP DN 315 poklop plastový pochůzí s rámem</t>
  </si>
  <si>
    <t>-1502094110</t>
  </si>
  <si>
    <t>899721111</t>
  </si>
  <si>
    <t>Signalizační vodič DN do 150 mm na potrubí PVC</t>
  </si>
  <si>
    <t>-1671336883</t>
  </si>
  <si>
    <t>899722114</t>
  </si>
  <si>
    <t>Krytí potrubí z plastů výstražnou fólií z PVC 40 cm</t>
  </si>
  <si>
    <t>-1509099693</t>
  </si>
  <si>
    <t>978023251</t>
  </si>
  <si>
    <t>Vyškrabání spár zdiva kamenného režného</t>
  </si>
  <si>
    <t>1451012604</t>
  </si>
  <si>
    <t>997221561</t>
  </si>
  <si>
    <t>Vodorovná doprava suti z kusových materiálů do 1 km</t>
  </si>
  <si>
    <t>1306892564</t>
  </si>
  <si>
    <t>997221569</t>
  </si>
  <si>
    <t>Příplatek ZKD 1 km u vodorovné dopravy suti z kusových materiálů</t>
  </si>
  <si>
    <t>1860404328</t>
  </si>
  <si>
    <t>997221815</t>
  </si>
  <si>
    <t>Poplatek za uložení betonového odpadu na skládce (skládkovné)</t>
  </si>
  <si>
    <t>-565384173</t>
  </si>
  <si>
    <t>998276101</t>
  </si>
  <si>
    <t>Přesun hmot pro trubní vedení z trub z plastických hmot otevřený výkop</t>
  </si>
  <si>
    <t>333549002</t>
  </si>
  <si>
    <t>711113115</t>
  </si>
  <si>
    <t xml:space="preserve">Izolace proti zemní vlhkosti na vodorovné ploše za studena těsnicí hmotou </t>
  </si>
  <si>
    <t>796417263</t>
  </si>
  <si>
    <t>711113125</t>
  </si>
  <si>
    <t xml:space="preserve">Izolace proti zemní vlhkosti na svislé ploše za studena těsnicí hmotou </t>
  </si>
  <si>
    <t>-1352355059</t>
  </si>
  <si>
    <t>711131811</t>
  </si>
  <si>
    <t>Odstranění izolace proti zemní vlhkosti vodorovné</t>
  </si>
  <si>
    <t>-2023899494</t>
  </si>
  <si>
    <t>711131821</t>
  </si>
  <si>
    <t>Odstranění izolace proti zemní vlhkosti svislé</t>
  </si>
  <si>
    <t>-513475717</t>
  </si>
  <si>
    <t>711161331</t>
  </si>
  <si>
    <t>Izolace proti zemní vlhkosti foliemi nopovými s odvodňovací funkcí s textilií tl. 0,6 mm šířky 2,0 m</t>
  </si>
  <si>
    <t>754768077</t>
  </si>
  <si>
    <t>998711101</t>
  </si>
  <si>
    <t>Přesun hmot tonážní pro izolace proti vodě, vlhkosti a plynům v objektech výšky do 6 m</t>
  </si>
  <si>
    <t>-517289093</t>
  </si>
  <si>
    <t>721290112</t>
  </si>
  <si>
    <t>Zkouška těsnosti potrubí kanalizace vodou do DN 200</t>
  </si>
  <si>
    <t>663149638</t>
  </si>
  <si>
    <t>460620007</t>
  </si>
  <si>
    <t>Zatravnění včetně zalití vodou na rovině</t>
  </si>
  <si>
    <t>1594935551</t>
  </si>
  <si>
    <t>012002000</t>
  </si>
  <si>
    <t>Geodetické práce</t>
  </si>
  <si>
    <t>…</t>
  </si>
  <si>
    <t>-2131318729</t>
  </si>
  <si>
    <t>030001000</t>
  </si>
  <si>
    <t>1598228073</t>
  </si>
  <si>
    <t>1) Souhrnný list stavby</t>
  </si>
  <si>
    <t>2) Rekapitulace objektů</t>
  </si>
  <si>
    <t>/</t>
  </si>
  <si>
    <t>1) Krycí list rozpočtu</t>
  </si>
  <si>
    <t>2) Rekapitulace rozpočtu</t>
  </si>
  <si>
    <t>3) Rozpočet</t>
  </si>
  <si>
    <t>Rekapitulace stavby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</si>
</sst>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70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0"/>
    </font>
    <font>
      <b/>
      <sz val="12"/>
      <color indexed="55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8"/>
      <color indexed="55"/>
      <name val="Trebuchet MS"/>
      <family val="0"/>
    </font>
    <font>
      <b/>
      <sz val="12"/>
      <name val="Trebuchet MS"/>
      <family val="0"/>
    </font>
    <font>
      <sz val="10"/>
      <color indexed="63"/>
      <name val="Trebuchet MS"/>
      <family val="0"/>
    </font>
    <font>
      <sz val="10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10"/>
      <color indexed="63"/>
      <name val="Trebuchet MS"/>
      <family val="0"/>
    </font>
    <font>
      <sz val="10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2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sz val="11"/>
      <color indexed="55"/>
      <name val="Trebuchet MS"/>
      <family val="0"/>
    </font>
    <font>
      <sz val="10"/>
      <color indexed="56"/>
      <name val="Trebuchet MS"/>
      <family val="0"/>
    </font>
    <font>
      <sz val="12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8"/>
      <color indexed="56"/>
      <name val="Trebuchet MS"/>
      <family val="0"/>
    </font>
    <font>
      <i/>
      <sz val="8"/>
      <color indexed="12"/>
      <name val="Trebuchet MS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8"/>
      <color indexed="30"/>
      <name val="Trebuchet MS"/>
      <family val="0"/>
    </font>
    <font>
      <sz val="18"/>
      <color indexed="30"/>
      <name val="Wingdings 2"/>
      <family val="1"/>
    </font>
    <font>
      <u val="single"/>
      <sz val="10"/>
      <color indexed="30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Trebuchet MS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10"/>
      <name val="Wingdings 2"/>
      <family val="1"/>
    </font>
    <font>
      <u val="single"/>
      <sz val="10"/>
      <color theme="10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/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/>
      <bottom/>
    </border>
    <border>
      <left style="hair">
        <color indexed="55"/>
      </left>
      <right style="hair">
        <color indexed="55"/>
      </right>
      <top/>
      <bottom style="hair">
        <color indexed="55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0" borderId="0" applyNumberFormat="0" applyBorder="0" applyAlignment="0" applyProtection="0"/>
    <xf numFmtId="0" fontId="5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1" fillId="0" borderId="7" applyNumberFormat="0" applyFill="0" applyAlignment="0" applyProtection="0"/>
    <xf numFmtId="0" fontId="62" fillId="24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5" borderId="8" applyNumberFormat="0" applyAlignment="0" applyProtection="0"/>
    <xf numFmtId="0" fontId="65" fillId="26" borderId="8" applyNumberFormat="0" applyAlignment="0" applyProtection="0"/>
    <xf numFmtId="0" fontId="66" fillId="26" borderId="9" applyNumberFormat="0" applyAlignment="0" applyProtection="0"/>
    <xf numFmtId="0" fontId="67" fillId="0" borderId="0" applyNumberFormat="0" applyFill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</cellStyleXfs>
  <cellXfs count="236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3" borderId="0" xfId="0" applyFill="1" applyAlignment="1">
      <alignment horizontal="left" vertical="top"/>
    </xf>
    <xf numFmtId="0" fontId="1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 applyProtection="1">
      <alignment horizontal="left" vertical="top"/>
      <protection/>
    </xf>
    <xf numFmtId="0" fontId="0" fillId="0" borderId="11" xfId="0" applyBorder="1" applyAlignment="1" applyProtection="1">
      <alignment horizontal="left" vertical="top"/>
      <protection/>
    </xf>
    <xf numFmtId="0" fontId="0" fillId="0" borderId="12" xfId="0" applyBorder="1" applyAlignment="1" applyProtection="1">
      <alignment horizontal="left" vertical="top"/>
      <protection/>
    </xf>
    <xf numFmtId="0" fontId="0" fillId="0" borderId="13" xfId="0" applyBorder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0" fillId="0" borderId="14" xfId="0" applyBorder="1" applyAlignment="1" applyProtection="1">
      <alignment horizontal="left" vertical="top"/>
      <protection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 applyProtection="1">
      <alignment horizontal="left" vertical="top"/>
      <protection/>
    </xf>
    <xf numFmtId="0" fontId="7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top"/>
      <protection/>
    </xf>
    <xf numFmtId="0" fontId="6" fillId="0" borderId="0" xfId="0" applyFont="1" applyAlignment="1" applyProtection="1">
      <alignment horizontal="left" vertical="center"/>
      <protection/>
    </xf>
    <xf numFmtId="0" fontId="7" fillId="34" borderId="0" xfId="0" applyFont="1" applyFill="1" applyAlignment="1">
      <alignment horizontal="left" vertical="center"/>
    </xf>
    <xf numFmtId="49" fontId="7" fillId="34" borderId="0" xfId="0" applyNumberFormat="1" applyFont="1" applyFill="1" applyAlignment="1">
      <alignment horizontal="left" vertical="top"/>
    </xf>
    <xf numFmtId="0" fontId="0" fillId="0" borderId="15" xfId="0" applyBorder="1" applyAlignment="1" applyProtection="1">
      <alignment horizontal="left" vertical="top"/>
      <protection/>
    </xf>
    <xf numFmtId="0" fontId="10" fillId="0" borderId="0" xfId="0" applyFont="1" applyAlignment="1" applyProtection="1">
      <alignment horizontal="left" vertical="center"/>
      <protection/>
    </xf>
    <xf numFmtId="0" fontId="0" fillId="0" borderId="13" xfId="0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12" fillId="0" borderId="16" xfId="0" applyFont="1" applyBorder="1" applyAlignment="1" applyProtection="1">
      <alignment horizontal="left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13" fillId="0" borderId="13" xfId="0" applyFont="1" applyBorder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/>
      <protection/>
    </xf>
    <xf numFmtId="165" fontId="13" fillId="0" borderId="0" xfId="0" applyNumberFormat="1" applyFont="1" applyAlignment="1" applyProtection="1">
      <alignment horizontal="right" vertical="center"/>
      <protection/>
    </xf>
    <xf numFmtId="0" fontId="13" fillId="0" borderId="0" xfId="0" applyFont="1" applyAlignment="1" applyProtection="1">
      <alignment horizontal="center" vertical="center"/>
      <protection/>
    </xf>
    <xf numFmtId="0" fontId="13" fillId="0" borderId="14" xfId="0" applyFont="1" applyBorder="1" applyAlignment="1" applyProtection="1">
      <alignment horizontal="left" vertical="center"/>
      <protection/>
    </xf>
    <xf numFmtId="0" fontId="0" fillId="35" borderId="0" xfId="0" applyFill="1" applyAlignment="1" applyProtection="1">
      <alignment horizontal="left" vertical="center"/>
      <protection/>
    </xf>
    <xf numFmtId="0" fontId="9" fillId="35" borderId="17" xfId="0" applyFont="1" applyFill="1" applyBorder="1" applyAlignment="1" applyProtection="1">
      <alignment horizontal="left" vertical="center"/>
      <protection/>
    </xf>
    <xf numFmtId="0" fontId="0" fillId="35" borderId="18" xfId="0" applyFill="1" applyBorder="1" applyAlignment="1" applyProtection="1">
      <alignment horizontal="left" vertical="center"/>
      <protection/>
    </xf>
    <xf numFmtId="0" fontId="9" fillId="35" borderId="18" xfId="0" applyFont="1" applyFill="1" applyBorder="1" applyAlignment="1" applyProtection="1">
      <alignment horizontal="center" vertical="center"/>
      <protection/>
    </xf>
    <xf numFmtId="0" fontId="14" fillId="0" borderId="19" xfId="0" applyFont="1" applyBorder="1" applyAlignment="1" applyProtection="1">
      <alignment horizontal="left" vertical="center"/>
      <protection/>
    </xf>
    <xf numFmtId="0" fontId="0" fillId="0" borderId="20" xfId="0" applyBorder="1" applyAlignment="1" applyProtection="1">
      <alignment horizontal="left" vertical="center"/>
      <protection/>
    </xf>
    <xf numFmtId="0" fontId="0" fillId="0" borderId="21" xfId="0" applyBorder="1" applyAlignment="1" applyProtection="1">
      <alignment horizontal="left" vertical="center"/>
      <protection/>
    </xf>
    <xf numFmtId="0" fontId="0" fillId="0" borderId="22" xfId="0" applyBorder="1" applyAlignment="1" applyProtection="1">
      <alignment horizontal="left" vertical="top"/>
      <protection/>
    </xf>
    <xf numFmtId="0" fontId="0" fillId="0" borderId="23" xfId="0" applyBorder="1" applyAlignment="1" applyProtection="1">
      <alignment horizontal="left" vertical="top"/>
      <protection/>
    </xf>
    <xf numFmtId="0" fontId="15" fillId="0" borderId="24" xfId="0" applyFont="1" applyBorder="1" applyAlignment="1" applyProtection="1">
      <alignment horizontal="left" vertical="center"/>
      <protection/>
    </xf>
    <xf numFmtId="0" fontId="0" fillId="0" borderId="25" xfId="0" applyBorder="1" applyAlignment="1" applyProtection="1">
      <alignment horizontal="left" vertical="center"/>
      <protection/>
    </xf>
    <xf numFmtId="0" fontId="15" fillId="0" borderId="25" xfId="0" applyFont="1" applyBorder="1" applyAlignment="1" applyProtection="1">
      <alignment horizontal="left" vertical="center"/>
      <protection/>
    </xf>
    <xf numFmtId="0" fontId="0" fillId="0" borderId="26" xfId="0" applyBorder="1" applyAlignment="1" applyProtection="1">
      <alignment horizontal="left" vertical="center"/>
      <protection/>
    </xf>
    <xf numFmtId="0" fontId="0" fillId="0" borderId="27" xfId="0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 horizontal="left" vertical="center"/>
      <protection/>
    </xf>
    <xf numFmtId="0" fontId="0" fillId="0" borderId="12" xfId="0" applyBorder="1" applyAlignment="1" applyProtection="1">
      <alignment horizontal="left" vertical="center"/>
      <protection/>
    </xf>
    <xf numFmtId="0" fontId="7" fillId="0" borderId="0" xfId="0" applyFont="1" applyAlignment="1">
      <alignment horizontal="left" vertical="center"/>
    </xf>
    <xf numFmtId="0" fontId="7" fillId="0" borderId="13" xfId="0" applyFont="1" applyBorder="1" applyAlignment="1" applyProtection="1">
      <alignment horizontal="left" vertical="center"/>
      <protection/>
    </xf>
    <xf numFmtId="0" fontId="7" fillId="0" borderId="14" xfId="0" applyFont="1" applyBorder="1" applyAlignment="1" applyProtection="1">
      <alignment horizontal="left" vertical="center"/>
      <protection/>
    </xf>
    <xf numFmtId="0" fontId="9" fillId="0" borderId="0" xfId="0" applyFont="1" applyAlignment="1">
      <alignment horizontal="left" vertical="center"/>
    </xf>
    <xf numFmtId="0" fontId="9" fillId="0" borderId="13" xfId="0" applyFont="1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14" xfId="0" applyFont="1" applyBorder="1" applyAlignment="1" applyProtection="1">
      <alignment horizontal="left" vertical="center"/>
      <protection/>
    </xf>
    <xf numFmtId="0" fontId="16" fillId="0" borderId="0" xfId="0" applyFont="1" applyAlignment="1" applyProtection="1">
      <alignment horizontal="left" vertical="center"/>
      <protection/>
    </xf>
    <xf numFmtId="166" fontId="7" fillId="0" borderId="0" xfId="0" applyNumberFormat="1" applyFont="1" applyAlignment="1" applyProtection="1">
      <alignment horizontal="left" vertical="top"/>
      <protection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2" xfId="0" applyBorder="1" applyAlignment="1" applyProtection="1">
      <alignment horizontal="left" vertical="center"/>
      <protection/>
    </xf>
    <xf numFmtId="0" fontId="0" fillId="0" borderId="23" xfId="0" applyBorder="1" applyAlignment="1" applyProtection="1">
      <alignment horizontal="left" vertical="center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31" xfId="0" applyFont="1" applyBorder="1" applyAlignment="1" applyProtection="1">
      <alignment horizontal="center" vertical="center" wrapText="1"/>
      <protection/>
    </xf>
    <xf numFmtId="0" fontId="6" fillId="0" borderId="32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 vertical="center"/>
    </xf>
    <xf numFmtId="0" fontId="0" fillId="0" borderId="19" xfId="0" applyBorder="1" applyAlignment="1" applyProtection="1">
      <alignment horizontal="left" vertical="center"/>
      <protection/>
    </xf>
    <xf numFmtId="0" fontId="18" fillId="0" borderId="0" xfId="0" applyFont="1" applyAlignment="1" applyProtection="1">
      <alignment horizontal="left" vertical="center"/>
      <protection/>
    </xf>
    <xf numFmtId="164" fontId="17" fillId="0" borderId="22" xfId="0" applyNumberFormat="1" applyFont="1" applyBorder="1" applyAlignment="1" applyProtection="1">
      <alignment horizontal="right" vertical="center"/>
      <protection/>
    </xf>
    <xf numFmtId="164" fontId="17" fillId="0" borderId="0" xfId="0" applyNumberFormat="1" applyFont="1" applyAlignment="1" applyProtection="1">
      <alignment horizontal="right" vertical="center"/>
      <protection/>
    </xf>
    <xf numFmtId="167" fontId="17" fillId="0" borderId="0" xfId="0" applyNumberFormat="1" applyFont="1" applyAlignment="1" applyProtection="1">
      <alignment horizontal="right" vertical="center"/>
      <protection/>
    </xf>
    <xf numFmtId="164" fontId="17" fillId="0" borderId="23" xfId="0" applyNumberFormat="1" applyFont="1" applyBorder="1" applyAlignment="1" applyProtection="1">
      <alignment horizontal="right" vertical="center"/>
      <protection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0" fillId="0" borderId="13" xfId="0" applyFont="1" applyBorder="1" applyAlignment="1" applyProtection="1">
      <alignment horizontal="left"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0" fillId="0" borderId="14" xfId="0" applyFont="1" applyBorder="1" applyAlignment="1" applyProtection="1">
      <alignment horizontal="left" vertical="center"/>
      <protection/>
    </xf>
    <xf numFmtId="164" fontId="23" fillId="0" borderId="22" xfId="0" applyNumberFormat="1" applyFont="1" applyBorder="1" applyAlignment="1" applyProtection="1">
      <alignment horizontal="right" vertical="center"/>
      <protection/>
    </xf>
    <xf numFmtId="164" fontId="23" fillId="0" borderId="0" xfId="0" applyNumberFormat="1" applyFont="1" applyAlignment="1" applyProtection="1">
      <alignment horizontal="right" vertical="center"/>
      <protection/>
    </xf>
    <xf numFmtId="167" fontId="23" fillId="0" borderId="0" xfId="0" applyNumberFormat="1" applyFont="1" applyAlignment="1" applyProtection="1">
      <alignment horizontal="right" vertical="center"/>
      <protection/>
    </xf>
    <xf numFmtId="164" fontId="23" fillId="0" borderId="23" xfId="0" applyNumberFormat="1" applyFont="1" applyBorder="1" applyAlignment="1" applyProtection="1">
      <alignment horizontal="right" vertical="center"/>
      <protection/>
    </xf>
    <xf numFmtId="164" fontId="23" fillId="0" borderId="24" xfId="0" applyNumberFormat="1" applyFont="1" applyBorder="1" applyAlignment="1" applyProtection="1">
      <alignment horizontal="right" vertical="center"/>
      <protection/>
    </xf>
    <xf numFmtId="164" fontId="23" fillId="0" borderId="25" xfId="0" applyNumberFormat="1" applyFont="1" applyBorder="1" applyAlignment="1" applyProtection="1">
      <alignment horizontal="right" vertical="center"/>
      <protection/>
    </xf>
    <xf numFmtId="167" fontId="23" fillId="0" borderId="25" xfId="0" applyNumberFormat="1" applyFont="1" applyBorder="1" applyAlignment="1" applyProtection="1">
      <alignment horizontal="right" vertical="center"/>
      <protection/>
    </xf>
    <xf numFmtId="164" fontId="23" fillId="0" borderId="26" xfId="0" applyNumberFormat="1" applyFont="1" applyBorder="1" applyAlignment="1" applyProtection="1">
      <alignment horizontal="right" vertical="center"/>
      <protection/>
    </xf>
    <xf numFmtId="0" fontId="24" fillId="0" borderId="0" xfId="0" applyFont="1" applyAlignment="1" applyProtection="1">
      <alignment horizontal="left" vertical="center"/>
      <protection/>
    </xf>
    <xf numFmtId="165" fontId="15" fillId="34" borderId="19" xfId="0" applyNumberFormat="1" applyFont="1" applyFill="1" applyBorder="1" applyAlignment="1">
      <alignment horizontal="center" vertical="center"/>
    </xf>
    <xf numFmtId="0" fontId="15" fillId="34" borderId="20" xfId="0" applyFont="1" applyFill="1" applyBorder="1" applyAlignment="1">
      <alignment horizontal="center" vertical="center"/>
    </xf>
    <xf numFmtId="164" fontId="15" fillId="0" borderId="21" xfId="0" applyNumberFormat="1" applyFont="1" applyBorder="1" applyAlignment="1" applyProtection="1">
      <alignment horizontal="right" vertical="center"/>
      <protection/>
    </xf>
    <xf numFmtId="164" fontId="0" fillId="0" borderId="0" xfId="0" applyNumberFormat="1" applyFont="1" applyAlignment="1">
      <alignment horizontal="right" vertical="center"/>
    </xf>
    <xf numFmtId="165" fontId="15" fillId="34" borderId="22" xfId="0" applyNumberFormat="1" applyFont="1" applyFill="1" applyBorder="1" applyAlignment="1">
      <alignment horizontal="center" vertical="center"/>
    </xf>
    <xf numFmtId="0" fontId="15" fillId="34" borderId="0" xfId="0" applyFont="1" applyFill="1" applyAlignment="1">
      <alignment horizontal="center" vertical="center"/>
    </xf>
    <xf numFmtId="164" fontId="15" fillId="0" borderId="23" xfId="0" applyNumberFormat="1" applyFont="1" applyBorder="1" applyAlignment="1" applyProtection="1">
      <alignment horizontal="right" vertical="center"/>
      <protection/>
    </xf>
    <xf numFmtId="165" fontId="15" fillId="34" borderId="24" xfId="0" applyNumberFormat="1" applyFont="1" applyFill="1" applyBorder="1" applyAlignment="1">
      <alignment horizontal="center" vertical="center"/>
    </xf>
    <xf numFmtId="0" fontId="15" fillId="34" borderId="25" xfId="0" applyFont="1" applyFill="1" applyBorder="1" applyAlignment="1">
      <alignment horizontal="center" vertical="center"/>
    </xf>
    <xf numFmtId="164" fontId="15" fillId="0" borderId="26" xfId="0" applyNumberFormat="1" applyFont="1" applyBorder="1" applyAlignment="1" applyProtection="1">
      <alignment horizontal="right" vertical="center"/>
      <protection/>
    </xf>
    <xf numFmtId="0" fontId="18" fillId="35" borderId="0" xfId="0" applyFont="1" applyFill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 wrapText="1"/>
    </xf>
    <xf numFmtId="0" fontId="0" fillId="0" borderId="13" xfId="0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14" xfId="0" applyBorder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right" vertical="center"/>
      <protection/>
    </xf>
    <xf numFmtId="0" fontId="9" fillId="35" borderId="18" xfId="0" applyFont="1" applyFill="1" applyBorder="1" applyAlignment="1" applyProtection="1">
      <alignment horizontal="right" vertical="center"/>
      <protection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25" fillId="0" borderId="13" xfId="0" applyFont="1" applyBorder="1" applyAlignment="1" applyProtection="1">
      <alignment horizontal="left"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14" xfId="0" applyFont="1" applyBorder="1" applyAlignment="1" applyProtection="1">
      <alignment horizontal="left" vertical="center"/>
      <protection/>
    </xf>
    <xf numFmtId="0" fontId="11" fillId="0" borderId="0" xfId="0" applyFont="1" applyAlignment="1">
      <alignment horizontal="left" vertical="center"/>
    </xf>
    <xf numFmtId="0" fontId="24" fillId="0" borderId="13" xfId="0" applyFont="1" applyBorder="1" applyAlignment="1" applyProtection="1">
      <alignment horizontal="left" vertical="center"/>
      <protection/>
    </xf>
    <xf numFmtId="0" fontId="24" fillId="0" borderId="14" xfId="0" applyFont="1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 horizontal="left" vertical="center"/>
      <protection/>
    </xf>
    <xf numFmtId="0" fontId="6" fillId="0" borderId="33" xfId="0" applyFont="1" applyBorder="1" applyAlignment="1" applyProtection="1">
      <alignment horizontal="center" vertical="center"/>
      <protection/>
    </xf>
    <xf numFmtId="0" fontId="0" fillId="0" borderId="34" xfId="0" applyBorder="1" applyAlignment="1" applyProtection="1">
      <alignment horizontal="left" vertical="center"/>
      <protection/>
    </xf>
    <xf numFmtId="0" fontId="15" fillId="0" borderId="34" xfId="0" applyFont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 horizontal="left" vertical="center"/>
      <protection/>
    </xf>
    <xf numFmtId="0" fontId="15" fillId="0" borderId="35" xfId="0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  <protection/>
    </xf>
    <xf numFmtId="0" fontId="7" fillId="35" borderId="30" xfId="0" applyFont="1" applyFill="1" applyBorder="1" applyAlignment="1" applyProtection="1">
      <alignment horizontal="center" vertical="center" wrapText="1"/>
      <protection/>
    </xf>
    <xf numFmtId="0" fontId="7" fillId="35" borderId="31" xfId="0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167" fontId="26" fillId="0" borderId="20" xfId="0" applyNumberFormat="1" applyFont="1" applyBorder="1" applyAlignment="1" applyProtection="1">
      <alignment horizontal="right"/>
      <protection/>
    </xf>
    <xf numFmtId="167" fontId="26" fillId="0" borderId="21" xfId="0" applyNumberFormat="1" applyFont="1" applyBorder="1" applyAlignment="1" applyProtection="1">
      <alignment horizontal="right"/>
      <protection/>
    </xf>
    <xf numFmtId="164" fontId="27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8" fillId="0" borderId="13" xfId="0" applyFont="1" applyBorder="1" applyAlignment="1" applyProtection="1">
      <alignment horizontal="left"/>
      <protection/>
    </xf>
    <xf numFmtId="0" fontId="28" fillId="0" borderId="0" xfId="0" applyFont="1" applyAlignment="1" applyProtection="1">
      <alignment horizontal="left"/>
      <protection/>
    </xf>
    <xf numFmtId="0" fontId="25" fillId="0" borderId="0" xfId="0" applyFont="1" applyAlignment="1" applyProtection="1">
      <alignment horizontal="left"/>
      <protection/>
    </xf>
    <xf numFmtId="0" fontId="28" fillId="0" borderId="14" xfId="0" applyFont="1" applyBorder="1" applyAlignment="1" applyProtection="1">
      <alignment horizontal="left"/>
      <protection/>
    </xf>
    <xf numFmtId="0" fontId="28" fillId="0" borderId="22" xfId="0" applyFont="1" applyBorder="1" applyAlignment="1" applyProtection="1">
      <alignment horizontal="left"/>
      <protection/>
    </xf>
    <xf numFmtId="167" fontId="28" fillId="0" borderId="0" xfId="0" applyNumberFormat="1" applyFont="1" applyAlignment="1" applyProtection="1">
      <alignment horizontal="right"/>
      <protection/>
    </xf>
    <xf numFmtId="167" fontId="28" fillId="0" borderId="23" xfId="0" applyNumberFormat="1" applyFont="1" applyBorder="1" applyAlignment="1" applyProtection="1">
      <alignment horizontal="right"/>
      <protection/>
    </xf>
    <xf numFmtId="0" fontId="28" fillId="0" borderId="0" xfId="0" applyFont="1" applyAlignment="1">
      <alignment horizontal="left"/>
    </xf>
    <xf numFmtId="164" fontId="28" fillId="0" borderId="0" xfId="0" applyNumberFormat="1" applyFont="1" applyAlignment="1">
      <alignment horizontal="right" vertical="center"/>
    </xf>
    <xf numFmtId="0" fontId="24" fillId="0" borderId="0" xfId="0" applyFont="1" applyAlignment="1" applyProtection="1">
      <alignment horizontal="left"/>
      <protection/>
    </xf>
    <xf numFmtId="0" fontId="0" fillId="0" borderId="33" xfId="0" applyFont="1" applyBorder="1" applyAlignment="1" applyProtection="1">
      <alignment horizontal="center" vertical="center"/>
      <protection/>
    </xf>
    <xf numFmtId="49" fontId="0" fillId="0" borderId="33" xfId="0" applyNumberFormat="1" applyFont="1" applyBorder="1" applyAlignment="1" applyProtection="1">
      <alignment horizontal="left" vertical="center" wrapText="1"/>
      <protection/>
    </xf>
    <xf numFmtId="0" fontId="0" fillId="0" borderId="33" xfId="0" applyFont="1" applyBorder="1" applyAlignment="1" applyProtection="1">
      <alignment horizontal="center" vertical="center" wrapText="1"/>
      <protection/>
    </xf>
    <xf numFmtId="168" fontId="0" fillId="0" borderId="33" xfId="0" applyNumberFormat="1" applyFont="1" applyBorder="1" applyAlignment="1" applyProtection="1">
      <alignment horizontal="right" vertical="center"/>
      <protection/>
    </xf>
    <xf numFmtId="0" fontId="13" fillId="34" borderId="33" xfId="0" applyFont="1" applyFill="1" applyBorder="1" applyAlignment="1">
      <alignment horizontal="left" vertical="center"/>
    </xf>
    <xf numFmtId="167" fontId="13" fillId="0" borderId="0" xfId="0" applyNumberFormat="1" applyFont="1" applyAlignment="1" applyProtection="1">
      <alignment horizontal="right" vertical="center"/>
      <protection/>
    </xf>
    <xf numFmtId="167" fontId="13" fillId="0" borderId="23" xfId="0" applyNumberFormat="1" applyFont="1" applyBorder="1" applyAlignment="1" applyProtection="1">
      <alignment horizontal="right" vertical="center"/>
      <protection/>
    </xf>
    <xf numFmtId="0" fontId="29" fillId="0" borderId="33" xfId="0" applyFont="1" applyBorder="1" applyAlignment="1" applyProtection="1">
      <alignment horizontal="center" vertical="center"/>
      <protection/>
    </xf>
    <xf numFmtId="49" fontId="29" fillId="0" borderId="33" xfId="0" applyNumberFormat="1" applyFont="1" applyBorder="1" applyAlignment="1" applyProtection="1">
      <alignment horizontal="left" vertical="center" wrapText="1"/>
      <protection/>
    </xf>
    <xf numFmtId="0" fontId="29" fillId="0" borderId="33" xfId="0" applyFont="1" applyBorder="1" applyAlignment="1" applyProtection="1">
      <alignment horizontal="center" vertical="center" wrapText="1"/>
      <protection/>
    </xf>
    <xf numFmtId="168" fontId="29" fillId="0" borderId="33" xfId="0" applyNumberFormat="1" applyFont="1" applyBorder="1" applyAlignment="1" applyProtection="1">
      <alignment horizontal="right" vertical="center"/>
      <protection/>
    </xf>
    <xf numFmtId="0" fontId="0" fillId="34" borderId="33" xfId="0" applyFont="1" applyFill="1" applyBorder="1" applyAlignment="1">
      <alignment horizontal="center" vertical="center"/>
    </xf>
    <xf numFmtId="49" fontId="0" fillId="34" borderId="33" xfId="0" applyNumberFormat="1" applyFont="1" applyFill="1" applyBorder="1" applyAlignment="1">
      <alignment horizontal="left" vertical="center" wrapText="1"/>
    </xf>
    <xf numFmtId="0" fontId="0" fillId="34" borderId="33" xfId="0" applyFont="1" applyFill="1" applyBorder="1" applyAlignment="1">
      <alignment horizontal="center" vertical="center" wrapText="1"/>
    </xf>
    <xf numFmtId="168" fontId="0" fillId="34" borderId="33" xfId="0" applyNumberFormat="1" applyFont="1" applyFill="1" applyBorder="1" applyAlignment="1">
      <alignment horizontal="right" vertical="center"/>
    </xf>
    <xf numFmtId="0" fontId="13" fillId="34" borderId="3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4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left" vertical="top"/>
      <protection/>
    </xf>
    <xf numFmtId="0" fontId="8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7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top" wrapText="1"/>
      <protection/>
    </xf>
    <xf numFmtId="49" fontId="7" fillId="34" borderId="0" xfId="0" applyNumberFormat="1" applyFont="1" applyFill="1" applyAlignment="1">
      <alignment horizontal="left" vertical="top"/>
    </xf>
    <xf numFmtId="0" fontId="7" fillId="0" borderId="0" xfId="0" applyFont="1" applyAlignment="1" applyProtection="1">
      <alignment horizontal="left" vertical="center" wrapText="1"/>
      <protection/>
    </xf>
    <xf numFmtId="164" fontId="11" fillId="0" borderId="0" xfId="0" applyNumberFormat="1" applyFont="1" applyAlignment="1" applyProtection="1">
      <alignment horizontal="right" vertical="center"/>
      <protection/>
    </xf>
    <xf numFmtId="164" fontId="12" fillId="0" borderId="16" xfId="0" applyNumberFormat="1" applyFont="1" applyBorder="1" applyAlignment="1" applyProtection="1">
      <alignment horizontal="right" vertical="center"/>
      <protection/>
    </xf>
    <xf numFmtId="0" fontId="0" fillId="0" borderId="16" xfId="0" applyBorder="1" applyAlignment="1" applyProtection="1">
      <alignment horizontal="left" vertical="center"/>
      <protection/>
    </xf>
    <xf numFmtId="165" fontId="13" fillId="0" borderId="0" xfId="0" applyNumberFormat="1" applyFont="1" applyAlignment="1" applyProtection="1">
      <alignment horizontal="right" vertical="center"/>
      <protection/>
    </xf>
    <xf numFmtId="0" fontId="13" fillId="0" borderId="0" xfId="0" applyFont="1" applyAlignment="1" applyProtection="1">
      <alignment horizontal="left" vertical="center"/>
      <protection/>
    </xf>
    <xf numFmtId="164" fontId="8" fillId="0" borderId="0" xfId="0" applyNumberFormat="1" applyFont="1" applyAlignment="1" applyProtection="1">
      <alignment horizontal="right" vertical="center"/>
      <protection/>
    </xf>
    <xf numFmtId="0" fontId="9" fillId="35" borderId="18" xfId="0" applyFont="1" applyFill="1" applyBorder="1" applyAlignment="1" applyProtection="1">
      <alignment horizontal="left" vertical="center"/>
      <protection/>
    </xf>
    <xf numFmtId="0" fontId="0" fillId="35" borderId="18" xfId="0" applyFill="1" applyBorder="1" applyAlignment="1" applyProtection="1">
      <alignment horizontal="left" vertical="center"/>
      <protection/>
    </xf>
    <xf numFmtId="164" fontId="9" fillId="35" borderId="18" xfId="0" applyNumberFormat="1" applyFont="1" applyFill="1" applyBorder="1" applyAlignment="1" applyProtection="1">
      <alignment horizontal="right" vertical="center"/>
      <protection/>
    </xf>
    <xf numFmtId="0" fontId="0" fillId="35" borderId="36" xfId="0" applyFill="1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horizontal="left" vertical="center"/>
      <protection/>
    </xf>
    <xf numFmtId="0" fontId="17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2" xfId="0" applyBorder="1" applyAlignment="1" applyProtection="1">
      <alignment horizontal="left" vertical="center"/>
      <protection/>
    </xf>
    <xf numFmtId="0" fontId="7" fillId="35" borderId="17" xfId="0" applyFont="1" applyFill="1" applyBorder="1" applyAlignment="1" applyProtection="1">
      <alignment horizontal="center" vertical="center"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164" fontId="22" fillId="0" borderId="0" xfId="0" applyNumberFormat="1" applyFont="1" applyAlignment="1" applyProtection="1">
      <alignment horizontal="right"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1" fillId="0" borderId="0" xfId="0" applyFont="1" applyAlignment="1" applyProtection="1">
      <alignment horizontal="left" vertical="center" wrapText="1"/>
      <protection/>
    </xf>
    <xf numFmtId="0" fontId="21" fillId="0" borderId="0" xfId="0" applyFont="1" applyAlignment="1" applyProtection="1">
      <alignment horizontal="left" vertical="center"/>
      <protection/>
    </xf>
    <xf numFmtId="164" fontId="24" fillId="34" borderId="0" xfId="0" applyNumberFormat="1" applyFont="1" applyFill="1" applyAlignment="1">
      <alignment horizontal="right" vertical="center"/>
    </xf>
    <xf numFmtId="164" fontId="24" fillId="0" borderId="0" xfId="0" applyNumberFormat="1" applyFont="1" applyAlignment="1" applyProtection="1">
      <alignment horizontal="right" vertical="center"/>
      <protection/>
    </xf>
    <xf numFmtId="0" fontId="24" fillId="34" borderId="0" xfId="0" applyFont="1" applyFill="1" applyAlignment="1">
      <alignment horizontal="left" vertical="center"/>
    </xf>
    <xf numFmtId="164" fontId="18" fillId="0" borderId="0" xfId="0" applyNumberFormat="1" applyFont="1" applyAlignment="1" applyProtection="1">
      <alignment horizontal="right" vertical="center"/>
      <protection/>
    </xf>
    <xf numFmtId="0" fontId="18" fillId="0" borderId="0" xfId="0" applyFont="1" applyAlignment="1" applyProtection="1">
      <alignment horizontal="left" vertical="center"/>
      <protection/>
    </xf>
    <xf numFmtId="164" fontId="18" fillId="35" borderId="0" xfId="0" applyNumberFormat="1" applyFont="1" applyFill="1" applyAlignment="1" applyProtection="1">
      <alignment horizontal="right" vertical="center"/>
      <protection/>
    </xf>
    <xf numFmtId="0" fontId="0" fillId="35" borderId="0" xfId="0" applyFill="1" applyAlignment="1" applyProtection="1">
      <alignment horizontal="left" vertical="center"/>
      <protection/>
    </xf>
    <xf numFmtId="0" fontId="3" fillId="35" borderId="0" xfId="0" applyFont="1" applyFill="1" applyAlignment="1">
      <alignment horizontal="center" vertical="center"/>
    </xf>
    <xf numFmtId="0" fontId="6" fillId="0" borderId="0" xfId="0" applyFont="1" applyAlignment="1" applyProtection="1">
      <alignment horizontal="left" vertical="center" wrapText="1"/>
      <protection/>
    </xf>
    <xf numFmtId="166" fontId="7" fillId="34" borderId="0" xfId="0" applyNumberFormat="1" applyFont="1" applyFill="1" applyAlignment="1">
      <alignment horizontal="left" vertical="top"/>
    </xf>
    <xf numFmtId="0" fontId="7" fillId="34" borderId="0" xfId="0" applyFont="1" applyFill="1" applyAlignment="1">
      <alignment horizontal="left" vertical="center"/>
    </xf>
    <xf numFmtId="0" fontId="0" fillId="0" borderId="0" xfId="0" applyAlignment="1" applyProtection="1">
      <alignment horizontal="left" vertical="center" wrapText="1"/>
      <protection/>
    </xf>
    <xf numFmtId="164" fontId="12" fillId="0" borderId="0" xfId="0" applyNumberFormat="1" applyFont="1" applyAlignment="1" applyProtection="1">
      <alignment horizontal="right" vertical="center"/>
      <protection/>
    </xf>
    <xf numFmtId="164" fontId="13" fillId="0" borderId="0" xfId="0" applyNumberFormat="1" applyFont="1" applyAlignment="1" applyProtection="1">
      <alignment horizontal="right" vertical="center"/>
      <protection/>
    </xf>
    <xf numFmtId="166" fontId="7" fillId="0" borderId="0" xfId="0" applyNumberFormat="1" applyFont="1" applyAlignment="1" applyProtection="1">
      <alignment horizontal="left" vertical="top"/>
      <protection/>
    </xf>
    <xf numFmtId="0" fontId="7" fillId="35" borderId="0" xfId="0" applyFont="1" applyFill="1" applyAlignment="1" applyProtection="1">
      <alignment horizontal="center" vertical="center"/>
      <protection/>
    </xf>
    <xf numFmtId="164" fontId="25" fillId="0" borderId="0" xfId="0" applyNumberFormat="1" applyFont="1" applyAlignment="1" applyProtection="1">
      <alignment horizontal="right"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horizontal="left" vertical="center"/>
      <protection/>
    </xf>
    <xf numFmtId="164" fontId="25" fillId="0" borderId="0" xfId="0" applyNumberFormat="1" applyFont="1" applyAlignment="1" applyProtection="1">
      <alignment horizontal="right"/>
      <protection/>
    </xf>
    <xf numFmtId="0" fontId="7" fillId="35" borderId="31" xfId="0" applyFont="1" applyFill="1" applyBorder="1" applyAlignment="1" applyProtection="1">
      <alignment horizontal="center" vertical="center" wrapText="1"/>
      <protection/>
    </xf>
    <xf numFmtId="0" fontId="0" fillId="35" borderId="31" xfId="0" applyFill="1" applyBorder="1" applyAlignment="1" applyProtection="1">
      <alignment horizontal="center" vertical="center" wrapText="1"/>
      <protection/>
    </xf>
    <xf numFmtId="0" fontId="0" fillId="35" borderId="32" xfId="0" applyFill="1" applyBorder="1" applyAlignment="1" applyProtection="1">
      <alignment horizontal="center" vertical="center" wrapText="1"/>
      <protection/>
    </xf>
    <xf numFmtId="0" fontId="0" fillId="0" borderId="33" xfId="0" applyFont="1" applyBorder="1" applyAlignment="1" applyProtection="1">
      <alignment horizontal="left" vertical="center" wrapText="1"/>
      <protection/>
    </xf>
    <xf numFmtId="0" fontId="0" fillId="0" borderId="33" xfId="0" applyBorder="1" applyAlignment="1" applyProtection="1">
      <alignment horizontal="left" vertical="center"/>
      <protection/>
    </xf>
    <xf numFmtId="164" fontId="0" fillId="34" borderId="33" xfId="0" applyNumberFormat="1" applyFont="1" applyFill="1" applyBorder="1" applyAlignment="1">
      <alignment horizontal="right" vertical="center"/>
    </xf>
    <xf numFmtId="164" fontId="0" fillId="0" borderId="33" xfId="0" applyNumberFormat="1" applyFont="1" applyBorder="1" applyAlignment="1" applyProtection="1">
      <alignment horizontal="right" vertical="center"/>
      <protection/>
    </xf>
    <xf numFmtId="0" fontId="29" fillId="0" borderId="33" xfId="0" applyFont="1" applyBorder="1" applyAlignment="1" applyProtection="1">
      <alignment horizontal="left" vertical="center" wrapText="1"/>
      <protection/>
    </xf>
    <xf numFmtId="0" fontId="29" fillId="0" borderId="33" xfId="0" applyFont="1" applyBorder="1" applyAlignment="1" applyProtection="1">
      <alignment horizontal="left" vertical="center"/>
      <protection/>
    </xf>
    <xf numFmtId="164" fontId="29" fillId="34" borderId="33" xfId="0" applyNumberFormat="1" applyFont="1" applyFill="1" applyBorder="1" applyAlignment="1">
      <alignment horizontal="right" vertical="center"/>
    </xf>
    <xf numFmtId="164" fontId="29" fillId="0" borderId="33" xfId="0" applyNumberFormat="1" applyFont="1" applyBorder="1" applyAlignment="1" applyProtection="1">
      <alignment horizontal="right" vertical="center"/>
      <protection/>
    </xf>
    <xf numFmtId="0" fontId="0" fillId="34" borderId="33" xfId="0" applyFont="1" applyFill="1" applyBorder="1" applyAlignment="1">
      <alignment horizontal="left" vertical="center" wrapText="1"/>
    </xf>
    <xf numFmtId="0" fontId="0" fillId="34" borderId="33" xfId="0" applyFill="1" applyBorder="1" applyAlignment="1">
      <alignment horizontal="left" vertical="center"/>
    </xf>
    <xf numFmtId="164" fontId="18" fillId="0" borderId="0" xfId="0" applyNumberFormat="1" applyFont="1" applyAlignment="1" applyProtection="1">
      <alignment horizontal="right"/>
      <protection/>
    </xf>
    <xf numFmtId="0" fontId="28" fillId="0" borderId="0" xfId="0" applyFont="1" applyAlignment="1" applyProtection="1">
      <alignment horizontal="left"/>
      <protection/>
    </xf>
    <xf numFmtId="164" fontId="24" fillId="0" borderId="0" xfId="0" applyNumberFormat="1" applyFont="1" applyAlignment="1" applyProtection="1">
      <alignment horizontal="right"/>
      <protection/>
    </xf>
    <xf numFmtId="0" fontId="68" fillId="0" borderId="0" xfId="36" applyFont="1" applyAlignment="1">
      <alignment horizontal="center" vertical="center"/>
    </xf>
    <xf numFmtId="0" fontId="1" fillId="33" borderId="0" xfId="0" applyFont="1" applyFill="1" applyAlignment="1" applyProtection="1">
      <alignment horizontal="left" vertical="center"/>
      <protection/>
    </xf>
    <xf numFmtId="0" fontId="11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69" fillId="33" borderId="0" xfId="36" applyFont="1" applyFill="1" applyAlignment="1" applyProtection="1">
      <alignment horizontal="left" vertical="center"/>
      <protection/>
    </xf>
    <xf numFmtId="0" fontId="0" fillId="33" borderId="0" xfId="0" applyFont="1" applyFill="1" applyAlignment="1" applyProtection="1">
      <alignment horizontal="left" vertical="top"/>
      <protection/>
    </xf>
    <xf numFmtId="0" fontId="69" fillId="33" borderId="0" xfId="36" applyFont="1" applyFill="1" applyAlignment="1" applyProtection="1">
      <alignment horizontal="center" vertical="center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40D66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E15AF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27C4B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152400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239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152400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239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152400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239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7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5" style="2" customWidth="1"/>
    <col min="34" max="34" width="3.33203125" style="2" customWidth="1"/>
    <col min="35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.66796875" style="2" customWidth="1"/>
    <col min="44" max="44" width="10.66015625" style="1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89" width="10.66015625" style="2" hidden="1" customWidth="1"/>
    <col min="90" max="16384" width="10.66015625" style="1" customWidth="1"/>
  </cols>
  <sheetData>
    <row r="1" spans="1:256" s="3" customFormat="1" ht="22.5" customHeight="1">
      <c r="A1" s="230" t="s">
        <v>0</v>
      </c>
      <c r="B1" s="231"/>
      <c r="C1" s="231"/>
      <c r="D1" s="232" t="s">
        <v>1</v>
      </c>
      <c r="E1" s="231"/>
      <c r="F1" s="231"/>
      <c r="G1" s="231"/>
      <c r="H1" s="231"/>
      <c r="I1" s="231"/>
      <c r="J1" s="231"/>
      <c r="K1" s="233" t="s">
        <v>740</v>
      </c>
      <c r="L1" s="233"/>
      <c r="M1" s="233"/>
      <c r="N1" s="233"/>
      <c r="O1" s="233"/>
      <c r="P1" s="233"/>
      <c r="Q1" s="233"/>
      <c r="R1" s="233"/>
      <c r="S1" s="233"/>
      <c r="T1" s="231"/>
      <c r="U1" s="231"/>
      <c r="V1" s="231"/>
      <c r="W1" s="233" t="s">
        <v>741</v>
      </c>
      <c r="X1" s="233"/>
      <c r="Y1" s="233"/>
      <c r="Z1" s="233"/>
      <c r="AA1" s="233"/>
      <c r="AB1" s="233"/>
      <c r="AC1" s="233"/>
      <c r="AD1" s="233"/>
      <c r="AE1" s="233"/>
      <c r="AF1" s="233"/>
      <c r="AG1" s="231"/>
      <c r="AH1" s="231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4" t="s">
        <v>2</v>
      </c>
      <c r="BB1" s="4" t="s">
        <v>3</v>
      </c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4" t="s">
        <v>4</v>
      </c>
      <c r="BU1" s="4" t="s">
        <v>4</v>
      </c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159" t="s">
        <v>5</v>
      </c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60"/>
      <c r="AH2" s="160"/>
      <c r="AI2" s="160"/>
      <c r="AJ2" s="160"/>
      <c r="AK2" s="160"/>
      <c r="AL2" s="160"/>
      <c r="AM2" s="160"/>
      <c r="AN2" s="160"/>
      <c r="AO2" s="160"/>
      <c r="AP2" s="160"/>
      <c r="AR2" s="200" t="s">
        <v>6</v>
      </c>
      <c r="AS2" s="160"/>
      <c r="AT2" s="160"/>
      <c r="AU2" s="160"/>
      <c r="AV2" s="160"/>
      <c r="AW2" s="160"/>
      <c r="AX2" s="160"/>
      <c r="AY2" s="160"/>
      <c r="AZ2" s="160"/>
      <c r="BA2" s="160"/>
      <c r="BB2" s="160"/>
      <c r="BC2" s="160"/>
      <c r="BD2" s="160"/>
      <c r="BE2" s="160"/>
      <c r="BS2" s="6" t="s">
        <v>7</v>
      </c>
      <c r="BT2" s="6" t="s">
        <v>8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7</v>
      </c>
      <c r="BT3" s="6" t="s">
        <v>9</v>
      </c>
    </row>
    <row r="4" spans="2:71" s="2" customFormat="1" ht="37.5" customHeight="1">
      <c r="B4" s="10"/>
      <c r="C4" s="161" t="s">
        <v>10</v>
      </c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2"/>
      <c r="AE4" s="162"/>
      <c r="AF4" s="162"/>
      <c r="AG4" s="162"/>
      <c r="AH4" s="162"/>
      <c r="AI4" s="162"/>
      <c r="AJ4" s="162"/>
      <c r="AK4" s="162"/>
      <c r="AL4" s="162"/>
      <c r="AM4" s="162"/>
      <c r="AN4" s="162"/>
      <c r="AO4" s="162"/>
      <c r="AP4" s="162"/>
      <c r="AQ4" s="12"/>
      <c r="AS4" s="13" t="s">
        <v>11</v>
      </c>
      <c r="BE4" s="14" t="s">
        <v>12</v>
      </c>
      <c r="BS4" s="6" t="s">
        <v>13</v>
      </c>
    </row>
    <row r="5" spans="2:71" s="2" customFormat="1" ht="15" customHeight="1">
      <c r="B5" s="10"/>
      <c r="C5" s="11"/>
      <c r="D5" s="15" t="s">
        <v>14</v>
      </c>
      <c r="E5" s="11"/>
      <c r="F5" s="11"/>
      <c r="G5" s="11"/>
      <c r="H5" s="11"/>
      <c r="I5" s="11"/>
      <c r="J5" s="11"/>
      <c r="K5" s="166" t="s">
        <v>15</v>
      </c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  <c r="AF5" s="162"/>
      <c r="AG5" s="162"/>
      <c r="AH5" s="162"/>
      <c r="AI5" s="162"/>
      <c r="AJ5" s="162"/>
      <c r="AK5" s="162"/>
      <c r="AL5" s="162"/>
      <c r="AM5" s="162"/>
      <c r="AN5" s="162"/>
      <c r="AO5" s="162"/>
      <c r="AP5" s="11"/>
      <c r="AQ5" s="12"/>
      <c r="BE5" s="163" t="s">
        <v>16</v>
      </c>
      <c r="BS5" s="6" t="s">
        <v>7</v>
      </c>
    </row>
    <row r="6" spans="2:71" s="2" customFormat="1" ht="37.5" customHeight="1">
      <c r="B6" s="10"/>
      <c r="C6" s="11"/>
      <c r="D6" s="17" t="s">
        <v>17</v>
      </c>
      <c r="E6" s="11"/>
      <c r="F6" s="11"/>
      <c r="G6" s="11"/>
      <c r="H6" s="11"/>
      <c r="I6" s="11"/>
      <c r="J6" s="11"/>
      <c r="K6" s="167" t="s">
        <v>18</v>
      </c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  <c r="AF6" s="162"/>
      <c r="AG6" s="162"/>
      <c r="AH6" s="162"/>
      <c r="AI6" s="162"/>
      <c r="AJ6" s="162"/>
      <c r="AK6" s="162"/>
      <c r="AL6" s="162"/>
      <c r="AM6" s="162"/>
      <c r="AN6" s="162"/>
      <c r="AO6" s="162"/>
      <c r="AP6" s="11"/>
      <c r="AQ6" s="12"/>
      <c r="BE6" s="160"/>
      <c r="BS6" s="6" t="s">
        <v>19</v>
      </c>
    </row>
    <row r="7" spans="2:71" s="2" customFormat="1" ht="15" customHeight="1">
      <c r="B7" s="10"/>
      <c r="C7" s="11"/>
      <c r="D7" s="18" t="s">
        <v>20</v>
      </c>
      <c r="E7" s="11"/>
      <c r="F7" s="11"/>
      <c r="G7" s="11"/>
      <c r="H7" s="11"/>
      <c r="I7" s="11"/>
      <c r="J7" s="11"/>
      <c r="K7" s="16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8" t="s">
        <v>21</v>
      </c>
      <c r="AL7" s="11"/>
      <c r="AM7" s="11"/>
      <c r="AN7" s="16"/>
      <c r="AO7" s="11"/>
      <c r="AP7" s="11"/>
      <c r="AQ7" s="12"/>
      <c r="BE7" s="160"/>
      <c r="BS7" s="6" t="s">
        <v>22</v>
      </c>
    </row>
    <row r="8" spans="2:71" s="2" customFormat="1" ht="15" customHeight="1">
      <c r="B8" s="10"/>
      <c r="C8" s="11"/>
      <c r="D8" s="18" t="s">
        <v>23</v>
      </c>
      <c r="E8" s="11"/>
      <c r="F8" s="11"/>
      <c r="G8" s="11"/>
      <c r="H8" s="11"/>
      <c r="I8" s="11"/>
      <c r="J8" s="11"/>
      <c r="K8" s="16" t="s">
        <v>24</v>
      </c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8" t="s">
        <v>25</v>
      </c>
      <c r="AL8" s="11"/>
      <c r="AM8" s="11"/>
      <c r="AN8" s="19" t="s">
        <v>26</v>
      </c>
      <c r="AO8" s="11"/>
      <c r="AP8" s="11"/>
      <c r="AQ8" s="12"/>
      <c r="BE8" s="160"/>
      <c r="BS8" s="6" t="s">
        <v>27</v>
      </c>
    </row>
    <row r="9" spans="2:71" s="2" customFormat="1" ht="15" customHeight="1"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2"/>
      <c r="BE9" s="160"/>
      <c r="BS9" s="6" t="s">
        <v>28</v>
      </c>
    </row>
    <row r="10" spans="2:71" s="2" customFormat="1" ht="15" customHeight="1">
      <c r="B10" s="10"/>
      <c r="C10" s="11"/>
      <c r="D10" s="18" t="s">
        <v>29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8" t="s">
        <v>30</v>
      </c>
      <c r="AL10" s="11"/>
      <c r="AM10" s="11"/>
      <c r="AN10" s="16"/>
      <c r="AO10" s="11"/>
      <c r="AP10" s="11"/>
      <c r="AQ10" s="12"/>
      <c r="BE10" s="160"/>
      <c r="BS10" s="6" t="s">
        <v>19</v>
      </c>
    </row>
    <row r="11" spans="2:71" s="2" customFormat="1" ht="19.5" customHeight="1">
      <c r="B11" s="10"/>
      <c r="C11" s="11"/>
      <c r="D11" s="11"/>
      <c r="E11" s="16" t="s">
        <v>31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8" t="s">
        <v>32</v>
      </c>
      <c r="AL11" s="11"/>
      <c r="AM11" s="11"/>
      <c r="AN11" s="16"/>
      <c r="AO11" s="11"/>
      <c r="AP11" s="11"/>
      <c r="AQ11" s="12"/>
      <c r="BE11" s="160"/>
      <c r="BS11" s="6" t="s">
        <v>19</v>
      </c>
    </row>
    <row r="12" spans="2:71" s="2" customFormat="1" ht="7.5" customHeight="1"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2"/>
      <c r="BE12" s="160"/>
      <c r="BS12" s="6" t="s">
        <v>19</v>
      </c>
    </row>
    <row r="13" spans="2:71" s="2" customFormat="1" ht="15" customHeight="1">
      <c r="B13" s="10"/>
      <c r="C13" s="11"/>
      <c r="D13" s="18" t="s">
        <v>33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8" t="s">
        <v>30</v>
      </c>
      <c r="AL13" s="11"/>
      <c r="AM13" s="11"/>
      <c r="AN13" s="20" t="s">
        <v>34</v>
      </c>
      <c r="AO13" s="11"/>
      <c r="AP13" s="11"/>
      <c r="AQ13" s="12"/>
      <c r="BE13" s="160"/>
      <c r="BS13" s="6" t="s">
        <v>19</v>
      </c>
    </row>
    <row r="14" spans="2:71" s="2" customFormat="1" ht="15.75" customHeight="1">
      <c r="B14" s="10"/>
      <c r="C14" s="11"/>
      <c r="D14" s="11"/>
      <c r="E14" s="168" t="s">
        <v>34</v>
      </c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2"/>
      <c r="Y14" s="162"/>
      <c r="Z14" s="162"/>
      <c r="AA14" s="162"/>
      <c r="AB14" s="162"/>
      <c r="AC14" s="162"/>
      <c r="AD14" s="162"/>
      <c r="AE14" s="162"/>
      <c r="AF14" s="162"/>
      <c r="AG14" s="162"/>
      <c r="AH14" s="162"/>
      <c r="AI14" s="162"/>
      <c r="AJ14" s="162"/>
      <c r="AK14" s="18" t="s">
        <v>32</v>
      </c>
      <c r="AL14" s="11"/>
      <c r="AM14" s="11"/>
      <c r="AN14" s="20" t="s">
        <v>34</v>
      </c>
      <c r="AO14" s="11"/>
      <c r="AP14" s="11"/>
      <c r="AQ14" s="12"/>
      <c r="BE14" s="160"/>
      <c r="BS14" s="6" t="s">
        <v>19</v>
      </c>
    </row>
    <row r="15" spans="2:71" s="2" customFormat="1" ht="7.5" customHeight="1"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2"/>
      <c r="BE15" s="160"/>
      <c r="BS15" s="6" t="s">
        <v>35</v>
      </c>
    </row>
    <row r="16" spans="2:71" s="2" customFormat="1" ht="15" customHeight="1">
      <c r="B16" s="10"/>
      <c r="C16" s="11"/>
      <c r="D16" s="18" t="s">
        <v>36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8" t="s">
        <v>30</v>
      </c>
      <c r="AL16" s="11"/>
      <c r="AM16" s="11"/>
      <c r="AN16" s="16"/>
      <c r="AO16" s="11"/>
      <c r="AP16" s="11"/>
      <c r="AQ16" s="12"/>
      <c r="BE16" s="160"/>
      <c r="BS16" s="6" t="s">
        <v>4</v>
      </c>
    </row>
    <row r="17" spans="2:71" s="2" customFormat="1" ht="19.5" customHeight="1">
      <c r="B17" s="10"/>
      <c r="C17" s="11"/>
      <c r="D17" s="11"/>
      <c r="E17" s="16" t="s">
        <v>37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8" t="s">
        <v>32</v>
      </c>
      <c r="AL17" s="11"/>
      <c r="AM17" s="11"/>
      <c r="AN17" s="16"/>
      <c r="AO17" s="11"/>
      <c r="AP17" s="11"/>
      <c r="AQ17" s="12"/>
      <c r="BE17" s="160"/>
      <c r="BS17" s="6" t="s">
        <v>4</v>
      </c>
    </row>
    <row r="18" spans="2:71" s="2" customFormat="1" ht="7.5" customHeight="1"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2"/>
      <c r="BE18" s="160"/>
      <c r="BS18" s="6" t="s">
        <v>7</v>
      </c>
    </row>
    <row r="19" spans="2:71" s="2" customFormat="1" ht="15" customHeight="1">
      <c r="B19" s="10"/>
      <c r="C19" s="11"/>
      <c r="D19" s="18" t="s">
        <v>38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8" t="s">
        <v>30</v>
      </c>
      <c r="AL19" s="11"/>
      <c r="AM19" s="11"/>
      <c r="AN19" s="16"/>
      <c r="AO19" s="11"/>
      <c r="AP19" s="11"/>
      <c r="AQ19" s="12"/>
      <c r="BE19" s="160"/>
      <c r="BS19" s="6" t="s">
        <v>7</v>
      </c>
    </row>
    <row r="20" spans="2:57" s="2" customFormat="1" ht="15.75" customHeight="1">
      <c r="B20" s="10"/>
      <c r="C20" s="11"/>
      <c r="D20" s="11"/>
      <c r="E20" s="16" t="s">
        <v>39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8" t="s">
        <v>32</v>
      </c>
      <c r="AL20" s="11"/>
      <c r="AM20" s="11"/>
      <c r="AN20" s="16"/>
      <c r="AO20" s="11"/>
      <c r="AP20" s="11"/>
      <c r="AQ20" s="12"/>
      <c r="BE20" s="160"/>
    </row>
    <row r="21" spans="2:57" s="2" customFormat="1" ht="7.5" customHeight="1">
      <c r="B21" s="10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2"/>
      <c r="BE21" s="160"/>
    </row>
    <row r="22" spans="2:57" s="2" customFormat="1" ht="15.75" customHeight="1">
      <c r="B22" s="10"/>
      <c r="C22" s="11"/>
      <c r="D22" s="18" t="s">
        <v>40</v>
      </c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2"/>
      <c r="BE22" s="160"/>
    </row>
    <row r="23" spans="2:57" s="2" customFormat="1" ht="15.75" customHeight="1">
      <c r="B23" s="10"/>
      <c r="C23" s="11"/>
      <c r="D23" s="11"/>
      <c r="E23" s="169"/>
      <c r="F23" s="162"/>
      <c r="G23" s="162"/>
      <c r="H23" s="162"/>
      <c r="I23" s="162"/>
      <c r="J23" s="162"/>
      <c r="K23" s="162"/>
      <c r="L23" s="162"/>
      <c r="M23" s="162"/>
      <c r="N23" s="162"/>
      <c r="O23" s="162"/>
      <c r="P23" s="162"/>
      <c r="Q23" s="162"/>
      <c r="R23" s="162"/>
      <c r="S23" s="162"/>
      <c r="T23" s="162"/>
      <c r="U23" s="162"/>
      <c r="V23" s="162"/>
      <c r="W23" s="162"/>
      <c r="X23" s="162"/>
      <c r="Y23" s="162"/>
      <c r="Z23" s="162"/>
      <c r="AA23" s="162"/>
      <c r="AB23" s="162"/>
      <c r="AC23" s="162"/>
      <c r="AD23" s="162"/>
      <c r="AE23" s="162"/>
      <c r="AF23" s="162"/>
      <c r="AG23" s="162"/>
      <c r="AH23" s="162"/>
      <c r="AI23" s="162"/>
      <c r="AJ23" s="162"/>
      <c r="AK23" s="162"/>
      <c r="AL23" s="162"/>
      <c r="AM23" s="162"/>
      <c r="AN23" s="162"/>
      <c r="AO23" s="11"/>
      <c r="AP23" s="11"/>
      <c r="AQ23" s="12"/>
      <c r="BE23" s="160"/>
    </row>
    <row r="24" spans="2:57" s="2" customFormat="1" ht="7.5" customHeight="1">
      <c r="B24" s="10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2"/>
      <c r="BE24" s="160"/>
    </row>
    <row r="25" spans="2:57" s="2" customFormat="1" ht="7.5" customHeight="1">
      <c r="B25" s="10"/>
      <c r="C25" s="1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11"/>
      <c r="AQ25" s="12"/>
      <c r="BE25" s="160"/>
    </row>
    <row r="26" spans="2:57" s="2" customFormat="1" ht="15" customHeight="1">
      <c r="B26" s="10"/>
      <c r="C26" s="11"/>
      <c r="D26" s="22" t="s">
        <v>41</v>
      </c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70">
        <f>ROUND($AG$87,2)</f>
        <v>0</v>
      </c>
      <c r="AL26" s="162"/>
      <c r="AM26" s="162"/>
      <c r="AN26" s="162"/>
      <c r="AO26" s="162"/>
      <c r="AP26" s="11"/>
      <c r="AQ26" s="12"/>
      <c r="BE26" s="160"/>
    </row>
    <row r="27" spans="2:57" s="2" customFormat="1" ht="15" customHeight="1">
      <c r="B27" s="10"/>
      <c r="C27" s="11"/>
      <c r="D27" s="22" t="s">
        <v>42</v>
      </c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70">
        <f>ROUND($AG$91,2)</f>
        <v>0</v>
      </c>
      <c r="AL27" s="162"/>
      <c r="AM27" s="162"/>
      <c r="AN27" s="162"/>
      <c r="AO27" s="162"/>
      <c r="AP27" s="11"/>
      <c r="AQ27" s="12"/>
      <c r="BE27" s="160"/>
    </row>
    <row r="28" spans="2:57" s="6" customFormat="1" ht="7.5" customHeight="1">
      <c r="B28" s="23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5"/>
      <c r="BE28" s="164"/>
    </row>
    <row r="29" spans="2:57" s="6" customFormat="1" ht="27" customHeight="1">
      <c r="B29" s="23"/>
      <c r="C29" s="24"/>
      <c r="D29" s="26" t="s">
        <v>43</v>
      </c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171">
        <f>ROUND($AK$26+$AK$27,2)</f>
        <v>0</v>
      </c>
      <c r="AL29" s="172"/>
      <c r="AM29" s="172"/>
      <c r="AN29" s="172"/>
      <c r="AO29" s="172"/>
      <c r="AP29" s="24"/>
      <c r="AQ29" s="25"/>
      <c r="BE29" s="164"/>
    </row>
    <row r="30" spans="2:57" s="6" customFormat="1" ht="7.5" customHeight="1">
      <c r="B30" s="23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5"/>
      <c r="BE30" s="164"/>
    </row>
    <row r="31" spans="2:57" s="6" customFormat="1" ht="15" customHeight="1">
      <c r="B31" s="28"/>
      <c r="C31" s="29"/>
      <c r="D31" s="29" t="s">
        <v>44</v>
      </c>
      <c r="E31" s="29"/>
      <c r="F31" s="29" t="s">
        <v>45</v>
      </c>
      <c r="G31" s="29"/>
      <c r="H31" s="29"/>
      <c r="I31" s="29"/>
      <c r="J31" s="29"/>
      <c r="K31" s="29"/>
      <c r="L31" s="173">
        <v>0.21</v>
      </c>
      <c r="M31" s="174"/>
      <c r="N31" s="174"/>
      <c r="O31" s="174"/>
      <c r="P31" s="29"/>
      <c r="Q31" s="29"/>
      <c r="R31" s="29"/>
      <c r="S31" s="29"/>
      <c r="T31" s="31" t="s">
        <v>46</v>
      </c>
      <c r="U31" s="29"/>
      <c r="V31" s="29"/>
      <c r="W31" s="175">
        <f>ROUND($AZ$87+SUM($CD$92:$CD$105),2)</f>
        <v>0</v>
      </c>
      <c r="X31" s="174"/>
      <c r="Y31" s="174"/>
      <c r="Z31" s="174"/>
      <c r="AA31" s="174"/>
      <c r="AB31" s="174"/>
      <c r="AC31" s="174"/>
      <c r="AD31" s="174"/>
      <c r="AE31" s="174"/>
      <c r="AF31" s="29"/>
      <c r="AG31" s="29"/>
      <c r="AH31" s="29"/>
      <c r="AI31" s="29"/>
      <c r="AJ31" s="29"/>
      <c r="AK31" s="175">
        <f>ROUND($AV$87+SUM($BY$92:$BY$105),2)</f>
        <v>0</v>
      </c>
      <c r="AL31" s="174"/>
      <c r="AM31" s="174"/>
      <c r="AN31" s="174"/>
      <c r="AO31" s="174"/>
      <c r="AP31" s="29"/>
      <c r="AQ31" s="32"/>
      <c r="BE31" s="165"/>
    </row>
    <row r="32" spans="2:57" s="6" customFormat="1" ht="15" customHeight="1">
      <c r="B32" s="28"/>
      <c r="C32" s="29"/>
      <c r="D32" s="29"/>
      <c r="E32" s="29"/>
      <c r="F32" s="29" t="s">
        <v>47</v>
      </c>
      <c r="G32" s="29"/>
      <c r="H32" s="29"/>
      <c r="I32" s="29"/>
      <c r="J32" s="29"/>
      <c r="K32" s="29"/>
      <c r="L32" s="173">
        <v>0.15</v>
      </c>
      <c r="M32" s="174"/>
      <c r="N32" s="174"/>
      <c r="O32" s="174"/>
      <c r="P32" s="29"/>
      <c r="Q32" s="29"/>
      <c r="R32" s="29"/>
      <c r="S32" s="29"/>
      <c r="T32" s="31" t="s">
        <v>46</v>
      </c>
      <c r="U32" s="29"/>
      <c r="V32" s="29"/>
      <c r="W32" s="175">
        <f>ROUND($BA$87+SUM($CE$92:$CE$105),2)</f>
        <v>0</v>
      </c>
      <c r="X32" s="174"/>
      <c r="Y32" s="174"/>
      <c r="Z32" s="174"/>
      <c r="AA32" s="174"/>
      <c r="AB32" s="174"/>
      <c r="AC32" s="174"/>
      <c r="AD32" s="174"/>
      <c r="AE32" s="174"/>
      <c r="AF32" s="29"/>
      <c r="AG32" s="29"/>
      <c r="AH32" s="29"/>
      <c r="AI32" s="29"/>
      <c r="AJ32" s="29"/>
      <c r="AK32" s="175">
        <f>ROUND($AW$87+SUM($BZ$92:$BZ$105),2)</f>
        <v>0</v>
      </c>
      <c r="AL32" s="174"/>
      <c r="AM32" s="174"/>
      <c r="AN32" s="174"/>
      <c r="AO32" s="174"/>
      <c r="AP32" s="29"/>
      <c r="AQ32" s="32"/>
      <c r="BE32" s="165"/>
    </row>
    <row r="33" spans="2:57" s="6" customFormat="1" ht="15" customHeight="1" hidden="1">
      <c r="B33" s="28"/>
      <c r="C33" s="29"/>
      <c r="D33" s="29"/>
      <c r="E33" s="29"/>
      <c r="F33" s="29" t="s">
        <v>48</v>
      </c>
      <c r="G33" s="29"/>
      <c r="H33" s="29"/>
      <c r="I33" s="29"/>
      <c r="J33" s="29"/>
      <c r="K33" s="29"/>
      <c r="L33" s="173">
        <v>0.21</v>
      </c>
      <c r="M33" s="174"/>
      <c r="N33" s="174"/>
      <c r="O33" s="174"/>
      <c r="P33" s="29"/>
      <c r="Q33" s="29"/>
      <c r="R33" s="29"/>
      <c r="S33" s="29"/>
      <c r="T33" s="31" t="s">
        <v>46</v>
      </c>
      <c r="U33" s="29"/>
      <c r="V33" s="29"/>
      <c r="W33" s="175">
        <f>ROUND($BB$87+SUM($CF$92:$CF$105),2)</f>
        <v>0</v>
      </c>
      <c r="X33" s="174"/>
      <c r="Y33" s="174"/>
      <c r="Z33" s="174"/>
      <c r="AA33" s="174"/>
      <c r="AB33" s="174"/>
      <c r="AC33" s="174"/>
      <c r="AD33" s="174"/>
      <c r="AE33" s="174"/>
      <c r="AF33" s="29"/>
      <c r="AG33" s="29"/>
      <c r="AH33" s="29"/>
      <c r="AI33" s="29"/>
      <c r="AJ33" s="29"/>
      <c r="AK33" s="175">
        <v>0</v>
      </c>
      <c r="AL33" s="174"/>
      <c r="AM33" s="174"/>
      <c r="AN33" s="174"/>
      <c r="AO33" s="174"/>
      <c r="AP33" s="29"/>
      <c r="AQ33" s="32"/>
      <c r="BE33" s="165"/>
    </row>
    <row r="34" spans="2:57" s="6" customFormat="1" ht="15" customHeight="1" hidden="1">
      <c r="B34" s="28"/>
      <c r="C34" s="29"/>
      <c r="D34" s="29"/>
      <c r="E34" s="29"/>
      <c r="F34" s="29" t="s">
        <v>49</v>
      </c>
      <c r="G34" s="29"/>
      <c r="H34" s="29"/>
      <c r="I34" s="29"/>
      <c r="J34" s="29"/>
      <c r="K34" s="29"/>
      <c r="L34" s="173">
        <v>0.15</v>
      </c>
      <c r="M34" s="174"/>
      <c r="N34" s="174"/>
      <c r="O34" s="174"/>
      <c r="P34" s="29"/>
      <c r="Q34" s="29"/>
      <c r="R34" s="29"/>
      <c r="S34" s="29"/>
      <c r="T34" s="31" t="s">
        <v>46</v>
      </c>
      <c r="U34" s="29"/>
      <c r="V34" s="29"/>
      <c r="W34" s="175">
        <f>ROUND($BC$87+SUM($CG$92:$CG$105),2)</f>
        <v>0</v>
      </c>
      <c r="X34" s="174"/>
      <c r="Y34" s="174"/>
      <c r="Z34" s="174"/>
      <c r="AA34" s="174"/>
      <c r="AB34" s="174"/>
      <c r="AC34" s="174"/>
      <c r="AD34" s="174"/>
      <c r="AE34" s="174"/>
      <c r="AF34" s="29"/>
      <c r="AG34" s="29"/>
      <c r="AH34" s="29"/>
      <c r="AI34" s="29"/>
      <c r="AJ34" s="29"/>
      <c r="AK34" s="175">
        <v>0</v>
      </c>
      <c r="AL34" s="174"/>
      <c r="AM34" s="174"/>
      <c r="AN34" s="174"/>
      <c r="AO34" s="174"/>
      <c r="AP34" s="29"/>
      <c r="AQ34" s="32"/>
      <c r="BE34" s="165"/>
    </row>
    <row r="35" spans="2:43" s="6" customFormat="1" ht="15" customHeight="1" hidden="1">
      <c r="B35" s="28"/>
      <c r="C35" s="29"/>
      <c r="D35" s="29"/>
      <c r="E35" s="29"/>
      <c r="F35" s="29" t="s">
        <v>50</v>
      </c>
      <c r="G35" s="29"/>
      <c r="H35" s="29"/>
      <c r="I35" s="29"/>
      <c r="J35" s="29"/>
      <c r="K35" s="29"/>
      <c r="L35" s="173">
        <v>0</v>
      </c>
      <c r="M35" s="174"/>
      <c r="N35" s="174"/>
      <c r="O35" s="174"/>
      <c r="P35" s="29"/>
      <c r="Q35" s="29"/>
      <c r="R35" s="29"/>
      <c r="S35" s="29"/>
      <c r="T35" s="31" t="s">
        <v>46</v>
      </c>
      <c r="U35" s="29"/>
      <c r="V35" s="29"/>
      <c r="W35" s="175">
        <f>ROUND($BD$87+SUM($CH$92:$CH$105),2)</f>
        <v>0</v>
      </c>
      <c r="X35" s="174"/>
      <c r="Y35" s="174"/>
      <c r="Z35" s="174"/>
      <c r="AA35" s="174"/>
      <c r="AB35" s="174"/>
      <c r="AC35" s="174"/>
      <c r="AD35" s="174"/>
      <c r="AE35" s="174"/>
      <c r="AF35" s="29"/>
      <c r="AG35" s="29"/>
      <c r="AH35" s="29"/>
      <c r="AI35" s="29"/>
      <c r="AJ35" s="29"/>
      <c r="AK35" s="175">
        <v>0</v>
      </c>
      <c r="AL35" s="174"/>
      <c r="AM35" s="174"/>
      <c r="AN35" s="174"/>
      <c r="AO35" s="174"/>
      <c r="AP35" s="29"/>
      <c r="AQ35" s="32"/>
    </row>
    <row r="36" spans="2:43" s="6" customFormat="1" ht="7.5" customHeight="1">
      <c r="B36" s="23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5"/>
    </row>
    <row r="37" spans="2:43" s="6" customFormat="1" ht="27" customHeight="1">
      <c r="B37" s="23"/>
      <c r="C37" s="33"/>
      <c r="D37" s="34" t="s">
        <v>51</v>
      </c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6" t="s">
        <v>52</v>
      </c>
      <c r="U37" s="35"/>
      <c r="V37" s="35"/>
      <c r="W37" s="35"/>
      <c r="X37" s="176" t="s">
        <v>53</v>
      </c>
      <c r="Y37" s="177"/>
      <c r="Z37" s="177"/>
      <c r="AA37" s="177"/>
      <c r="AB37" s="177"/>
      <c r="AC37" s="35"/>
      <c r="AD37" s="35"/>
      <c r="AE37" s="35"/>
      <c r="AF37" s="35"/>
      <c r="AG37" s="35"/>
      <c r="AH37" s="35"/>
      <c r="AI37" s="35"/>
      <c r="AJ37" s="35"/>
      <c r="AK37" s="178">
        <f>SUM($AK$29:$AK$35)</f>
        <v>0</v>
      </c>
      <c r="AL37" s="177"/>
      <c r="AM37" s="177"/>
      <c r="AN37" s="177"/>
      <c r="AO37" s="179"/>
      <c r="AP37" s="33"/>
      <c r="AQ37" s="25"/>
    </row>
    <row r="38" spans="2:43" s="6" customFormat="1" ht="15" customHeight="1">
      <c r="B38" s="23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5"/>
    </row>
    <row r="39" spans="2:43" s="2" customFormat="1" ht="14.25" customHeight="1">
      <c r="B39" s="10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2"/>
    </row>
    <row r="40" spans="2:43" s="2" customFormat="1" ht="14.25" customHeight="1">
      <c r="B40" s="10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2"/>
    </row>
    <row r="41" spans="2:43" s="2" customFormat="1" ht="14.25" customHeight="1">
      <c r="B41" s="10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2"/>
    </row>
    <row r="42" spans="2:43" s="2" customFormat="1" ht="14.25" customHeight="1">
      <c r="B42" s="10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2"/>
    </row>
    <row r="43" spans="2:43" s="2" customFormat="1" ht="14.25" customHeight="1">
      <c r="B43" s="10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2"/>
    </row>
    <row r="44" spans="2:43" s="2" customFormat="1" ht="14.25" customHeight="1">
      <c r="B44" s="10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2"/>
    </row>
    <row r="45" spans="2:43" s="2" customFormat="1" ht="14.25" customHeight="1">
      <c r="B45" s="10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2"/>
    </row>
    <row r="46" spans="2:43" s="2" customFormat="1" ht="14.25" customHeight="1">
      <c r="B46" s="10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2"/>
    </row>
    <row r="47" spans="2:43" s="2" customFormat="1" ht="14.25" customHeight="1">
      <c r="B47" s="10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2"/>
    </row>
    <row r="48" spans="2:43" s="2" customFormat="1" ht="14.25" customHeight="1">
      <c r="B48" s="10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2"/>
    </row>
    <row r="49" spans="2:43" s="6" customFormat="1" ht="15.75" customHeight="1">
      <c r="B49" s="23"/>
      <c r="C49" s="24"/>
      <c r="D49" s="37" t="s">
        <v>54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9"/>
      <c r="AA49" s="24"/>
      <c r="AB49" s="24"/>
      <c r="AC49" s="37" t="s">
        <v>55</v>
      </c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9"/>
      <c r="AP49" s="24"/>
      <c r="AQ49" s="25"/>
    </row>
    <row r="50" spans="2:43" s="2" customFormat="1" ht="14.25" customHeight="1">
      <c r="B50" s="10"/>
      <c r="C50" s="11"/>
      <c r="D50" s="40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41"/>
      <c r="AA50" s="11"/>
      <c r="AB50" s="11"/>
      <c r="AC50" s="40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41"/>
      <c r="AP50" s="11"/>
      <c r="AQ50" s="12"/>
    </row>
    <row r="51" spans="2:43" s="2" customFormat="1" ht="14.25" customHeight="1">
      <c r="B51" s="10"/>
      <c r="C51" s="11"/>
      <c r="D51" s="40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41"/>
      <c r="AA51" s="11"/>
      <c r="AB51" s="11"/>
      <c r="AC51" s="40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41"/>
      <c r="AP51" s="11"/>
      <c r="AQ51" s="12"/>
    </row>
    <row r="52" spans="2:43" s="2" customFormat="1" ht="14.25" customHeight="1">
      <c r="B52" s="10"/>
      <c r="C52" s="11"/>
      <c r="D52" s="40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41"/>
      <c r="AA52" s="11"/>
      <c r="AB52" s="11"/>
      <c r="AC52" s="40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41"/>
      <c r="AP52" s="11"/>
      <c r="AQ52" s="12"/>
    </row>
    <row r="53" spans="2:43" s="2" customFormat="1" ht="14.25" customHeight="1">
      <c r="B53" s="10"/>
      <c r="C53" s="11"/>
      <c r="D53" s="40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41"/>
      <c r="AA53" s="11"/>
      <c r="AB53" s="11"/>
      <c r="AC53" s="40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41"/>
      <c r="AP53" s="11"/>
      <c r="AQ53" s="12"/>
    </row>
    <row r="54" spans="2:43" s="2" customFormat="1" ht="14.25" customHeight="1">
      <c r="B54" s="10"/>
      <c r="C54" s="11"/>
      <c r="D54" s="4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41"/>
      <c r="AA54" s="11"/>
      <c r="AB54" s="11"/>
      <c r="AC54" s="40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41"/>
      <c r="AP54" s="11"/>
      <c r="AQ54" s="12"/>
    </row>
    <row r="55" spans="2:43" s="2" customFormat="1" ht="14.25" customHeight="1">
      <c r="B55" s="10"/>
      <c r="C55" s="11"/>
      <c r="D55" s="4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41"/>
      <c r="AA55" s="11"/>
      <c r="AB55" s="11"/>
      <c r="AC55" s="40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41"/>
      <c r="AP55" s="11"/>
      <c r="AQ55" s="12"/>
    </row>
    <row r="56" spans="2:43" s="2" customFormat="1" ht="14.25" customHeight="1">
      <c r="B56" s="10"/>
      <c r="C56" s="11"/>
      <c r="D56" s="4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41"/>
      <c r="AA56" s="11"/>
      <c r="AB56" s="11"/>
      <c r="AC56" s="40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41"/>
      <c r="AP56" s="11"/>
      <c r="AQ56" s="12"/>
    </row>
    <row r="57" spans="2:43" s="2" customFormat="1" ht="14.25" customHeight="1">
      <c r="B57" s="10"/>
      <c r="C57" s="11"/>
      <c r="D57" s="40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41"/>
      <c r="AA57" s="11"/>
      <c r="AB57" s="11"/>
      <c r="AC57" s="40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41"/>
      <c r="AP57" s="11"/>
      <c r="AQ57" s="12"/>
    </row>
    <row r="58" spans="2:43" s="6" customFormat="1" ht="15.75" customHeight="1">
      <c r="B58" s="23"/>
      <c r="C58" s="24"/>
      <c r="D58" s="42" t="s">
        <v>56</v>
      </c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4" t="s">
        <v>57</v>
      </c>
      <c r="S58" s="43"/>
      <c r="T58" s="43"/>
      <c r="U58" s="43"/>
      <c r="V58" s="43"/>
      <c r="W58" s="43"/>
      <c r="X58" s="43"/>
      <c r="Y58" s="43"/>
      <c r="Z58" s="45"/>
      <c r="AA58" s="24"/>
      <c r="AB58" s="24"/>
      <c r="AC58" s="42" t="s">
        <v>56</v>
      </c>
      <c r="AD58" s="43"/>
      <c r="AE58" s="43"/>
      <c r="AF58" s="43"/>
      <c r="AG58" s="43"/>
      <c r="AH58" s="43"/>
      <c r="AI58" s="43"/>
      <c r="AJ58" s="43"/>
      <c r="AK58" s="43"/>
      <c r="AL58" s="43"/>
      <c r="AM58" s="44" t="s">
        <v>57</v>
      </c>
      <c r="AN58" s="43"/>
      <c r="AO58" s="45"/>
      <c r="AP58" s="24"/>
      <c r="AQ58" s="25"/>
    </row>
    <row r="59" spans="2:43" s="2" customFormat="1" ht="14.25" customHeight="1">
      <c r="B59" s="10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2"/>
    </row>
    <row r="60" spans="2:43" s="6" customFormat="1" ht="15.75" customHeight="1">
      <c r="B60" s="23"/>
      <c r="C60" s="24"/>
      <c r="D60" s="37" t="s">
        <v>58</v>
      </c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9"/>
      <c r="AA60" s="24"/>
      <c r="AB60" s="24"/>
      <c r="AC60" s="37" t="s">
        <v>59</v>
      </c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9"/>
      <c r="AP60" s="24"/>
      <c r="AQ60" s="25"/>
    </row>
    <row r="61" spans="2:43" s="2" customFormat="1" ht="14.25" customHeight="1">
      <c r="B61" s="10"/>
      <c r="C61" s="11"/>
      <c r="D61" s="40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41"/>
      <c r="AA61" s="11"/>
      <c r="AB61" s="11"/>
      <c r="AC61" s="40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41"/>
      <c r="AP61" s="11"/>
      <c r="AQ61" s="12"/>
    </row>
    <row r="62" spans="2:43" s="2" customFormat="1" ht="14.25" customHeight="1">
      <c r="B62" s="10"/>
      <c r="C62" s="11"/>
      <c r="D62" s="40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41"/>
      <c r="AA62" s="11"/>
      <c r="AB62" s="11"/>
      <c r="AC62" s="40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41"/>
      <c r="AP62" s="11"/>
      <c r="AQ62" s="12"/>
    </row>
    <row r="63" spans="2:43" s="2" customFormat="1" ht="14.25" customHeight="1">
      <c r="B63" s="10"/>
      <c r="C63" s="11"/>
      <c r="D63" s="40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41"/>
      <c r="AA63" s="11"/>
      <c r="AB63" s="11"/>
      <c r="AC63" s="40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41"/>
      <c r="AP63" s="11"/>
      <c r="AQ63" s="12"/>
    </row>
    <row r="64" spans="2:43" s="2" customFormat="1" ht="14.25" customHeight="1">
      <c r="B64" s="10"/>
      <c r="C64" s="11"/>
      <c r="D64" s="40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41"/>
      <c r="AA64" s="11"/>
      <c r="AB64" s="11"/>
      <c r="AC64" s="40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41"/>
      <c r="AP64" s="11"/>
      <c r="AQ64" s="12"/>
    </row>
    <row r="65" spans="2:43" s="2" customFormat="1" ht="14.25" customHeight="1">
      <c r="B65" s="10"/>
      <c r="C65" s="11"/>
      <c r="D65" s="4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41"/>
      <c r="AA65" s="11"/>
      <c r="AB65" s="11"/>
      <c r="AC65" s="40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41"/>
      <c r="AP65" s="11"/>
      <c r="AQ65" s="12"/>
    </row>
    <row r="66" spans="2:43" s="2" customFormat="1" ht="14.25" customHeight="1">
      <c r="B66" s="10"/>
      <c r="C66" s="11"/>
      <c r="D66" s="40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41"/>
      <c r="AA66" s="11"/>
      <c r="AB66" s="11"/>
      <c r="AC66" s="40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41"/>
      <c r="AP66" s="11"/>
      <c r="AQ66" s="12"/>
    </row>
    <row r="67" spans="2:43" s="2" customFormat="1" ht="14.25" customHeight="1">
      <c r="B67" s="10"/>
      <c r="C67" s="11"/>
      <c r="D67" s="4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41"/>
      <c r="AA67" s="11"/>
      <c r="AB67" s="11"/>
      <c r="AC67" s="40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41"/>
      <c r="AP67" s="11"/>
      <c r="AQ67" s="12"/>
    </row>
    <row r="68" spans="2:43" s="2" customFormat="1" ht="14.25" customHeight="1">
      <c r="B68" s="10"/>
      <c r="C68" s="11"/>
      <c r="D68" s="40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41"/>
      <c r="AA68" s="11"/>
      <c r="AB68" s="11"/>
      <c r="AC68" s="40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41"/>
      <c r="AP68" s="11"/>
      <c r="AQ68" s="12"/>
    </row>
    <row r="69" spans="2:43" s="6" customFormat="1" ht="15.75" customHeight="1">
      <c r="B69" s="23"/>
      <c r="C69" s="24"/>
      <c r="D69" s="42" t="s">
        <v>56</v>
      </c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4" t="s">
        <v>57</v>
      </c>
      <c r="S69" s="43"/>
      <c r="T69" s="43"/>
      <c r="U69" s="43"/>
      <c r="V69" s="43"/>
      <c r="W69" s="43"/>
      <c r="X69" s="43"/>
      <c r="Y69" s="43"/>
      <c r="Z69" s="45"/>
      <c r="AA69" s="24"/>
      <c r="AB69" s="24"/>
      <c r="AC69" s="42" t="s">
        <v>56</v>
      </c>
      <c r="AD69" s="43"/>
      <c r="AE69" s="43"/>
      <c r="AF69" s="43"/>
      <c r="AG69" s="43"/>
      <c r="AH69" s="43"/>
      <c r="AI69" s="43"/>
      <c r="AJ69" s="43"/>
      <c r="AK69" s="43"/>
      <c r="AL69" s="43"/>
      <c r="AM69" s="44" t="s">
        <v>57</v>
      </c>
      <c r="AN69" s="43"/>
      <c r="AO69" s="45"/>
      <c r="AP69" s="24"/>
      <c r="AQ69" s="25"/>
    </row>
    <row r="70" spans="2:43" s="6" customFormat="1" ht="7.5" customHeight="1">
      <c r="B70" s="23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5"/>
    </row>
    <row r="71" spans="2:43" s="6" customFormat="1" ht="7.5" customHeight="1">
      <c r="B71" s="46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7"/>
      <c r="AQ71" s="48"/>
    </row>
    <row r="75" spans="2:43" s="6" customFormat="1" ht="7.5" customHeight="1">
      <c r="B75" s="49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50"/>
      <c r="AO75" s="50"/>
      <c r="AP75" s="50"/>
      <c r="AQ75" s="51"/>
    </row>
    <row r="76" spans="2:43" s="6" customFormat="1" ht="37.5" customHeight="1">
      <c r="B76" s="23"/>
      <c r="C76" s="161" t="s">
        <v>60</v>
      </c>
      <c r="D76" s="180"/>
      <c r="E76" s="180"/>
      <c r="F76" s="180"/>
      <c r="G76" s="180"/>
      <c r="H76" s="180"/>
      <c r="I76" s="180"/>
      <c r="J76" s="180"/>
      <c r="K76" s="180"/>
      <c r="L76" s="180"/>
      <c r="M76" s="180"/>
      <c r="N76" s="180"/>
      <c r="O76" s="180"/>
      <c r="P76" s="180"/>
      <c r="Q76" s="180"/>
      <c r="R76" s="180"/>
      <c r="S76" s="180"/>
      <c r="T76" s="180"/>
      <c r="U76" s="180"/>
      <c r="V76" s="180"/>
      <c r="W76" s="180"/>
      <c r="X76" s="180"/>
      <c r="Y76" s="180"/>
      <c r="Z76" s="180"/>
      <c r="AA76" s="180"/>
      <c r="AB76" s="180"/>
      <c r="AC76" s="180"/>
      <c r="AD76" s="180"/>
      <c r="AE76" s="180"/>
      <c r="AF76" s="180"/>
      <c r="AG76" s="180"/>
      <c r="AH76" s="180"/>
      <c r="AI76" s="180"/>
      <c r="AJ76" s="180"/>
      <c r="AK76" s="180"/>
      <c r="AL76" s="180"/>
      <c r="AM76" s="180"/>
      <c r="AN76" s="180"/>
      <c r="AO76" s="180"/>
      <c r="AP76" s="180"/>
      <c r="AQ76" s="25"/>
    </row>
    <row r="77" spans="2:43" s="52" customFormat="1" ht="15" customHeight="1">
      <c r="B77" s="53"/>
      <c r="C77" s="18" t="s">
        <v>14</v>
      </c>
      <c r="D77" s="16"/>
      <c r="E77" s="16"/>
      <c r="F77" s="16"/>
      <c r="G77" s="16"/>
      <c r="H77" s="16"/>
      <c r="I77" s="16"/>
      <c r="J77" s="16"/>
      <c r="K77" s="16"/>
      <c r="L77" s="16" t="str">
        <f>$K$5</f>
        <v>MUVARNSDORF</v>
      </c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54"/>
    </row>
    <row r="78" spans="2:43" s="55" customFormat="1" ht="37.5" customHeight="1">
      <c r="B78" s="56"/>
      <c r="C78" s="57" t="s">
        <v>17</v>
      </c>
      <c r="D78" s="57"/>
      <c r="E78" s="57"/>
      <c r="F78" s="57"/>
      <c r="G78" s="57"/>
      <c r="H78" s="57"/>
      <c r="I78" s="57"/>
      <c r="J78" s="57"/>
      <c r="K78" s="57"/>
      <c r="L78" s="181" t="str">
        <f>$K$6</f>
        <v>Oprava fasády ZŠ Karlova č.p. 1700 ve Varnsdorfu_upravený</v>
      </c>
      <c r="M78" s="182"/>
      <c r="N78" s="182"/>
      <c r="O78" s="182"/>
      <c r="P78" s="182"/>
      <c r="Q78" s="182"/>
      <c r="R78" s="182"/>
      <c r="S78" s="182"/>
      <c r="T78" s="182"/>
      <c r="U78" s="182"/>
      <c r="V78" s="182"/>
      <c r="W78" s="182"/>
      <c r="X78" s="182"/>
      <c r="Y78" s="182"/>
      <c r="Z78" s="182"/>
      <c r="AA78" s="182"/>
      <c r="AB78" s="182"/>
      <c r="AC78" s="182"/>
      <c r="AD78" s="182"/>
      <c r="AE78" s="182"/>
      <c r="AF78" s="182"/>
      <c r="AG78" s="182"/>
      <c r="AH78" s="182"/>
      <c r="AI78" s="182"/>
      <c r="AJ78" s="182"/>
      <c r="AK78" s="182"/>
      <c r="AL78" s="182"/>
      <c r="AM78" s="182"/>
      <c r="AN78" s="182"/>
      <c r="AO78" s="182"/>
      <c r="AP78" s="57"/>
      <c r="AQ78" s="58"/>
    </row>
    <row r="79" spans="2:43" s="6" customFormat="1" ht="7.5" customHeight="1">
      <c r="B79" s="23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5"/>
    </row>
    <row r="80" spans="2:43" s="6" customFormat="1" ht="15.75" customHeight="1">
      <c r="B80" s="23"/>
      <c r="C80" s="18" t="s">
        <v>23</v>
      </c>
      <c r="D80" s="24"/>
      <c r="E80" s="24"/>
      <c r="F80" s="24"/>
      <c r="G80" s="24"/>
      <c r="H80" s="24"/>
      <c r="I80" s="24"/>
      <c r="J80" s="24"/>
      <c r="K80" s="24"/>
      <c r="L80" s="59" t="str">
        <f>IF($K$8="","",$K$8)</f>
        <v>Varnsdorf</v>
      </c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18" t="s">
        <v>25</v>
      </c>
      <c r="AJ80" s="24"/>
      <c r="AK80" s="24"/>
      <c r="AL80" s="24"/>
      <c r="AM80" s="60" t="str">
        <f>IF($AN$8="","",$AN$8)</f>
        <v>15.10.2011</v>
      </c>
      <c r="AN80" s="24"/>
      <c r="AO80" s="24"/>
      <c r="AP80" s="24"/>
      <c r="AQ80" s="25"/>
    </row>
    <row r="81" spans="2:43" s="6" customFormat="1" ht="7.5" customHeight="1">
      <c r="B81" s="23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5"/>
    </row>
    <row r="82" spans="2:56" s="6" customFormat="1" ht="18.75" customHeight="1">
      <c r="B82" s="23"/>
      <c r="C82" s="18" t="s">
        <v>29</v>
      </c>
      <c r="D82" s="24"/>
      <c r="E82" s="24"/>
      <c r="F82" s="24"/>
      <c r="G82" s="24"/>
      <c r="H82" s="24"/>
      <c r="I82" s="24"/>
      <c r="J82" s="24"/>
      <c r="K82" s="24"/>
      <c r="L82" s="16" t="str">
        <f>IF($E$11="","",$E$11)</f>
        <v>Město Varnsdorf, nám. E. Beneše 470, Varnsdorf</v>
      </c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18" t="s">
        <v>36</v>
      </c>
      <c r="AJ82" s="24"/>
      <c r="AK82" s="24"/>
      <c r="AL82" s="24"/>
      <c r="AM82" s="166" t="str">
        <f>IF($E$17="","",$E$17)</f>
        <v>ProProjekt s.r.o., Komenského 1173, Rumburk</v>
      </c>
      <c r="AN82" s="180"/>
      <c r="AO82" s="180"/>
      <c r="AP82" s="180"/>
      <c r="AQ82" s="25"/>
      <c r="AS82" s="183" t="s">
        <v>61</v>
      </c>
      <c r="AT82" s="184"/>
      <c r="AU82" s="61"/>
      <c r="AV82" s="61"/>
      <c r="AW82" s="61"/>
      <c r="AX82" s="61"/>
      <c r="AY82" s="61"/>
      <c r="AZ82" s="61"/>
      <c r="BA82" s="61"/>
      <c r="BB82" s="61"/>
      <c r="BC82" s="61"/>
      <c r="BD82" s="62"/>
    </row>
    <row r="83" spans="2:56" s="6" customFormat="1" ht="15.75" customHeight="1">
      <c r="B83" s="23"/>
      <c r="C83" s="18" t="s">
        <v>33</v>
      </c>
      <c r="D83" s="24"/>
      <c r="E83" s="24"/>
      <c r="F83" s="24"/>
      <c r="G83" s="24"/>
      <c r="H83" s="24"/>
      <c r="I83" s="24"/>
      <c r="J83" s="24"/>
      <c r="K83" s="24"/>
      <c r="L83" s="16">
        <f>IF($E$14="Vyplň údaj","",$E$14)</f>
      </c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18" t="s">
        <v>38</v>
      </c>
      <c r="AJ83" s="24"/>
      <c r="AK83" s="24"/>
      <c r="AL83" s="24"/>
      <c r="AM83" s="166" t="str">
        <f>IF($E$20="","",$E$20)</f>
        <v>Pavel Hruška</v>
      </c>
      <c r="AN83" s="180"/>
      <c r="AO83" s="180"/>
      <c r="AP83" s="180"/>
      <c r="AQ83" s="25"/>
      <c r="AS83" s="185"/>
      <c r="AT83" s="164"/>
      <c r="BD83" s="63"/>
    </row>
    <row r="84" spans="2:56" s="6" customFormat="1" ht="12" customHeight="1">
      <c r="B84" s="23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5"/>
      <c r="AS84" s="186"/>
      <c r="AT84" s="180"/>
      <c r="AU84" s="24"/>
      <c r="AV84" s="24"/>
      <c r="AW84" s="24"/>
      <c r="AX84" s="24"/>
      <c r="AY84" s="24"/>
      <c r="AZ84" s="24"/>
      <c r="BA84" s="24"/>
      <c r="BB84" s="24"/>
      <c r="BC84" s="24"/>
      <c r="BD84" s="65"/>
    </row>
    <row r="85" spans="2:57" s="6" customFormat="1" ht="30" customHeight="1">
      <c r="B85" s="23"/>
      <c r="C85" s="187" t="s">
        <v>62</v>
      </c>
      <c r="D85" s="177"/>
      <c r="E85" s="177"/>
      <c r="F85" s="177"/>
      <c r="G85" s="177"/>
      <c r="H85" s="35"/>
      <c r="I85" s="188" t="s">
        <v>63</v>
      </c>
      <c r="J85" s="177"/>
      <c r="K85" s="177"/>
      <c r="L85" s="177"/>
      <c r="M85" s="177"/>
      <c r="N85" s="177"/>
      <c r="O85" s="177"/>
      <c r="P85" s="177"/>
      <c r="Q85" s="177"/>
      <c r="R85" s="177"/>
      <c r="S85" s="177"/>
      <c r="T85" s="177"/>
      <c r="U85" s="177"/>
      <c r="V85" s="177"/>
      <c r="W85" s="177"/>
      <c r="X85" s="177"/>
      <c r="Y85" s="177"/>
      <c r="Z85" s="177"/>
      <c r="AA85" s="177"/>
      <c r="AB85" s="177"/>
      <c r="AC85" s="177"/>
      <c r="AD85" s="177"/>
      <c r="AE85" s="177"/>
      <c r="AF85" s="177"/>
      <c r="AG85" s="188" t="s">
        <v>64</v>
      </c>
      <c r="AH85" s="177"/>
      <c r="AI85" s="177"/>
      <c r="AJ85" s="177"/>
      <c r="AK85" s="177"/>
      <c r="AL85" s="177"/>
      <c r="AM85" s="177"/>
      <c r="AN85" s="188" t="s">
        <v>65</v>
      </c>
      <c r="AO85" s="177"/>
      <c r="AP85" s="179"/>
      <c r="AQ85" s="25"/>
      <c r="AS85" s="66" t="s">
        <v>66</v>
      </c>
      <c r="AT85" s="67" t="s">
        <v>67</v>
      </c>
      <c r="AU85" s="67" t="s">
        <v>68</v>
      </c>
      <c r="AV85" s="67" t="s">
        <v>69</v>
      </c>
      <c r="AW85" s="67" t="s">
        <v>70</v>
      </c>
      <c r="AX85" s="67" t="s">
        <v>71</v>
      </c>
      <c r="AY85" s="67" t="s">
        <v>72</v>
      </c>
      <c r="AZ85" s="67" t="s">
        <v>73</v>
      </c>
      <c r="BA85" s="67" t="s">
        <v>74</v>
      </c>
      <c r="BB85" s="67" t="s">
        <v>75</v>
      </c>
      <c r="BC85" s="67" t="s">
        <v>76</v>
      </c>
      <c r="BD85" s="68" t="s">
        <v>77</v>
      </c>
      <c r="BE85" s="69"/>
    </row>
    <row r="86" spans="2:56" s="6" customFormat="1" ht="12" customHeight="1">
      <c r="B86" s="23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5"/>
      <c r="AS86" s="70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9"/>
    </row>
    <row r="87" spans="2:76" s="55" customFormat="1" ht="33" customHeight="1">
      <c r="B87" s="56"/>
      <c r="C87" s="71" t="s">
        <v>78</v>
      </c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71"/>
      <c r="AG87" s="196">
        <f>ROUND(SUM($AG$88:$AG$89),2)</f>
        <v>0</v>
      </c>
      <c r="AH87" s="197"/>
      <c r="AI87" s="197"/>
      <c r="AJ87" s="197"/>
      <c r="AK87" s="197"/>
      <c r="AL87" s="197"/>
      <c r="AM87" s="197"/>
      <c r="AN87" s="196">
        <f>SUM($AG$87,$AT$87)</f>
        <v>0</v>
      </c>
      <c r="AO87" s="197"/>
      <c r="AP87" s="197"/>
      <c r="AQ87" s="58"/>
      <c r="AS87" s="72">
        <f>ROUND(SUM($AS$88:$AS$89),2)</f>
        <v>0</v>
      </c>
      <c r="AT87" s="73">
        <f>ROUND(SUM($AV$87:$AW$87),2)</f>
        <v>0</v>
      </c>
      <c r="AU87" s="74">
        <f>ROUND(SUM($AU$88:$AU$89),5)</f>
        <v>0</v>
      </c>
      <c r="AV87" s="73">
        <f>ROUND($AZ$87*$L$31,2)</f>
        <v>0</v>
      </c>
      <c r="AW87" s="73">
        <f>ROUND($BA$87*$L$32,2)</f>
        <v>0</v>
      </c>
      <c r="AX87" s="73">
        <f>ROUND($BB$87*$L$31,2)</f>
        <v>0</v>
      </c>
      <c r="AY87" s="73">
        <f>ROUND($BC$87*$L$32,2)</f>
        <v>0</v>
      </c>
      <c r="AZ87" s="73">
        <f>ROUND(SUM($AZ$88:$AZ$89),2)</f>
        <v>0</v>
      </c>
      <c r="BA87" s="73">
        <f>ROUND(SUM($BA$88:$BA$89),2)</f>
        <v>0</v>
      </c>
      <c r="BB87" s="73">
        <f>ROUND(SUM($BB$88:$BB$89),2)</f>
        <v>0</v>
      </c>
      <c r="BC87" s="73">
        <f>ROUND(SUM($BC$88:$BC$89),2)</f>
        <v>0</v>
      </c>
      <c r="BD87" s="75">
        <f>ROUND(SUM($BD$88:$BD$89),2)</f>
        <v>0</v>
      </c>
      <c r="BS87" s="55" t="s">
        <v>79</v>
      </c>
      <c r="BT87" s="55" t="s">
        <v>80</v>
      </c>
      <c r="BU87" s="76" t="s">
        <v>81</v>
      </c>
      <c r="BV87" s="55" t="s">
        <v>82</v>
      </c>
      <c r="BW87" s="55" t="s">
        <v>83</v>
      </c>
      <c r="BX87" s="55" t="s">
        <v>84</v>
      </c>
    </row>
    <row r="88" spans="1:76" s="77" customFormat="1" ht="28.5" customHeight="1">
      <c r="A88" s="229" t="s">
        <v>742</v>
      </c>
      <c r="B88" s="78"/>
      <c r="C88" s="79"/>
      <c r="D88" s="191" t="s">
        <v>85</v>
      </c>
      <c r="E88" s="192"/>
      <c r="F88" s="192"/>
      <c r="G88" s="192"/>
      <c r="H88" s="192"/>
      <c r="I88" s="79"/>
      <c r="J88" s="191" t="s">
        <v>86</v>
      </c>
      <c r="K88" s="192"/>
      <c r="L88" s="192"/>
      <c r="M88" s="192"/>
      <c r="N88" s="192"/>
      <c r="O88" s="192"/>
      <c r="P88" s="192"/>
      <c r="Q88" s="192"/>
      <c r="R88" s="192"/>
      <c r="S88" s="192"/>
      <c r="T88" s="192"/>
      <c r="U88" s="192"/>
      <c r="V88" s="192"/>
      <c r="W88" s="192"/>
      <c r="X88" s="192"/>
      <c r="Y88" s="192"/>
      <c r="Z88" s="192"/>
      <c r="AA88" s="192"/>
      <c r="AB88" s="192"/>
      <c r="AC88" s="192"/>
      <c r="AD88" s="192"/>
      <c r="AE88" s="192"/>
      <c r="AF88" s="192"/>
      <c r="AG88" s="189">
        <f>'SO 02 - Fasáda'!$M$30</f>
        <v>0</v>
      </c>
      <c r="AH88" s="190"/>
      <c r="AI88" s="190"/>
      <c r="AJ88" s="190"/>
      <c r="AK88" s="190"/>
      <c r="AL88" s="190"/>
      <c r="AM88" s="190"/>
      <c r="AN88" s="189">
        <f>SUM($AG$88,$AT$88)</f>
        <v>0</v>
      </c>
      <c r="AO88" s="190"/>
      <c r="AP88" s="190"/>
      <c r="AQ88" s="80"/>
      <c r="AS88" s="81">
        <f>'SO 02 - Fasáda'!$M$28</f>
        <v>0</v>
      </c>
      <c r="AT88" s="82">
        <f>ROUND(SUM($AV$88:$AW$88),2)</f>
        <v>0</v>
      </c>
      <c r="AU88" s="83">
        <f>'SO 02 - Fasáda'!$W$137</f>
        <v>0</v>
      </c>
      <c r="AV88" s="82">
        <f>'SO 02 - Fasáda'!$M$32</f>
        <v>0</v>
      </c>
      <c r="AW88" s="82">
        <f>'SO 02 - Fasáda'!$M$33</f>
        <v>0</v>
      </c>
      <c r="AX88" s="82">
        <f>'SO 02 - Fasáda'!$M$34</f>
        <v>0</v>
      </c>
      <c r="AY88" s="82">
        <f>'SO 02 - Fasáda'!$M$35</f>
        <v>0</v>
      </c>
      <c r="AZ88" s="82">
        <f>'SO 02 - Fasáda'!$H$32</f>
        <v>0</v>
      </c>
      <c r="BA88" s="82">
        <f>'SO 02 - Fasáda'!$H$33</f>
        <v>0</v>
      </c>
      <c r="BB88" s="82">
        <f>'SO 02 - Fasáda'!$H$34</f>
        <v>0</v>
      </c>
      <c r="BC88" s="82">
        <f>'SO 02 - Fasáda'!$H$35</f>
        <v>0</v>
      </c>
      <c r="BD88" s="84">
        <f>'SO 02 - Fasáda'!$H$36</f>
        <v>0</v>
      </c>
      <c r="BT88" s="77" t="s">
        <v>22</v>
      </c>
      <c r="BV88" s="77" t="s">
        <v>82</v>
      </c>
      <c r="BW88" s="77" t="s">
        <v>87</v>
      </c>
      <c r="BX88" s="77" t="s">
        <v>83</v>
      </c>
    </row>
    <row r="89" spans="1:76" s="77" customFormat="1" ht="28.5" customHeight="1">
      <c r="A89" s="229" t="s">
        <v>742</v>
      </c>
      <c r="B89" s="78"/>
      <c r="C89" s="79"/>
      <c r="D89" s="191" t="s">
        <v>88</v>
      </c>
      <c r="E89" s="192"/>
      <c r="F89" s="192"/>
      <c r="G89" s="192"/>
      <c r="H89" s="192"/>
      <c r="I89" s="79"/>
      <c r="J89" s="191" t="s">
        <v>89</v>
      </c>
      <c r="K89" s="192"/>
      <c r="L89" s="192"/>
      <c r="M89" s="192"/>
      <c r="N89" s="192"/>
      <c r="O89" s="192"/>
      <c r="P89" s="192"/>
      <c r="Q89" s="192"/>
      <c r="R89" s="192"/>
      <c r="S89" s="192"/>
      <c r="T89" s="192"/>
      <c r="U89" s="192"/>
      <c r="V89" s="192"/>
      <c r="W89" s="192"/>
      <c r="X89" s="192"/>
      <c r="Y89" s="192"/>
      <c r="Z89" s="192"/>
      <c r="AA89" s="192"/>
      <c r="AB89" s="192"/>
      <c r="AC89" s="192"/>
      <c r="AD89" s="192"/>
      <c r="AE89" s="192"/>
      <c r="AF89" s="192"/>
      <c r="AG89" s="189">
        <f>'SO 03 - Drenáže'!$M$30</f>
        <v>0</v>
      </c>
      <c r="AH89" s="190"/>
      <c r="AI89" s="190"/>
      <c r="AJ89" s="190"/>
      <c r="AK89" s="190"/>
      <c r="AL89" s="190"/>
      <c r="AM89" s="190"/>
      <c r="AN89" s="189">
        <f>SUM($AG$89,$AT$89)</f>
        <v>0</v>
      </c>
      <c r="AO89" s="190"/>
      <c r="AP89" s="190"/>
      <c r="AQ89" s="80"/>
      <c r="AS89" s="85">
        <f>'SO 03 - Drenáže'!$M$28</f>
        <v>0</v>
      </c>
      <c r="AT89" s="86">
        <f>ROUND(SUM($AV$89:$AW$89),2)</f>
        <v>0</v>
      </c>
      <c r="AU89" s="87">
        <f>'SO 03 - Drenáže'!$W$134</f>
        <v>0</v>
      </c>
      <c r="AV89" s="86">
        <f>'SO 03 - Drenáže'!$M$32</f>
        <v>0</v>
      </c>
      <c r="AW89" s="86">
        <f>'SO 03 - Drenáže'!$M$33</f>
        <v>0</v>
      </c>
      <c r="AX89" s="86">
        <f>'SO 03 - Drenáže'!$M$34</f>
        <v>0</v>
      </c>
      <c r="AY89" s="86">
        <f>'SO 03 - Drenáže'!$M$35</f>
        <v>0</v>
      </c>
      <c r="AZ89" s="86">
        <f>'SO 03 - Drenáže'!$H$32</f>
        <v>0</v>
      </c>
      <c r="BA89" s="86">
        <f>'SO 03 - Drenáže'!$H$33</f>
        <v>0</v>
      </c>
      <c r="BB89" s="86">
        <f>'SO 03 - Drenáže'!$H$34</f>
        <v>0</v>
      </c>
      <c r="BC89" s="86">
        <f>'SO 03 - Drenáže'!$H$35</f>
        <v>0</v>
      </c>
      <c r="BD89" s="88">
        <f>'SO 03 - Drenáže'!$H$36</f>
        <v>0</v>
      </c>
      <c r="BT89" s="77" t="s">
        <v>22</v>
      </c>
      <c r="BV89" s="77" t="s">
        <v>82</v>
      </c>
      <c r="BW89" s="77" t="s">
        <v>90</v>
      </c>
      <c r="BX89" s="77" t="s">
        <v>83</v>
      </c>
    </row>
    <row r="90" spans="2:43" s="2" customFormat="1" ht="14.25" customHeight="1">
      <c r="B90" s="10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2"/>
    </row>
    <row r="91" spans="2:49" s="6" customFormat="1" ht="30.75" customHeight="1">
      <c r="B91" s="23"/>
      <c r="C91" s="71" t="s">
        <v>91</v>
      </c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196">
        <f>ROUND(SUM($AG$92:$AG$104),2)</f>
        <v>0</v>
      </c>
      <c r="AH91" s="180"/>
      <c r="AI91" s="180"/>
      <c r="AJ91" s="180"/>
      <c r="AK91" s="180"/>
      <c r="AL91" s="180"/>
      <c r="AM91" s="180"/>
      <c r="AN91" s="196">
        <f>ROUND(SUM($AN$92:$AN$104),2)</f>
        <v>0</v>
      </c>
      <c r="AO91" s="180"/>
      <c r="AP91" s="180"/>
      <c r="AQ91" s="25"/>
      <c r="AS91" s="66" t="s">
        <v>92</v>
      </c>
      <c r="AT91" s="67" t="s">
        <v>93</v>
      </c>
      <c r="AU91" s="67" t="s">
        <v>44</v>
      </c>
      <c r="AV91" s="68" t="s">
        <v>67</v>
      </c>
      <c r="AW91" s="69"/>
    </row>
    <row r="92" spans="2:89" s="6" customFormat="1" ht="21" customHeight="1">
      <c r="B92" s="23"/>
      <c r="C92" s="24"/>
      <c r="D92" s="89" t="s">
        <v>94</v>
      </c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193">
        <f>ROUND($AG$87*$AS$92,2)</f>
        <v>0</v>
      </c>
      <c r="AH92" s="180"/>
      <c r="AI92" s="180"/>
      <c r="AJ92" s="180"/>
      <c r="AK92" s="180"/>
      <c r="AL92" s="180"/>
      <c r="AM92" s="180"/>
      <c r="AN92" s="194">
        <f>ROUND($AG$92+$AV$92,2)</f>
        <v>0</v>
      </c>
      <c r="AO92" s="180"/>
      <c r="AP92" s="180"/>
      <c r="AQ92" s="25"/>
      <c r="AS92" s="90">
        <v>0</v>
      </c>
      <c r="AT92" s="91" t="s">
        <v>95</v>
      </c>
      <c r="AU92" s="91" t="s">
        <v>45</v>
      </c>
      <c r="AV92" s="92">
        <f>ROUND(IF($AU$92="základní",$AG$92*$L$31,IF($AU$92="snížená",$AG$92*$L$32,0)),2)</f>
        <v>0</v>
      </c>
      <c r="BV92" s="6" t="s">
        <v>96</v>
      </c>
      <c r="BY92" s="93">
        <f>IF($AU$92="základní",$AV$92,0)</f>
        <v>0</v>
      </c>
      <c r="BZ92" s="93">
        <f>IF($AU$92="snížená",$AV$92,0)</f>
        <v>0</v>
      </c>
      <c r="CA92" s="93">
        <v>0</v>
      </c>
      <c r="CB92" s="93">
        <v>0</v>
      </c>
      <c r="CC92" s="93">
        <v>0</v>
      </c>
      <c r="CD92" s="93">
        <f>IF($AU$92="základní",$AG$92,0)</f>
        <v>0</v>
      </c>
      <c r="CE92" s="93">
        <f>IF($AU$92="snížená",$AG$92,0)</f>
        <v>0</v>
      </c>
      <c r="CF92" s="93">
        <f>IF($AU$92="zákl. přenesená",$AG$92,0)</f>
        <v>0</v>
      </c>
      <c r="CG92" s="93">
        <f>IF($AU$92="sníž. přenesená",$AG$92,0)</f>
        <v>0</v>
      </c>
      <c r="CH92" s="93">
        <f>IF($AU$92="nulová",$AG$92,0)</f>
        <v>0</v>
      </c>
      <c r="CI92" s="6">
        <f>IF($AU$92="základní",1,IF($AU$92="snížená",2,IF($AU$92="zákl. přenesená",4,IF($AU$92="sníž. přenesená",5,3))))</f>
        <v>1</v>
      </c>
      <c r="CJ92" s="6">
        <f>IF($AT$92="stavební čast",1,IF(8892="investiční čast",2,3))</f>
        <v>1</v>
      </c>
      <c r="CK92" s="6" t="str">
        <f>IF($D$92="Vyplň vlastní","","x")</f>
        <v>x</v>
      </c>
    </row>
    <row r="93" spans="2:89" s="6" customFormat="1" ht="21" customHeight="1">
      <c r="B93" s="23"/>
      <c r="C93" s="24"/>
      <c r="D93" s="89" t="s">
        <v>97</v>
      </c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193">
        <f>ROUND($AG$87*$AS$93,2)</f>
        <v>0</v>
      </c>
      <c r="AH93" s="180"/>
      <c r="AI93" s="180"/>
      <c r="AJ93" s="180"/>
      <c r="AK93" s="180"/>
      <c r="AL93" s="180"/>
      <c r="AM93" s="180"/>
      <c r="AN93" s="194">
        <f>ROUND($AG$93+$AV$93,2)</f>
        <v>0</v>
      </c>
      <c r="AO93" s="180"/>
      <c r="AP93" s="180"/>
      <c r="AQ93" s="25"/>
      <c r="AS93" s="94">
        <v>0</v>
      </c>
      <c r="AT93" s="95" t="s">
        <v>95</v>
      </c>
      <c r="AU93" s="95" t="s">
        <v>45</v>
      </c>
      <c r="AV93" s="96">
        <f>ROUND(IF($AU$93="základní",$AG$93*$L$31,IF($AU$93="snížená",$AG$93*$L$32,0)),2)</f>
        <v>0</v>
      </c>
      <c r="BV93" s="6" t="s">
        <v>96</v>
      </c>
      <c r="BY93" s="93">
        <f>IF($AU$93="základní",$AV$93,0)</f>
        <v>0</v>
      </c>
      <c r="BZ93" s="93">
        <f>IF($AU$93="snížená",$AV$93,0)</f>
        <v>0</v>
      </c>
      <c r="CA93" s="93">
        <v>0</v>
      </c>
      <c r="CB93" s="93">
        <v>0</v>
      </c>
      <c r="CC93" s="93">
        <v>0</v>
      </c>
      <c r="CD93" s="93">
        <f>IF($AU$93="základní",$AG$93,0)</f>
        <v>0</v>
      </c>
      <c r="CE93" s="93">
        <f>IF($AU$93="snížená",$AG$93,0)</f>
        <v>0</v>
      </c>
      <c r="CF93" s="93">
        <f>IF($AU$93="zákl. přenesená",$AG$93,0)</f>
        <v>0</v>
      </c>
      <c r="CG93" s="93">
        <f>IF($AU$93="sníž. přenesená",$AG$93,0)</f>
        <v>0</v>
      </c>
      <c r="CH93" s="93">
        <f>IF($AU$93="nulová",$AG$93,0)</f>
        <v>0</v>
      </c>
      <c r="CI93" s="6">
        <f>IF($AU$93="základní",1,IF($AU$93="snížená",2,IF($AU$93="zákl. přenesená",4,IF($AU$93="sníž. přenesená",5,3))))</f>
        <v>1</v>
      </c>
      <c r="CJ93" s="6">
        <f>IF($AT$93="stavební čast",1,IF(8893="investiční čast",2,3))</f>
        <v>1</v>
      </c>
      <c r="CK93" s="6" t="str">
        <f>IF($D$93="Vyplň vlastní","","x")</f>
        <v>x</v>
      </c>
    </row>
    <row r="94" spans="2:89" s="6" customFormat="1" ht="21" customHeight="1">
      <c r="B94" s="23"/>
      <c r="C94" s="24"/>
      <c r="D94" s="89" t="s">
        <v>98</v>
      </c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193">
        <f>ROUND($AG$87*$AS$94,2)</f>
        <v>0</v>
      </c>
      <c r="AH94" s="180"/>
      <c r="AI94" s="180"/>
      <c r="AJ94" s="180"/>
      <c r="AK94" s="180"/>
      <c r="AL94" s="180"/>
      <c r="AM94" s="180"/>
      <c r="AN94" s="194">
        <f>ROUND($AG$94+$AV$94,2)</f>
        <v>0</v>
      </c>
      <c r="AO94" s="180"/>
      <c r="AP94" s="180"/>
      <c r="AQ94" s="25"/>
      <c r="AS94" s="94">
        <v>0</v>
      </c>
      <c r="AT94" s="95" t="s">
        <v>95</v>
      </c>
      <c r="AU94" s="95" t="s">
        <v>45</v>
      </c>
      <c r="AV94" s="96">
        <f>ROUND(IF($AU$94="základní",$AG$94*$L$31,IF($AU$94="snížená",$AG$94*$L$32,0)),2)</f>
        <v>0</v>
      </c>
      <c r="BV94" s="6" t="s">
        <v>96</v>
      </c>
      <c r="BY94" s="93">
        <f>IF($AU$94="základní",$AV$94,0)</f>
        <v>0</v>
      </c>
      <c r="BZ94" s="93">
        <f>IF($AU$94="snížená",$AV$94,0)</f>
        <v>0</v>
      </c>
      <c r="CA94" s="93">
        <v>0</v>
      </c>
      <c r="CB94" s="93">
        <v>0</v>
      </c>
      <c r="CC94" s="93">
        <v>0</v>
      </c>
      <c r="CD94" s="93">
        <f>IF($AU$94="základní",$AG$94,0)</f>
        <v>0</v>
      </c>
      <c r="CE94" s="93">
        <f>IF($AU$94="snížená",$AG$94,0)</f>
        <v>0</v>
      </c>
      <c r="CF94" s="93">
        <f>IF($AU$94="zákl. přenesená",$AG$94,0)</f>
        <v>0</v>
      </c>
      <c r="CG94" s="93">
        <f>IF($AU$94="sníž. přenesená",$AG$94,0)</f>
        <v>0</v>
      </c>
      <c r="CH94" s="93">
        <f>IF($AU$94="nulová",$AG$94,0)</f>
        <v>0</v>
      </c>
      <c r="CI94" s="6">
        <f>IF($AU$94="základní",1,IF($AU$94="snížená",2,IF($AU$94="zákl. přenesená",4,IF($AU$94="sníž. přenesená",5,3))))</f>
        <v>1</v>
      </c>
      <c r="CJ94" s="6">
        <f>IF($AT$94="stavební čast",1,IF(8894="investiční čast",2,3))</f>
        <v>1</v>
      </c>
      <c r="CK94" s="6" t="str">
        <f>IF($D$94="Vyplň vlastní","","x")</f>
        <v>x</v>
      </c>
    </row>
    <row r="95" spans="2:89" s="6" customFormat="1" ht="21" customHeight="1">
      <c r="B95" s="23"/>
      <c r="C95" s="24"/>
      <c r="D95" s="89" t="s">
        <v>99</v>
      </c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193">
        <f>ROUND($AG$87*$AS$95,2)</f>
        <v>0</v>
      </c>
      <c r="AH95" s="180"/>
      <c r="AI95" s="180"/>
      <c r="AJ95" s="180"/>
      <c r="AK95" s="180"/>
      <c r="AL95" s="180"/>
      <c r="AM95" s="180"/>
      <c r="AN95" s="194">
        <f>ROUND($AG$95+$AV$95,2)</f>
        <v>0</v>
      </c>
      <c r="AO95" s="180"/>
      <c r="AP95" s="180"/>
      <c r="AQ95" s="25"/>
      <c r="AS95" s="94">
        <v>0</v>
      </c>
      <c r="AT95" s="95" t="s">
        <v>95</v>
      </c>
      <c r="AU95" s="95" t="s">
        <v>45</v>
      </c>
      <c r="AV95" s="96">
        <f>ROUND(IF($AU$95="základní",$AG$95*$L$31,IF($AU$95="snížená",$AG$95*$L$32,0)),2)</f>
        <v>0</v>
      </c>
      <c r="BV95" s="6" t="s">
        <v>96</v>
      </c>
      <c r="BY95" s="93">
        <f>IF($AU$95="základní",$AV$95,0)</f>
        <v>0</v>
      </c>
      <c r="BZ95" s="93">
        <f>IF($AU$95="snížená",$AV$95,0)</f>
        <v>0</v>
      </c>
      <c r="CA95" s="93">
        <v>0</v>
      </c>
      <c r="CB95" s="93">
        <v>0</v>
      </c>
      <c r="CC95" s="93">
        <v>0</v>
      </c>
      <c r="CD95" s="93">
        <f>IF($AU$95="základní",$AG$95,0)</f>
        <v>0</v>
      </c>
      <c r="CE95" s="93">
        <f>IF($AU$95="snížená",$AG$95,0)</f>
        <v>0</v>
      </c>
      <c r="CF95" s="93">
        <f>IF($AU$95="zákl. přenesená",$AG$95,0)</f>
        <v>0</v>
      </c>
      <c r="CG95" s="93">
        <f>IF($AU$95="sníž. přenesená",$AG$95,0)</f>
        <v>0</v>
      </c>
      <c r="CH95" s="93">
        <f>IF($AU$95="nulová",$AG$95,0)</f>
        <v>0</v>
      </c>
      <c r="CI95" s="6">
        <f>IF($AU$95="základní",1,IF($AU$95="snížená",2,IF($AU$95="zákl. přenesená",4,IF($AU$95="sníž. přenesená",5,3))))</f>
        <v>1</v>
      </c>
      <c r="CJ95" s="6">
        <f>IF($AT$95="stavební čast",1,IF(8895="investiční čast",2,3))</f>
        <v>1</v>
      </c>
      <c r="CK95" s="6" t="str">
        <f>IF($D$95="Vyplň vlastní","","x")</f>
        <v>x</v>
      </c>
    </row>
    <row r="96" spans="2:89" s="6" customFormat="1" ht="21" customHeight="1">
      <c r="B96" s="23"/>
      <c r="C96" s="24"/>
      <c r="D96" s="89" t="s">
        <v>100</v>
      </c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193">
        <f>ROUND($AG$87*$AS$96,2)</f>
        <v>0</v>
      </c>
      <c r="AH96" s="180"/>
      <c r="AI96" s="180"/>
      <c r="AJ96" s="180"/>
      <c r="AK96" s="180"/>
      <c r="AL96" s="180"/>
      <c r="AM96" s="180"/>
      <c r="AN96" s="194">
        <f>ROUND($AG$96+$AV$96,2)</f>
        <v>0</v>
      </c>
      <c r="AO96" s="180"/>
      <c r="AP96" s="180"/>
      <c r="AQ96" s="25"/>
      <c r="AS96" s="94">
        <v>0</v>
      </c>
      <c r="AT96" s="95" t="s">
        <v>95</v>
      </c>
      <c r="AU96" s="95" t="s">
        <v>45</v>
      </c>
      <c r="AV96" s="96">
        <f>ROUND(IF($AU$96="základní",$AG$96*$L$31,IF($AU$96="snížená",$AG$96*$L$32,0)),2)</f>
        <v>0</v>
      </c>
      <c r="BV96" s="6" t="s">
        <v>96</v>
      </c>
      <c r="BY96" s="93">
        <f>IF($AU$96="základní",$AV$96,0)</f>
        <v>0</v>
      </c>
      <c r="BZ96" s="93">
        <f>IF($AU$96="snížená",$AV$96,0)</f>
        <v>0</v>
      </c>
      <c r="CA96" s="93">
        <v>0</v>
      </c>
      <c r="CB96" s="93">
        <v>0</v>
      </c>
      <c r="CC96" s="93">
        <v>0</v>
      </c>
      <c r="CD96" s="93">
        <f>IF($AU$96="základní",$AG$96,0)</f>
        <v>0</v>
      </c>
      <c r="CE96" s="93">
        <f>IF($AU$96="snížená",$AG$96,0)</f>
        <v>0</v>
      </c>
      <c r="CF96" s="93">
        <f>IF($AU$96="zákl. přenesená",$AG$96,0)</f>
        <v>0</v>
      </c>
      <c r="CG96" s="93">
        <f>IF($AU$96="sníž. přenesená",$AG$96,0)</f>
        <v>0</v>
      </c>
      <c r="CH96" s="93">
        <f>IF($AU$96="nulová",$AG$96,0)</f>
        <v>0</v>
      </c>
      <c r="CI96" s="6">
        <f>IF($AU$96="základní",1,IF($AU$96="snížená",2,IF($AU$96="zákl. přenesená",4,IF($AU$96="sníž. přenesená",5,3))))</f>
        <v>1</v>
      </c>
      <c r="CJ96" s="6">
        <f>IF($AT$96="stavební čast",1,IF(8896="investiční čast",2,3))</f>
        <v>1</v>
      </c>
      <c r="CK96" s="6" t="str">
        <f>IF($D$96="Vyplň vlastní","","x")</f>
        <v>x</v>
      </c>
    </row>
    <row r="97" spans="2:89" s="6" customFormat="1" ht="21" customHeight="1">
      <c r="B97" s="23"/>
      <c r="C97" s="24"/>
      <c r="D97" s="89" t="s">
        <v>101</v>
      </c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193">
        <f>ROUND($AG$87*$AS$97,2)</f>
        <v>0</v>
      </c>
      <c r="AH97" s="180"/>
      <c r="AI97" s="180"/>
      <c r="AJ97" s="180"/>
      <c r="AK97" s="180"/>
      <c r="AL97" s="180"/>
      <c r="AM97" s="180"/>
      <c r="AN97" s="194">
        <f>ROUND($AG$97+$AV$97,2)</f>
        <v>0</v>
      </c>
      <c r="AO97" s="180"/>
      <c r="AP97" s="180"/>
      <c r="AQ97" s="25"/>
      <c r="AS97" s="94">
        <v>0</v>
      </c>
      <c r="AT97" s="95" t="s">
        <v>95</v>
      </c>
      <c r="AU97" s="95" t="s">
        <v>45</v>
      </c>
      <c r="AV97" s="96">
        <f>ROUND(IF($AU$97="základní",$AG$97*$L$31,IF($AU$97="snížená",$AG$97*$L$32,0)),2)</f>
        <v>0</v>
      </c>
      <c r="BV97" s="6" t="s">
        <v>96</v>
      </c>
      <c r="BY97" s="93">
        <f>IF($AU$97="základní",$AV$97,0)</f>
        <v>0</v>
      </c>
      <c r="BZ97" s="93">
        <f>IF($AU$97="snížená",$AV$97,0)</f>
        <v>0</v>
      </c>
      <c r="CA97" s="93">
        <v>0</v>
      </c>
      <c r="CB97" s="93">
        <v>0</v>
      </c>
      <c r="CC97" s="93">
        <v>0</v>
      </c>
      <c r="CD97" s="93">
        <f>IF($AU$97="základní",$AG$97,0)</f>
        <v>0</v>
      </c>
      <c r="CE97" s="93">
        <f>IF($AU$97="snížená",$AG$97,0)</f>
        <v>0</v>
      </c>
      <c r="CF97" s="93">
        <f>IF($AU$97="zákl. přenesená",$AG$97,0)</f>
        <v>0</v>
      </c>
      <c r="CG97" s="93">
        <f>IF($AU$97="sníž. přenesená",$AG$97,0)</f>
        <v>0</v>
      </c>
      <c r="CH97" s="93">
        <f>IF($AU$97="nulová",$AG$97,0)</f>
        <v>0</v>
      </c>
      <c r="CI97" s="6">
        <f>IF($AU$97="základní",1,IF($AU$97="snížená",2,IF($AU$97="zákl. přenesená",4,IF($AU$97="sníž. přenesená",5,3))))</f>
        <v>1</v>
      </c>
      <c r="CJ97" s="6">
        <f>IF($AT$97="stavební čast",1,IF(8897="investiční čast",2,3))</f>
        <v>1</v>
      </c>
      <c r="CK97" s="6" t="str">
        <f>IF($D$97="Vyplň vlastní","","x")</f>
        <v>x</v>
      </c>
    </row>
    <row r="98" spans="2:89" s="6" customFormat="1" ht="21" customHeight="1">
      <c r="B98" s="23"/>
      <c r="C98" s="24"/>
      <c r="D98" s="89" t="s">
        <v>102</v>
      </c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193">
        <f>ROUND($AG$87*$AS$98,2)</f>
        <v>0</v>
      </c>
      <c r="AH98" s="180"/>
      <c r="AI98" s="180"/>
      <c r="AJ98" s="180"/>
      <c r="AK98" s="180"/>
      <c r="AL98" s="180"/>
      <c r="AM98" s="180"/>
      <c r="AN98" s="194">
        <f>ROUND($AG$98+$AV$98,2)</f>
        <v>0</v>
      </c>
      <c r="AO98" s="180"/>
      <c r="AP98" s="180"/>
      <c r="AQ98" s="25"/>
      <c r="AS98" s="94">
        <v>0</v>
      </c>
      <c r="AT98" s="95" t="s">
        <v>95</v>
      </c>
      <c r="AU98" s="95" t="s">
        <v>45</v>
      </c>
      <c r="AV98" s="96">
        <f>ROUND(IF($AU$98="základní",$AG$98*$L$31,IF($AU$98="snížená",$AG$98*$L$32,0)),2)</f>
        <v>0</v>
      </c>
      <c r="BV98" s="6" t="s">
        <v>96</v>
      </c>
      <c r="BY98" s="93">
        <f>IF($AU$98="základní",$AV$98,0)</f>
        <v>0</v>
      </c>
      <c r="BZ98" s="93">
        <f>IF($AU$98="snížená",$AV$98,0)</f>
        <v>0</v>
      </c>
      <c r="CA98" s="93">
        <v>0</v>
      </c>
      <c r="CB98" s="93">
        <v>0</v>
      </c>
      <c r="CC98" s="93">
        <v>0</v>
      </c>
      <c r="CD98" s="93">
        <f>IF($AU$98="základní",$AG$98,0)</f>
        <v>0</v>
      </c>
      <c r="CE98" s="93">
        <f>IF($AU$98="snížená",$AG$98,0)</f>
        <v>0</v>
      </c>
      <c r="CF98" s="93">
        <f>IF($AU$98="zákl. přenesená",$AG$98,0)</f>
        <v>0</v>
      </c>
      <c r="CG98" s="93">
        <f>IF($AU$98="sníž. přenesená",$AG$98,0)</f>
        <v>0</v>
      </c>
      <c r="CH98" s="93">
        <f>IF($AU$98="nulová",$AG$98,0)</f>
        <v>0</v>
      </c>
      <c r="CI98" s="6">
        <f>IF($AU$98="základní",1,IF($AU$98="snížená",2,IF($AU$98="zákl. přenesená",4,IF($AU$98="sníž. přenesená",5,3))))</f>
        <v>1</v>
      </c>
      <c r="CJ98" s="6">
        <f>IF($AT$98="stavební čast",1,IF(8898="investiční čast",2,3))</f>
        <v>1</v>
      </c>
      <c r="CK98" s="6" t="str">
        <f>IF($D$98="Vyplň vlastní","","x")</f>
        <v>x</v>
      </c>
    </row>
    <row r="99" spans="2:89" s="6" customFormat="1" ht="21" customHeight="1">
      <c r="B99" s="23"/>
      <c r="C99" s="24"/>
      <c r="D99" s="89" t="s">
        <v>103</v>
      </c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193">
        <f>ROUND($AG$87*$AS$99,2)</f>
        <v>0</v>
      </c>
      <c r="AH99" s="180"/>
      <c r="AI99" s="180"/>
      <c r="AJ99" s="180"/>
      <c r="AK99" s="180"/>
      <c r="AL99" s="180"/>
      <c r="AM99" s="180"/>
      <c r="AN99" s="194">
        <f>ROUND($AG$99+$AV$99,2)</f>
        <v>0</v>
      </c>
      <c r="AO99" s="180"/>
      <c r="AP99" s="180"/>
      <c r="AQ99" s="25"/>
      <c r="AS99" s="94">
        <v>0</v>
      </c>
      <c r="AT99" s="95" t="s">
        <v>95</v>
      </c>
      <c r="AU99" s="95" t="s">
        <v>45</v>
      </c>
      <c r="AV99" s="96">
        <f>ROUND(IF($AU$99="základní",$AG$99*$L$31,IF($AU$99="snížená",$AG$99*$L$32,0)),2)</f>
        <v>0</v>
      </c>
      <c r="BV99" s="6" t="s">
        <v>96</v>
      </c>
      <c r="BY99" s="93">
        <f>IF($AU$99="základní",$AV$99,0)</f>
        <v>0</v>
      </c>
      <c r="BZ99" s="93">
        <f>IF($AU$99="snížená",$AV$99,0)</f>
        <v>0</v>
      </c>
      <c r="CA99" s="93">
        <v>0</v>
      </c>
      <c r="CB99" s="93">
        <v>0</v>
      </c>
      <c r="CC99" s="93">
        <v>0</v>
      </c>
      <c r="CD99" s="93">
        <f>IF($AU$99="základní",$AG$99,0)</f>
        <v>0</v>
      </c>
      <c r="CE99" s="93">
        <f>IF($AU$99="snížená",$AG$99,0)</f>
        <v>0</v>
      </c>
      <c r="CF99" s="93">
        <f>IF($AU$99="zákl. přenesená",$AG$99,0)</f>
        <v>0</v>
      </c>
      <c r="CG99" s="93">
        <f>IF($AU$99="sníž. přenesená",$AG$99,0)</f>
        <v>0</v>
      </c>
      <c r="CH99" s="93">
        <f>IF($AU$99="nulová",$AG$99,0)</f>
        <v>0</v>
      </c>
      <c r="CI99" s="6">
        <f>IF($AU$99="základní",1,IF($AU$99="snížená",2,IF($AU$99="zákl. přenesená",4,IF($AU$99="sníž. přenesená",5,3))))</f>
        <v>1</v>
      </c>
      <c r="CJ99" s="6">
        <f>IF($AT$99="stavební čast",1,IF(8899="investiční čast",2,3))</f>
        <v>1</v>
      </c>
      <c r="CK99" s="6" t="str">
        <f>IF($D$99="Vyplň vlastní","","x")</f>
        <v>x</v>
      </c>
    </row>
    <row r="100" spans="2:89" s="6" customFormat="1" ht="21" customHeight="1">
      <c r="B100" s="23"/>
      <c r="C100" s="24"/>
      <c r="D100" s="89" t="s">
        <v>104</v>
      </c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193">
        <f>ROUND($AG$87*$AS$100,2)</f>
        <v>0</v>
      </c>
      <c r="AH100" s="180"/>
      <c r="AI100" s="180"/>
      <c r="AJ100" s="180"/>
      <c r="AK100" s="180"/>
      <c r="AL100" s="180"/>
      <c r="AM100" s="180"/>
      <c r="AN100" s="194">
        <f>ROUND($AG$100+$AV$100,2)</f>
        <v>0</v>
      </c>
      <c r="AO100" s="180"/>
      <c r="AP100" s="180"/>
      <c r="AQ100" s="25"/>
      <c r="AS100" s="94">
        <v>0</v>
      </c>
      <c r="AT100" s="95" t="s">
        <v>95</v>
      </c>
      <c r="AU100" s="95" t="s">
        <v>45</v>
      </c>
      <c r="AV100" s="96">
        <f>ROUND(IF($AU$100="základní",$AG$100*$L$31,IF($AU$100="snížená",$AG$100*$L$32,0)),2)</f>
        <v>0</v>
      </c>
      <c r="BV100" s="6" t="s">
        <v>96</v>
      </c>
      <c r="BY100" s="93">
        <f>IF($AU$100="základní",$AV$100,0)</f>
        <v>0</v>
      </c>
      <c r="BZ100" s="93">
        <f>IF($AU$100="snížená",$AV$100,0)</f>
        <v>0</v>
      </c>
      <c r="CA100" s="93">
        <v>0</v>
      </c>
      <c r="CB100" s="93">
        <v>0</v>
      </c>
      <c r="CC100" s="93">
        <v>0</v>
      </c>
      <c r="CD100" s="93">
        <f>IF($AU$100="základní",$AG$100,0)</f>
        <v>0</v>
      </c>
      <c r="CE100" s="93">
        <f>IF($AU$100="snížená",$AG$100,0)</f>
        <v>0</v>
      </c>
      <c r="CF100" s="93">
        <f>IF($AU$100="zákl. přenesená",$AG$100,0)</f>
        <v>0</v>
      </c>
      <c r="CG100" s="93">
        <f>IF($AU$100="sníž. přenesená",$AG$100,0)</f>
        <v>0</v>
      </c>
      <c r="CH100" s="93">
        <f>IF($AU$100="nulová",$AG$100,0)</f>
        <v>0</v>
      </c>
      <c r="CI100" s="6">
        <f>IF($AU$100="základní",1,IF($AU$100="snížená",2,IF($AU$100="zákl. přenesená",4,IF($AU$100="sníž. přenesená",5,3))))</f>
        <v>1</v>
      </c>
      <c r="CJ100" s="6">
        <f>IF($AT$100="stavební čast",1,IF(88100="investiční čast",2,3))</f>
        <v>1</v>
      </c>
      <c r="CK100" s="6" t="str">
        <f>IF($D$100="Vyplň vlastní","","x")</f>
        <v>x</v>
      </c>
    </row>
    <row r="101" spans="2:89" s="6" customFormat="1" ht="21" customHeight="1">
      <c r="B101" s="23"/>
      <c r="C101" s="24"/>
      <c r="D101" s="89" t="s">
        <v>105</v>
      </c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193">
        <f>ROUND($AG$87*$AS$101,2)</f>
        <v>0</v>
      </c>
      <c r="AH101" s="180"/>
      <c r="AI101" s="180"/>
      <c r="AJ101" s="180"/>
      <c r="AK101" s="180"/>
      <c r="AL101" s="180"/>
      <c r="AM101" s="180"/>
      <c r="AN101" s="194">
        <f>ROUND($AG$101+$AV$101,2)</f>
        <v>0</v>
      </c>
      <c r="AO101" s="180"/>
      <c r="AP101" s="180"/>
      <c r="AQ101" s="25"/>
      <c r="AS101" s="94">
        <v>0</v>
      </c>
      <c r="AT101" s="95" t="s">
        <v>95</v>
      </c>
      <c r="AU101" s="95" t="s">
        <v>45</v>
      </c>
      <c r="AV101" s="96">
        <f>ROUND(IF($AU$101="základní",$AG$101*$L$31,IF($AU$101="snížená",$AG$101*$L$32,0)),2)</f>
        <v>0</v>
      </c>
      <c r="BV101" s="6" t="s">
        <v>96</v>
      </c>
      <c r="BY101" s="93">
        <f>IF($AU$101="základní",$AV$101,0)</f>
        <v>0</v>
      </c>
      <c r="BZ101" s="93">
        <f>IF($AU$101="snížená",$AV$101,0)</f>
        <v>0</v>
      </c>
      <c r="CA101" s="93">
        <v>0</v>
      </c>
      <c r="CB101" s="93">
        <v>0</v>
      </c>
      <c r="CC101" s="93">
        <v>0</v>
      </c>
      <c r="CD101" s="93">
        <f>IF($AU$101="základní",$AG$101,0)</f>
        <v>0</v>
      </c>
      <c r="CE101" s="93">
        <f>IF($AU$101="snížená",$AG$101,0)</f>
        <v>0</v>
      </c>
      <c r="CF101" s="93">
        <f>IF($AU$101="zákl. přenesená",$AG$101,0)</f>
        <v>0</v>
      </c>
      <c r="CG101" s="93">
        <f>IF($AU$101="sníž. přenesená",$AG$101,0)</f>
        <v>0</v>
      </c>
      <c r="CH101" s="93">
        <f>IF($AU$101="nulová",$AG$101,0)</f>
        <v>0</v>
      </c>
      <c r="CI101" s="6">
        <f>IF($AU$101="základní",1,IF($AU$101="snížená",2,IF($AU$101="zákl. přenesená",4,IF($AU$101="sníž. přenesená",5,3))))</f>
        <v>1</v>
      </c>
      <c r="CJ101" s="6">
        <f>IF($AT$101="stavební čast",1,IF(88101="investiční čast",2,3))</f>
        <v>1</v>
      </c>
      <c r="CK101" s="6" t="str">
        <f>IF($D$101="Vyplň vlastní","","x")</f>
        <v>x</v>
      </c>
    </row>
    <row r="102" spans="2:89" s="6" customFormat="1" ht="21" customHeight="1">
      <c r="B102" s="23"/>
      <c r="C102" s="24"/>
      <c r="D102" s="195" t="s">
        <v>106</v>
      </c>
      <c r="E102" s="180"/>
      <c r="F102" s="180"/>
      <c r="G102" s="180"/>
      <c r="H102" s="180"/>
      <c r="I102" s="180"/>
      <c r="J102" s="180"/>
      <c r="K102" s="180"/>
      <c r="L102" s="180"/>
      <c r="M102" s="180"/>
      <c r="N102" s="180"/>
      <c r="O102" s="180"/>
      <c r="P102" s="180"/>
      <c r="Q102" s="180"/>
      <c r="R102" s="180"/>
      <c r="S102" s="180"/>
      <c r="T102" s="180"/>
      <c r="U102" s="180"/>
      <c r="V102" s="180"/>
      <c r="W102" s="180"/>
      <c r="X102" s="180"/>
      <c r="Y102" s="180"/>
      <c r="Z102" s="180"/>
      <c r="AA102" s="180"/>
      <c r="AB102" s="180"/>
      <c r="AC102" s="24"/>
      <c r="AD102" s="24"/>
      <c r="AE102" s="24"/>
      <c r="AF102" s="24"/>
      <c r="AG102" s="193">
        <f>$AG$87*$AS$102</f>
        <v>0</v>
      </c>
      <c r="AH102" s="180"/>
      <c r="AI102" s="180"/>
      <c r="AJ102" s="180"/>
      <c r="AK102" s="180"/>
      <c r="AL102" s="180"/>
      <c r="AM102" s="180"/>
      <c r="AN102" s="194">
        <f>$AG$102+$AV$102</f>
        <v>0</v>
      </c>
      <c r="AO102" s="180"/>
      <c r="AP102" s="180"/>
      <c r="AQ102" s="25"/>
      <c r="AS102" s="94">
        <v>0</v>
      </c>
      <c r="AT102" s="95" t="s">
        <v>95</v>
      </c>
      <c r="AU102" s="95" t="s">
        <v>45</v>
      </c>
      <c r="AV102" s="96">
        <f>ROUND(IF($AU$102="nulová",0,IF(OR($AU$102="základní",$AU$102="zákl. přenesená"),$AG$102*$L$31,$AG$102*$L$32)),2)</f>
        <v>0</v>
      </c>
      <c r="BV102" s="6" t="s">
        <v>107</v>
      </c>
      <c r="BY102" s="93">
        <f>IF($AU$102="základní",$AV$102,0)</f>
        <v>0</v>
      </c>
      <c r="BZ102" s="93">
        <f>IF($AU$102="snížená",$AV$102,0)</f>
        <v>0</v>
      </c>
      <c r="CA102" s="93">
        <f>IF($AU$102="zákl. přenesená",$AV$102,0)</f>
        <v>0</v>
      </c>
      <c r="CB102" s="93">
        <f>IF($AU$102="sníž. přenesená",$AV$102,0)</f>
        <v>0</v>
      </c>
      <c r="CC102" s="93">
        <f>IF($AU$102="nulová",$AV$102,0)</f>
        <v>0</v>
      </c>
      <c r="CD102" s="93">
        <f>IF($AU$102="základní",$AG$102,0)</f>
        <v>0</v>
      </c>
      <c r="CE102" s="93">
        <f>IF($AU$102="snížená",$AG$102,0)</f>
        <v>0</v>
      </c>
      <c r="CF102" s="93">
        <f>IF($AU$102="zákl. přenesená",$AG$102,0)</f>
        <v>0</v>
      </c>
      <c r="CG102" s="93">
        <f>IF($AU$102="sníž. přenesená",$AG$102,0)</f>
        <v>0</v>
      </c>
      <c r="CH102" s="93">
        <f>IF($AU$102="nulová",$AG$102,0)</f>
        <v>0</v>
      </c>
      <c r="CI102" s="6">
        <f>IF($AU$102="základní",1,IF($AU$102="snížená",2,IF($AU$102="zákl. přenesená",4,IF($AU$102="sníž. přenesená",5,3))))</f>
        <v>1</v>
      </c>
      <c r="CJ102" s="6">
        <f>IF($AT$102="stavební čast",1,IF(88102="investiční čast",2,3))</f>
        <v>1</v>
      </c>
      <c r="CK102" s="6">
        <f>IF($D$102="Vyplň vlastní","","x")</f>
      </c>
    </row>
    <row r="103" spans="2:89" s="6" customFormat="1" ht="21" customHeight="1">
      <c r="B103" s="23"/>
      <c r="C103" s="24"/>
      <c r="D103" s="195" t="s">
        <v>106</v>
      </c>
      <c r="E103" s="180"/>
      <c r="F103" s="180"/>
      <c r="G103" s="180"/>
      <c r="H103" s="180"/>
      <c r="I103" s="180"/>
      <c r="J103" s="180"/>
      <c r="K103" s="180"/>
      <c r="L103" s="180"/>
      <c r="M103" s="180"/>
      <c r="N103" s="180"/>
      <c r="O103" s="180"/>
      <c r="P103" s="180"/>
      <c r="Q103" s="180"/>
      <c r="R103" s="180"/>
      <c r="S103" s="180"/>
      <c r="T103" s="180"/>
      <c r="U103" s="180"/>
      <c r="V103" s="180"/>
      <c r="W103" s="180"/>
      <c r="X103" s="180"/>
      <c r="Y103" s="180"/>
      <c r="Z103" s="180"/>
      <c r="AA103" s="180"/>
      <c r="AB103" s="180"/>
      <c r="AC103" s="24"/>
      <c r="AD103" s="24"/>
      <c r="AE103" s="24"/>
      <c r="AF103" s="24"/>
      <c r="AG103" s="193">
        <f>$AG$87*$AS$103</f>
        <v>0</v>
      </c>
      <c r="AH103" s="180"/>
      <c r="AI103" s="180"/>
      <c r="AJ103" s="180"/>
      <c r="AK103" s="180"/>
      <c r="AL103" s="180"/>
      <c r="AM103" s="180"/>
      <c r="AN103" s="194">
        <f>$AG$103+$AV$103</f>
        <v>0</v>
      </c>
      <c r="AO103" s="180"/>
      <c r="AP103" s="180"/>
      <c r="AQ103" s="25"/>
      <c r="AS103" s="94">
        <v>0</v>
      </c>
      <c r="AT103" s="95" t="s">
        <v>95</v>
      </c>
      <c r="AU103" s="95" t="s">
        <v>45</v>
      </c>
      <c r="AV103" s="96">
        <f>ROUND(IF($AU$103="nulová",0,IF(OR($AU$103="základní",$AU$103="zákl. přenesená"),$AG$103*$L$31,$AG$103*$L$32)),2)</f>
        <v>0</v>
      </c>
      <c r="BV103" s="6" t="s">
        <v>107</v>
      </c>
      <c r="BY103" s="93">
        <f>IF($AU$103="základní",$AV$103,0)</f>
        <v>0</v>
      </c>
      <c r="BZ103" s="93">
        <f>IF($AU$103="snížená",$AV$103,0)</f>
        <v>0</v>
      </c>
      <c r="CA103" s="93">
        <f>IF($AU$103="zákl. přenesená",$AV$103,0)</f>
        <v>0</v>
      </c>
      <c r="CB103" s="93">
        <f>IF($AU$103="sníž. přenesená",$AV$103,0)</f>
        <v>0</v>
      </c>
      <c r="CC103" s="93">
        <f>IF($AU$103="nulová",$AV$103,0)</f>
        <v>0</v>
      </c>
      <c r="CD103" s="93">
        <f>IF($AU$103="základní",$AG$103,0)</f>
        <v>0</v>
      </c>
      <c r="CE103" s="93">
        <f>IF($AU$103="snížená",$AG$103,0)</f>
        <v>0</v>
      </c>
      <c r="CF103" s="93">
        <f>IF($AU$103="zákl. přenesená",$AG$103,0)</f>
        <v>0</v>
      </c>
      <c r="CG103" s="93">
        <f>IF($AU$103="sníž. přenesená",$AG$103,0)</f>
        <v>0</v>
      </c>
      <c r="CH103" s="93">
        <f>IF($AU$103="nulová",$AG$103,0)</f>
        <v>0</v>
      </c>
      <c r="CI103" s="6">
        <f>IF($AU$103="základní",1,IF($AU$103="snížená",2,IF($AU$103="zákl. přenesená",4,IF($AU$103="sníž. přenesená",5,3))))</f>
        <v>1</v>
      </c>
      <c r="CJ103" s="6">
        <f>IF($AT$103="stavební čast",1,IF(88103="investiční čast",2,3))</f>
        <v>1</v>
      </c>
      <c r="CK103" s="6">
        <f>IF($D$103="Vyplň vlastní","","x")</f>
      </c>
    </row>
    <row r="104" spans="2:89" s="6" customFormat="1" ht="21" customHeight="1">
      <c r="B104" s="23"/>
      <c r="C104" s="24"/>
      <c r="D104" s="195" t="s">
        <v>106</v>
      </c>
      <c r="E104" s="180"/>
      <c r="F104" s="180"/>
      <c r="G104" s="180"/>
      <c r="H104" s="180"/>
      <c r="I104" s="180"/>
      <c r="J104" s="180"/>
      <c r="K104" s="180"/>
      <c r="L104" s="180"/>
      <c r="M104" s="180"/>
      <c r="N104" s="180"/>
      <c r="O104" s="180"/>
      <c r="P104" s="180"/>
      <c r="Q104" s="180"/>
      <c r="R104" s="180"/>
      <c r="S104" s="180"/>
      <c r="T104" s="180"/>
      <c r="U104" s="180"/>
      <c r="V104" s="180"/>
      <c r="W104" s="180"/>
      <c r="X104" s="180"/>
      <c r="Y104" s="180"/>
      <c r="Z104" s="180"/>
      <c r="AA104" s="180"/>
      <c r="AB104" s="180"/>
      <c r="AC104" s="24"/>
      <c r="AD104" s="24"/>
      <c r="AE104" s="24"/>
      <c r="AF104" s="24"/>
      <c r="AG104" s="193">
        <f>$AG$87*$AS$104</f>
        <v>0</v>
      </c>
      <c r="AH104" s="180"/>
      <c r="AI104" s="180"/>
      <c r="AJ104" s="180"/>
      <c r="AK104" s="180"/>
      <c r="AL104" s="180"/>
      <c r="AM104" s="180"/>
      <c r="AN104" s="194">
        <f>$AG$104+$AV$104</f>
        <v>0</v>
      </c>
      <c r="AO104" s="180"/>
      <c r="AP104" s="180"/>
      <c r="AQ104" s="25"/>
      <c r="AS104" s="97">
        <v>0</v>
      </c>
      <c r="AT104" s="98" t="s">
        <v>95</v>
      </c>
      <c r="AU104" s="98" t="s">
        <v>45</v>
      </c>
      <c r="AV104" s="99">
        <f>ROUND(IF($AU$104="nulová",0,IF(OR($AU$104="základní",$AU$104="zákl. přenesená"),$AG$104*$L$31,$AG$104*$L$32)),2)</f>
        <v>0</v>
      </c>
      <c r="BV104" s="6" t="s">
        <v>107</v>
      </c>
      <c r="BY104" s="93">
        <f>IF($AU$104="základní",$AV$104,0)</f>
        <v>0</v>
      </c>
      <c r="BZ104" s="93">
        <f>IF($AU$104="snížená",$AV$104,0)</f>
        <v>0</v>
      </c>
      <c r="CA104" s="93">
        <f>IF($AU$104="zákl. přenesená",$AV$104,0)</f>
        <v>0</v>
      </c>
      <c r="CB104" s="93">
        <f>IF($AU$104="sníž. přenesená",$AV$104,0)</f>
        <v>0</v>
      </c>
      <c r="CC104" s="93">
        <f>IF($AU$104="nulová",$AV$104,0)</f>
        <v>0</v>
      </c>
      <c r="CD104" s="93">
        <f>IF($AU$104="základní",$AG$104,0)</f>
        <v>0</v>
      </c>
      <c r="CE104" s="93">
        <f>IF($AU$104="snížená",$AG$104,0)</f>
        <v>0</v>
      </c>
      <c r="CF104" s="93">
        <f>IF($AU$104="zákl. přenesená",$AG$104,0)</f>
        <v>0</v>
      </c>
      <c r="CG104" s="93">
        <f>IF($AU$104="sníž. přenesená",$AG$104,0)</f>
        <v>0</v>
      </c>
      <c r="CH104" s="93">
        <f>IF($AU$104="nulová",$AG$104,0)</f>
        <v>0</v>
      </c>
      <c r="CI104" s="6">
        <f>IF($AU$104="základní",1,IF($AU$104="snížená",2,IF($AU$104="zákl. přenesená",4,IF($AU$104="sníž. přenesená",5,3))))</f>
        <v>1</v>
      </c>
      <c r="CJ104" s="6">
        <f>IF($AT$104="stavební čast",1,IF(88104="investiční čast",2,3))</f>
        <v>1</v>
      </c>
      <c r="CK104" s="6">
        <f>IF($D$104="Vyplň vlastní","","x")</f>
      </c>
    </row>
    <row r="105" spans="2:43" s="6" customFormat="1" ht="12" customHeight="1">
      <c r="B105" s="23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5"/>
    </row>
    <row r="106" spans="2:43" s="6" customFormat="1" ht="30.75" customHeight="1">
      <c r="B106" s="23"/>
      <c r="C106" s="100" t="s">
        <v>108</v>
      </c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198">
        <f>ROUND($AG$87+$AG$91,2)</f>
        <v>0</v>
      </c>
      <c r="AH106" s="199"/>
      <c r="AI106" s="199"/>
      <c r="AJ106" s="199"/>
      <c r="AK106" s="199"/>
      <c r="AL106" s="199"/>
      <c r="AM106" s="199"/>
      <c r="AN106" s="198">
        <f>$AN$87+$AN$91</f>
        <v>0</v>
      </c>
      <c r="AO106" s="199"/>
      <c r="AP106" s="199"/>
      <c r="AQ106" s="25"/>
    </row>
    <row r="107" spans="2:43" s="6" customFormat="1" ht="7.5" customHeight="1">
      <c r="B107" s="46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47"/>
      <c r="AB107" s="47"/>
      <c r="AC107" s="47"/>
      <c r="AD107" s="47"/>
      <c r="AE107" s="47"/>
      <c r="AF107" s="47"/>
      <c r="AG107" s="47"/>
      <c r="AH107" s="47"/>
      <c r="AI107" s="47"/>
      <c r="AJ107" s="47"/>
      <c r="AK107" s="47"/>
      <c r="AL107" s="47"/>
      <c r="AM107" s="47"/>
      <c r="AN107" s="47"/>
      <c r="AO107" s="47"/>
      <c r="AP107" s="47"/>
      <c r="AQ107" s="48"/>
    </row>
  </sheetData>
  <sheetProtection password="CC35" sheet="1" objects="1" scenarios="1" formatColumns="0" formatRows="0" sort="0" autoFilter="0"/>
  <mergeCells count="80">
    <mergeCell ref="AG106:AM106"/>
    <mergeCell ref="AN106:AP106"/>
    <mergeCell ref="AR2:BE2"/>
    <mergeCell ref="D104:AB104"/>
    <mergeCell ref="AG104:AM104"/>
    <mergeCell ref="AN104:AP104"/>
    <mergeCell ref="AG87:AM87"/>
    <mergeCell ref="AN87:AP87"/>
    <mergeCell ref="AG91:AM91"/>
    <mergeCell ref="AN91:AP91"/>
    <mergeCell ref="AG101:AM101"/>
    <mergeCell ref="AN101:AP101"/>
    <mergeCell ref="D102:AB102"/>
    <mergeCell ref="AG102:AM102"/>
    <mergeCell ref="AN102:AP102"/>
    <mergeCell ref="D103:AB103"/>
    <mergeCell ref="AG103:AM103"/>
    <mergeCell ref="AN103:AP103"/>
    <mergeCell ref="AG98:AM98"/>
    <mergeCell ref="AN98:AP98"/>
    <mergeCell ref="AG99:AM99"/>
    <mergeCell ref="AN99:AP99"/>
    <mergeCell ref="AG100:AM100"/>
    <mergeCell ref="AN100:AP100"/>
    <mergeCell ref="AG95:AM95"/>
    <mergeCell ref="AN95:AP95"/>
    <mergeCell ref="AG96:AM96"/>
    <mergeCell ref="AN96:AP96"/>
    <mergeCell ref="AG97:AM97"/>
    <mergeCell ref="AN97:AP97"/>
    <mergeCell ref="AG92:AM92"/>
    <mergeCell ref="AN92:AP92"/>
    <mergeCell ref="AG93:AM93"/>
    <mergeCell ref="AN93:AP93"/>
    <mergeCell ref="AG94:AM94"/>
    <mergeCell ref="AN94:AP94"/>
    <mergeCell ref="AN88:AP88"/>
    <mergeCell ref="AG88:AM88"/>
    <mergeCell ref="D88:H88"/>
    <mergeCell ref="J88:AF88"/>
    <mergeCell ref="AN89:AP89"/>
    <mergeCell ref="AG89:AM89"/>
    <mergeCell ref="D89:H89"/>
    <mergeCell ref="J89:AF89"/>
    <mergeCell ref="L78:AO78"/>
    <mergeCell ref="AM82:AP82"/>
    <mergeCell ref="AS82:AT84"/>
    <mergeCell ref="AM83:AP83"/>
    <mergeCell ref="C85:G85"/>
    <mergeCell ref="I85:AF85"/>
    <mergeCell ref="AG85:AM85"/>
    <mergeCell ref="AN85:AP85"/>
    <mergeCell ref="L35:O35"/>
    <mergeCell ref="W35:AE35"/>
    <mergeCell ref="AK35:AO35"/>
    <mergeCell ref="X37:AB37"/>
    <mergeCell ref="AK37:AO37"/>
    <mergeCell ref="C76:AP76"/>
    <mergeCell ref="L33:O33"/>
    <mergeCell ref="W33:AE33"/>
    <mergeCell ref="AK33:AO33"/>
    <mergeCell ref="L34:O34"/>
    <mergeCell ref="W34:AE34"/>
    <mergeCell ref="AK34:AO34"/>
    <mergeCell ref="L31:O31"/>
    <mergeCell ref="W31:AE31"/>
    <mergeCell ref="AK31:AO31"/>
    <mergeCell ref="L32:O32"/>
    <mergeCell ref="W32:AE32"/>
    <mergeCell ref="AK32:AO32"/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</mergeCells>
  <dataValidations count="2">
    <dataValidation type="list" allowBlank="1" showInputMessage="1" showErrorMessage="1" error="Povoleny jsou hodnoty základní, snížená, zákl. přenesená, sníž. přenesená, nulová." sqref="AU92:AU105">
      <formula1>"základní,snížená,zákl. přenesená,sníž. přenesená,nulová"</formula1>
    </dataValidation>
    <dataValidation type="list" allowBlank="1" showInputMessage="1" showErrorMessage="1" error="Povoleny jsou hodnoty stavební čast, technologická čast, investiční čast." sqref="AT92:AT105">
      <formula1>"stavební čast,technologická čast,investiční čast"</formula1>
    </dataValidation>
  </dataValidations>
  <hyperlinks>
    <hyperlink ref="K1:S1" location="C2" tooltip="Souhrnný list stavby" display="1) Souhrnný list stavby"/>
    <hyperlink ref="W1:AF1" location="C87" tooltip="Rekapitulace objektů" display="2) Rekapitulace objektů"/>
    <hyperlink ref="A88" location="'SO 02 - Fasáda'!C2" tooltip="SO 02 - Fasáda" display="/"/>
    <hyperlink ref="A89" location="'SO 03 - Drenáže'!C2" tooltip="SO 03 - Drenáže" display="/"/>
  </hyperlinks>
  <printOptions/>
  <pageMargins left="0.5902777910232544" right="0.5902777910232544" top="0.5208333730697632" bottom="0.4861111342906952" header="0" footer="0"/>
  <pageSetup blackAndWhite="1" fitToHeight="100" fitToWidth="1" horizontalDpi="600" verticalDpi="600" orientation="portrait" paperSize="9" scale="95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56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234"/>
      <c r="B1" s="231"/>
      <c r="C1" s="231"/>
      <c r="D1" s="232" t="s">
        <v>1</v>
      </c>
      <c r="E1" s="231"/>
      <c r="F1" s="233" t="s">
        <v>743</v>
      </c>
      <c r="G1" s="233"/>
      <c r="H1" s="235" t="s">
        <v>744</v>
      </c>
      <c r="I1" s="235"/>
      <c r="J1" s="235"/>
      <c r="K1" s="235"/>
      <c r="L1" s="233" t="s">
        <v>745</v>
      </c>
      <c r="M1" s="231"/>
      <c r="N1" s="231"/>
      <c r="O1" s="232" t="s">
        <v>109</v>
      </c>
      <c r="P1" s="231"/>
      <c r="Q1" s="231"/>
      <c r="R1" s="231"/>
      <c r="S1" s="233" t="s">
        <v>746</v>
      </c>
      <c r="T1" s="233"/>
      <c r="U1" s="234"/>
      <c r="V1" s="234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159" t="s">
        <v>5</v>
      </c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S2" s="200" t="s">
        <v>6</v>
      </c>
      <c r="T2" s="160"/>
      <c r="U2" s="160"/>
      <c r="V2" s="160"/>
      <c r="W2" s="160"/>
      <c r="X2" s="160"/>
      <c r="Y2" s="160"/>
      <c r="Z2" s="160"/>
      <c r="AA2" s="160"/>
      <c r="AB2" s="160"/>
      <c r="AC2" s="160"/>
      <c r="AT2" s="2" t="s">
        <v>87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110</v>
      </c>
    </row>
    <row r="4" spans="2:46" s="2" customFormat="1" ht="37.5" customHeight="1">
      <c r="B4" s="10"/>
      <c r="C4" s="161" t="s">
        <v>111</v>
      </c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2"/>
      <c r="T4" s="13" t="s">
        <v>11</v>
      </c>
      <c r="AT4" s="2" t="s">
        <v>4</v>
      </c>
    </row>
    <row r="5" spans="2:18" s="2" customFormat="1" ht="7.5" customHeight="1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2"/>
    </row>
    <row r="6" spans="2:18" s="2" customFormat="1" ht="26.25" customHeight="1">
      <c r="B6" s="10"/>
      <c r="C6" s="11"/>
      <c r="D6" s="18" t="s">
        <v>17</v>
      </c>
      <c r="E6" s="11"/>
      <c r="F6" s="201" t="str">
        <f>'Rekapitulace stavby'!$K$6</f>
        <v>Oprava fasády ZŠ Karlova č.p. 1700 ve Varnsdorfu_upravený</v>
      </c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1"/>
      <c r="R6" s="12"/>
    </row>
    <row r="7" spans="2:18" s="6" customFormat="1" ht="33.75" customHeight="1">
      <c r="B7" s="23"/>
      <c r="C7" s="24"/>
      <c r="D7" s="17" t="s">
        <v>112</v>
      </c>
      <c r="E7" s="24"/>
      <c r="F7" s="167" t="s">
        <v>113</v>
      </c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24"/>
      <c r="R7" s="25"/>
    </row>
    <row r="8" spans="2:18" s="6" customFormat="1" ht="15" customHeight="1">
      <c r="B8" s="23"/>
      <c r="C8" s="24"/>
      <c r="D8" s="18" t="s">
        <v>20</v>
      </c>
      <c r="E8" s="24"/>
      <c r="F8" s="16"/>
      <c r="G8" s="24"/>
      <c r="H8" s="24"/>
      <c r="I8" s="24"/>
      <c r="J8" s="24"/>
      <c r="K8" s="24"/>
      <c r="L8" s="24"/>
      <c r="M8" s="18" t="s">
        <v>21</v>
      </c>
      <c r="N8" s="24"/>
      <c r="O8" s="16"/>
      <c r="P8" s="24"/>
      <c r="Q8" s="24"/>
      <c r="R8" s="25"/>
    </row>
    <row r="9" spans="2:18" s="6" customFormat="1" ht="15" customHeight="1">
      <c r="B9" s="23"/>
      <c r="C9" s="24"/>
      <c r="D9" s="18" t="s">
        <v>23</v>
      </c>
      <c r="E9" s="24"/>
      <c r="F9" s="16" t="s">
        <v>24</v>
      </c>
      <c r="G9" s="24"/>
      <c r="H9" s="24"/>
      <c r="I9" s="24"/>
      <c r="J9" s="24"/>
      <c r="K9" s="24"/>
      <c r="L9" s="24"/>
      <c r="M9" s="18" t="s">
        <v>25</v>
      </c>
      <c r="N9" s="24"/>
      <c r="O9" s="202" t="str">
        <f>'Rekapitulace stavby'!$AN$8</f>
        <v>15.10.2011</v>
      </c>
      <c r="P9" s="180"/>
      <c r="Q9" s="24"/>
      <c r="R9" s="25"/>
    </row>
    <row r="10" spans="2:18" s="6" customFormat="1" ht="12" customHeight="1">
      <c r="B10" s="23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5"/>
    </row>
    <row r="11" spans="2:18" s="6" customFormat="1" ht="15" customHeight="1">
      <c r="B11" s="23"/>
      <c r="C11" s="24"/>
      <c r="D11" s="18" t="s">
        <v>29</v>
      </c>
      <c r="E11" s="24"/>
      <c r="F11" s="24"/>
      <c r="G11" s="24"/>
      <c r="H11" s="24"/>
      <c r="I11" s="24"/>
      <c r="J11" s="24"/>
      <c r="K11" s="24"/>
      <c r="L11" s="24"/>
      <c r="M11" s="18" t="s">
        <v>30</v>
      </c>
      <c r="N11" s="24"/>
      <c r="O11" s="166"/>
      <c r="P11" s="180"/>
      <c r="Q11" s="24"/>
      <c r="R11" s="25"/>
    </row>
    <row r="12" spans="2:18" s="6" customFormat="1" ht="18.75" customHeight="1">
      <c r="B12" s="23"/>
      <c r="C12" s="24"/>
      <c r="D12" s="24"/>
      <c r="E12" s="16" t="s">
        <v>31</v>
      </c>
      <c r="F12" s="24"/>
      <c r="G12" s="24"/>
      <c r="H12" s="24"/>
      <c r="I12" s="24"/>
      <c r="J12" s="24"/>
      <c r="K12" s="24"/>
      <c r="L12" s="24"/>
      <c r="M12" s="18" t="s">
        <v>32</v>
      </c>
      <c r="N12" s="24"/>
      <c r="O12" s="166"/>
      <c r="P12" s="180"/>
      <c r="Q12" s="24"/>
      <c r="R12" s="25"/>
    </row>
    <row r="13" spans="2:18" s="6" customFormat="1" ht="7.5" customHeight="1">
      <c r="B13" s="23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5"/>
    </row>
    <row r="14" spans="2:18" s="6" customFormat="1" ht="15" customHeight="1">
      <c r="B14" s="23"/>
      <c r="C14" s="24"/>
      <c r="D14" s="18" t="s">
        <v>33</v>
      </c>
      <c r="E14" s="24"/>
      <c r="F14" s="24"/>
      <c r="G14" s="24"/>
      <c r="H14" s="24"/>
      <c r="I14" s="24"/>
      <c r="J14" s="24"/>
      <c r="K14" s="24"/>
      <c r="L14" s="24"/>
      <c r="M14" s="18" t="s">
        <v>30</v>
      </c>
      <c r="N14" s="24"/>
      <c r="O14" s="203"/>
      <c r="P14" s="180"/>
      <c r="Q14" s="24"/>
      <c r="R14" s="25"/>
    </row>
    <row r="15" spans="2:18" s="6" customFormat="1" ht="18.75" customHeight="1">
      <c r="B15" s="23"/>
      <c r="C15" s="24"/>
      <c r="D15" s="24"/>
      <c r="E15" s="203" t="s">
        <v>114</v>
      </c>
      <c r="F15" s="180"/>
      <c r="G15" s="180"/>
      <c r="H15" s="180"/>
      <c r="I15" s="180"/>
      <c r="J15" s="180"/>
      <c r="K15" s="180"/>
      <c r="L15" s="180"/>
      <c r="M15" s="18" t="s">
        <v>32</v>
      </c>
      <c r="N15" s="24"/>
      <c r="O15" s="203"/>
      <c r="P15" s="180"/>
      <c r="Q15" s="24"/>
      <c r="R15" s="25"/>
    </row>
    <row r="16" spans="2:18" s="6" customFormat="1" ht="7.5" customHeight="1">
      <c r="B16" s="23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5"/>
    </row>
    <row r="17" spans="2:18" s="6" customFormat="1" ht="15" customHeight="1">
      <c r="B17" s="23"/>
      <c r="C17" s="24"/>
      <c r="D17" s="18" t="s">
        <v>36</v>
      </c>
      <c r="E17" s="24"/>
      <c r="F17" s="24"/>
      <c r="G17" s="24"/>
      <c r="H17" s="24"/>
      <c r="I17" s="24"/>
      <c r="J17" s="24"/>
      <c r="K17" s="24"/>
      <c r="L17" s="24"/>
      <c r="M17" s="18" t="s">
        <v>30</v>
      </c>
      <c r="N17" s="24"/>
      <c r="O17" s="166"/>
      <c r="P17" s="180"/>
      <c r="Q17" s="24"/>
      <c r="R17" s="25"/>
    </row>
    <row r="18" spans="2:18" s="6" customFormat="1" ht="18.75" customHeight="1">
      <c r="B18" s="23"/>
      <c r="C18" s="24"/>
      <c r="D18" s="24"/>
      <c r="E18" s="16" t="s">
        <v>37</v>
      </c>
      <c r="F18" s="24"/>
      <c r="G18" s="24"/>
      <c r="H18" s="24"/>
      <c r="I18" s="24"/>
      <c r="J18" s="24"/>
      <c r="K18" s="24"/>
      <c r="L18" s="24"/>
      <c r="M18" s="18" t="s">
        <v>32</v>
      </c>
      <c r="N18" s="24"/>
      <c r="O18" s="166"/>
      <c r="P18" s="180"/>
      <c r="Q18" s="24"/>
      <c r="R18" s="25"/>
    </row>
    <row r="19" spans="2:18" s="6" customFormat="1" ht="7.5" customHeight="1">
      <c r="B19" s="23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5"/>
    </row>
    <row r="20" spans="2:18" s="6" customFormat="1" ht="15" customHeight="1">
      <c r="B20" s="23"/>
      <c r="C20" s="24"/>
      <c r="D20" s="18" t="s">
        <v>38</v>
      </c>
      <c r="E20" s="24"/>
      <c r="F20" s="24"/>
      <c r="G20" s="24"/>
      <c r="H20" s="24"/>
      <c r="I20" s="24"/>
      <c r="J20" s="24"/>
      <c r="K20" s="24"/>
      <c r="L20" s="24"/>
      <c r="M20" s="18" t="s">
        <v>30</v>
      </c>
      <c r="N20" s="24"/>
      <c r="O20" s="166"/>
      <c r="P20" s="180"/>
      <c r="Q20" s="24"/>
      <c r="R20" s="25"/>
    </row>
    <row r="21" spans="2:18" s="6" customFormat="1" ht="18.75" customHeight="1">
      <c r="B21" s="23"/>
      <c r="C21" s="24"/>
      <c r="D21" s="24"/>
      <c r="E21" s="16" t="s">
        <v>39</v>
      </c>
      <c r="F21" s="24"/>
      <c r="G21" s="24"/>
      <c r="H21" s="24"/>
      <c r="I21" s="24"/>
      <c r="J21" s="24"/>
      <c r="K21" s="24"/>
      <c r="L21" s="24"/>
      <c r="M21" s="18" t="s">
        <v>32</v>
      </c>
      <c r="N21" s="24"/>
      <c r="O21" s="166"/>
      <c r="P21" s="180"/>
      <c r="Q21" s="24"/>
      <c r="R21" s="25"/>
    </row>
    <row r="22" spans="2:18" s="6" customFormat="1" ht="7.5" customHeight="1">
      <c r="B22" s="23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5"/>
    </row>
    <row r="23" spans="2:18" s="6" customFormat="1" ht="15" customHeight="1">
      <c r="B23" s="23"/>
      <c r="C23" s="24"/>
      <c r="D23" s="18" t="s">
        <v>40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5"/>
    </row>
    <row r="24" spans="2:18" s="101" customFormat="1" ht="15.75" customHeight="1">
      <c r="B24" s="102"/>
      <c r="C24" s="103"/>
      <c r="D24" s="103"/>
      <c r="E24" s="169"/>
      <c r="F24" s="204"/>
      <c r="G24" s="204"/>
      <c r="H24" s="204"/>
      <c r="I24" s="204"/>
      <c r="J24" s="204"/>
      <c r="K24" s="204"/>
      <c r="L24" s="204"/>
      <c r="M24" s="103"/>
      <c r="N24" s="103"/>
      <c r="O24" s="103"/>
      <c r="P24" s="103"/>
      <c r="Q24" s="103"/>
      <c r="R24" s="104"/>
    </row>
    <row r="25" spans="2:18" s="6" customFormat="1" ht="7.5" customHeight="1">
      <c r="B25" s="23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5"/>
    </row>
    <row r="26" spans="2:18" s="6" customFormat="1" ht="7.5" customHeight="1">
      <c r="B26" s="23"/>
      <c r="C26" s="24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24"/>
      <c r="R26" s="25"/>
    </row>
    <row r="27" spans="2:18" s="6" customFormat="1" ht="15" customHeight="1">
      <c r="B27" s="23"/>
      <c r="C27" s="24"/>
      <c r="D27" s="105" t="s">
        <v>115</v>
      </c>
      <c r="E27" s="24"/>
      <c r="F27" s="24"/>
      <c r="G27" s="24"/>
      <c r="H27" s="24"/>
      <c r="I27" s="24"/>
      <c r="J27" s="24"/>
      <c r="K27" s="24"/>
      <c r="L27" s="24"/>
      <c r="M27" s="170">
        <f>$N$88</f>
        <v>0</v>
      </c>
      <c r="N27" s="180"/>
      <c r="O27" s="180"/>
      <c r="P27" s="180"/>
      <c r="Q27" s="24"/>
      <c r="R27" s="25"/>
    </row>
    <row r="28" spans="2:18" s="6" customFormat="1" ht="15" customHeight="1">
      <c r="B28" s="23"/>
      <c r="C28" s="24"/>
      <c r="D28" s="22" t="s">
        <v>101</v>
      </c>
      <c r="E28" s="24"/>
      <c r="F28" s="24"/>
      <c r="G28" s="24"/>
      <c r="H28" s="24"/>
      <c r="I28" s="24"/>
      <c r="J28" s="24"/>
      <c r="K28" s="24"/>
      <c r="L28" s="24"/>
      <c r="M28" s="170">
        <f>$N$112</f>
        <v>0</v>
      </c>
      <c r="N28" s="180"/>
      <c r="O28" s="180"/>
      <c r="P28" s="180"/>
      <c r="Q28" s="24"/>
      <c r="R28" s="25"/>
    </row>
    <row r="29" spans="2:18" s="6" customFormat="1" ht="7.5" customHeight="1">
      <c r="B29" s="23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5"/>
    </row>
    <row r="30" spans="2:18" s="6" customFormat="1" ht="26.25" customHeight="1">
      <c r="B30" s="23"/>
      <c r="C30" s="24"/>
      <c r="D30" s="106" t="s">
        <v>43</v>
      </c>
      <c r="E30" s="24"/>
      <c r="F30" s="24"/>
      <c r="G30" s="24"/>
      <c r="H30" s="24"/>
      <c r="I30" s="24"/>
      <c r="J30" s="24"/>
      <c r="K30" s="24"/>
      <c r="L30" s="24"/>
      <c r="M30" s="205">
        <f>ROUND($M$27+$M$28,2)</f>
        <v>0</v>
      </c>
      <c r="N30" s="180"/>
      <c r="O30" s="180"/>
      <c r="P30" s="180"/>
      <c r="Q30" s="24"/>
      <c r="R30" s="25"/>
    </row>
    <row r="31" spans="2:18" s="6" customFormat="1" ht="7.5" customHeight="1">
      <c r="B31" s="23"/>
      <c r="C31" s="24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24"/>
      <c r="R31" s="25"/>
    </row>
    <row r="32" spans="2:18" s="6" customFormat="1" ht="15" customHeight="1">
      <c r="B32" s="23"/>
      <c r="C32" s="24"/>
      <c r="D32" s="29" t="s">
        <v>44</v>
      </c>
      <c r="E32" s="29" t="s">
        <v>45</v>
      </c>
      <c r="F32" s="30">
        <v>0.21</v>
      </c>
      <c r="G32" s="107" t="s">
        <v>46</v>
      </c>
      <c r="H32" s="206">
        <f>ROUND((((SUM($BE$112:$BE$119)+SUM($BE$137:$BE$249))+SUM($BE$251:$BE$255))),2)</f>
        <v>0</v>
      </c>
      <c r="I32" s="180"/>
      <c r="J32" s="180"/>
      <c r="K32" s="24"/>
      <c r="L32" s="24"/>
      <c r="M32" s="206">
        <f>ROUND(((ROUND((SUM($BE$112:$BE$119)+SUM($BE$137:$BE$249)),2)*$F$32)+SUM($BE$251:$BE$255)*$F$32),2)</f>
        <v>0</v>
      </c>
      <c r="N32" s="180"/>
      <c r="O32" s="180"/>
      <c r="P32" s="180"/>
      <c r="Q32" s="24"/>
      <c r="R32" s="25"/>
    </row>
    <row r="33" spans="2:18" s="6" customFormat="1" ht="15" customHeight="1">
      <c r="B33" s="23"/>
      <c r="C33" s="24"/>
      <c r="D33" s="24"/>
      <c r="E33" s="29" t="s">
        <v>47</v>
      </c>
      <c r="F33" s="30">
        <v>0.15</v>
      </c>
      <c r="G33" s="107" t="s">
        <v>46</v>
      </c>
      <c r="H33" s="206">
        <f>ROUND((((SUM($BF$112:$BF$119)+SUM($BF$137:$BF$249))+SUM($BF$251:$BF$255))),2)</f>
        <v>0</v>
      </c>
      <c r="I33" s="180"/>
      <c r="J33" s="180"/>
      <c r="K33" s="24"/>
      <c r="L33" s="24"/>
      <c r="M33" s="206">
        <f>ROUND(((ROUND((SUM($BF$112:$BF$119)+SUM($BF$137:$BF$249)),2)*$F$33)+SUM($BF$251:$BF$255)*$F$33),2)</f>
        <v>0</v>
      </c>
      <c r="N33" s="180"/>
      <c r="O33" s="180"/>
      <c r="P33" s="180"/>
      <c r="Q33" s="24"/>
      <c r="R33" s="25"/>
    </row>
    <row r="34" spans="2:18" s="6" customFormat="1" ht="15" customHeight="1" hidden="1">
      <c r="B34" s="23"/>
      <c r="C34" s="24"/>
      <c r="D34" s="24"/>
      <c r="E34" s="29" t="s">
        <v>48</v>
      </c>
      <c r="F34" s="30">
        <v>0.21</v>
      </c>
      <c r="G34" s="107" t="s">
        <v>46</v>
      </c>
      <c r="H34" s="206">
        <f>ROUND((((SUM($BG$112:$BG$119)+SUM($BG$137:$BG$249))+SUM($BG$251:$BG$255))),2)</f>
        <v>0</v>
      </c>
      <c r="I34" s="180"/>
      <c r="J34" s="180"/>
      <c r="K34" s="24"/>
      <c r="L34" s="24"/>
      <c r="M34" s="206">
        <v>0</v>
      </c>
      <c r="N34" s="180"/>
      <c r="O34" s="180"/>
      <c r="P34" s="180"/>
      <c r="Q34" s="24"/>
      <c r="R34" s="25"/>
    </row>
    <row r="35" spans="2:18" s="6" customFormat="1" ht="15" customHeight="1" hidden="1">
      <c r="B35" s="23"/>
      <c r="C35" s="24"/>
      <c r="D35" s="24"/>
      <c r="E35" s="29" t="s">
        <v>49</v>
      </c>
      <c r="F35" s="30">
        <v>0.15</v>
      </c>
      <c r="G35" s="107" t="s">
        <v>46</v>
      </c>
      <c r="H35" s="206">
        <f>ROUND((((SUM($BH$112:$BH$119)+SUM($BH$137:$BH$249))+SUM($BH$251:$BH$255))),2)</f>
        <v>0</v>
      </c>
      <c r="I35" s="180"/>
      <c r="J35" s="180"/>
      <c r="K35" s="24"/>
      <c r="L35" s="24"/>
      <c r="M35" s="206">
        <v>0</v>
      </c>
      <c r="N35" s="180"/>
      <c r="O35" s="180"/>
      <c r="P35" s="180"/>
      <c r="Q35" s="24"/>
      <c r="R35" s="25"/>
    </row>
    <row r="36" spans="2:18" s="6" customFormat="1" ht="15" customHeight="1" hidden="1">
      <c r="B36" s="23"/>
      <c r="C36" s="24"/>
      <c r="D36" s="24"/>
      <c r="E36" s="29" t="s">
        <v>50</v>
      </c>
      <c r="F36" s="30">
        <v>0</v>
      </c>
      <c r="G36" s="107" t="s">
        <v>46</v>
      </c>
      <c r="H36" s="206">
        <f>ROUND((((SUM($BI$112:$BI$119)+SUM($BI$137:$BI$249))+SUM($BI$251:$BI$255))),2)</f>
        <v>0</v>
      </c>
      <c r="I36" s="180"/>
      <c r="J36" s="180"/>
      <c r="K36" s="24"/>
      <c r="L36" s="24"/>
      <c r="M36" s="206">
        <v>0</v>
      </c>
      <c r="N36" s="180"/>
      <c r="O36" s="180"/>
      <c r="P36" s="180"/>
      <c r="Q36" s="24"/>
      <c r="R36" s="25"/>
    </row>
    <row r="37" spans="2:18" s="6" customFormat="1" ht="7.5" customHeight="1">
      <c r="B37" s="23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5"/>
    </row>
    <row r="38" spans="2:18" s="6" customFormat="1" ht="26.25" customHeight="1">
      <c r="B38" s="23"/>
      <c r="C38" s="33"/>
      <c r="D38" s="34" t="s">
        <v>51</v>
      </c>
      <c r="E38" s="35"/>
      <c r="F38" s="35"/>
      <c r="G38" s="108" t="s">
        <v>52</v>
      </c>
      <c r="H38" s="36" t="s">
        <v>53</v>
      </c>
      <c r="I38" s="35"/>
      <c r="J38" s="35"/>
      <c r="K38" s="35"/>
      <c r="L38" s="178">
        <f>SUM($M$30:$M$36)</f>
        <v>0</v>
      </c>
      <c r="M38" s="177"/>
      <c r="N38" s="177"/>
      <c r="O38" s="177"/>
      <c r="P38" s="179"/>
      <c r="Q38" s="33"/>
      <c r="R38" s="25"/>
    </row>
    <row r="39" spans="2:18" s="6" customFormat="1" ht="15" customHeight="1">
      <c r="B39" s="23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5"/>
    </row>
    <row r="40" spans="2:18" s="6" customFormat="1" ht="15" customHeight="1">
      <c r="B40" s="2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5"/>
    </row>
    <row r="41" spans="2:18" s="2" customFormat="1" ht="14.25" customHeight="1">
      <c r="B41" s="10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2"/>
    </row>
    <row r="42" spans="2:18" s="2" customFormat="1" ht="14.25" customHeight="1">
      <c r="B42" s="10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2"/>
    </row>
    <row r="43" spans="2:18" s="2" customFormat="1" ht="14.25" customHeight="1">
      <c r="B43" s="10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2"/>
    </row>
    <row r="44" spans="2:18" s="2" customFormat="1" ht="14.25" customHeight="1">
      <c r="B44" s="10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2"/>
    </row>
    <row r="45" spans="2:18" s="2" customFormat="1" ht="14.25" customHeight="1">
      <c r="B45" s="10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2"/>
    </row>
    <row r="46" spans="2:18" s="2" customFormat="1" ht="14.25" customHeight="1">
      <c r="B46" s="10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2"/>
    </row>
    <row r="47" spans="2:18" s="2" customFormat="1" ht="14.25" customHeight="1">
      <c r="B47" s="10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2"/>
    </row>
    <row r="48" spans="2:18" s="2" customFormat="1" ht="14.25" customHeight="1">
      <c r="B48" s="10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2"/>
    </row>
    <row r="49" spans="2:18" s="2" customFormat="1" ht="14.25" customHeight="1">
      <c r="B49" s="10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2"/>
    </row>
    <row r="50" spans="2:18" s="6" customFormat="1" ht="15.75" customHeight="1">
      <c r="B50" s="23"/>
      <c r="C50" s="24"/>
      <c r="D50" s="37" t="s">
        <v>54</v>
      </c>
      <c r="E50" s="38"/>
      <c r="F50" s="38"/>
      <c r="G50" s="38"/>
      <c r="H50" s="39"/>
      <c r="I50" s="24"/>
      <c r="J50" s="37" t="s">
        <v>55</v>
      </c>
      <c r="K50" s="38"/>
      <c r="L50" s="38"/>
      <c r="M50" s="38"/>
      <c r="N50" s="38"/>
      <c r="O50" s="38"/>
      <c r="P50" s="39"/>
      <c r="Q50" s="24"/>
      <c r="R50" s="25"/>
    </row>
    <row r="51" spans="2:18" s="2" customFormat="1" ht="14.25" customHeight="1">
      <c r="B51" s="10"/>
      <c r="C51" s="11"/>
      <c r="D51" s="40"/>
      <c r="E51" s="11"/>
      <c r="F51" s="11"/>
      <c r="G51" s="11"/>
      <c r="H51" s="41"/>
      <c r="I51" s="11"/>
      <c r="J51" s="40"/>
      <c r="K51" s="11"/>
      <c r="L51" s="11"/>
      <c r="M51" s="11"/>
      <c r="N51" s="11"/>
      <c r="O51" s="11"/>
      <c r="P51" s="41"/>
      <c r="Q51" s="11"/>
      <c r="R51" s="12"/>
    </row>
    <row r="52" spans="2:18" s="2" customFormat="1" ht="14.25" customHeight="1">
      <c r="B52" s="10"/>
      <c r="C52" s="11"/>
      <c r="D52" s="40"/>
      <c r="E52" s="11"/>
      <c r="F52" s="11"/>
      <c r="G52" s="11"/>
      <c r="H52" s="41"/>
      <c r="I52" s="11"/>
      <c r="J52" s="40"/>
      <c r="K52" s="11"/>
      <c r="L52" s="11"/>
      <c r="M52" s="11"/>
      <c r="N52" s="11"/>
      <c r="O52" s="11"/>
      <c r="P52" s="41"/>
      <c r="Q52" s="11"/>
      <c r="R52" s="12"/>
    </row>
    <row r="53" spans="2:18" s="2" customFormat="1" ht="14.25" customHeight="1">
      <c r="B53" s="10"/>
      <c r="C53" s="11"/>
      <c r="D53" s="40"/>
      <c r="E53" s="11"/>
      <c r="F53" s="11"/>
      <c r="G53" s="11"/>
      <c r="H53" s="41"/>
      <c r="I53" s="11"/>
      <c r="J53" s="40"/>
      <c r="K53" s="11"/>
      <c r="L53" s="11"/>
      <c r="M53" s="11"/>
      <c r="N53" s="11"/>
      <c r="O53" s="11"/>
      <c r="P53" s="41"/>
      <c r="Q53" s="11"/>
      <c r="R53" s="12"/>
    </row>
    <row r="54" spans="2:18" s="2" customFormat="1" ht="14.25" customHeight="1">
      <c r="B54" s="10"/>
      <c r="C54" s="11"/>
      <c r="D54" s="40"/>
      <c r="E54" s="11"/>
      <c r="F54" s="11"/>
      <c r="G54" s="11"/>
      <c r="H54" s="41"/>
      <c r="I54" s="11"/>
      <c r="J54" s="40"/>
      <c r="K54" s="11"/>
      <c r="L54" s="11"/>
      <c r="M54" s="11"/>
      <c r="N54" s="11"/>
      <c r="O54" s="11"/>
      <c r="P54" s="41"/>
      <c r="Q54" s="11"/>
      <c r="R54" s="12"/>
    </row>
    <row r="55" spans="2:18" s="2" customFormat="1" ht="14.25" customHeight="1">
      <c r="B55" s="10"/>
      <c r="C55" s="11"/>
      <c r="D55" s="40"/>
      <c r="E55" s="11"/>
      <c r="F55" s="11"/>
      <c r="G55" s="11"/>
      <c r="H55" s="41"/>
      <c r="I55" s="11"/>
      <c r="J55" s="40"/>
      <c r="K55" s="11"/>
      <c r="L55" s="11"/>
      <c r="M55" s="11"/>
      <c r="N55" s="11"/>
      <c r="O55" s="11"/>
      <c r="P55" s="41"/>
      <c r="Q55" s="11"/>
      <c r="R55" s="12"/>
    </row>
    <row r="56" spans="2:18" s="2" customFormat="1" ht="14.25" customHeight="1">
      <c r="B56" s="10"/>
      <c r="C56" s="11"/>
      <c r="D56" s="40"/>
      <c r="E56" s="11"/>
      <c r="F56" s="11"/>
      <c r="G56" s="11"/>
      <c r="H56" s="41"/>
      <c r="I56" s="11"/>
      <c r="J56" s="40"/>
      <c r="K56" s="11"/>
      <c r="L56" s="11"/>
      <c r="M56" s="11"/>
      <c r="N56" s="11"/>
      <c r="O56" s="11"/>
      <c r="P56" s="41"/>
      <c r="Q56" s="11"/>
      <c r="R56" s="12"/>
    </row>
    <row r="57" spans="2:18" s="2" customFormat="1" ht="14.25" customHeight="1">
      <c r="B57" s="10"/>
      <c r="C57" s="11"/>
      <c r="D57" s="40"/>
      <c r="E57" s="11"/>
      <c r="F57" s="11"/>
      <c r="G57" s="11"/>
      <c r="H57" s="41"/>
      <c r="I57" s="11"/>
      <c r="J57" s="40"/>
      <c r="K57" s="11"/>
      <c r="L57" s="11"/>
      <c r="M57" s="11"/>
      <c r="N57" s="11"/>
      <c r="O57" s="11"/>
      <c r="P57" s="41"/>
      <c r="Q57" s="11"/>
      <c r="R57" s="12"/>
    </row>
    <row r="58" spans="2:18" s="2" customFormat="1" ht="14.25" customHeight="1">
      <c r="B58" s="10"/>
      <c r="C58" s="11"/>
      <c r="D58" s="40"/>
      <c r="E58" s="11"/>
      <c r="F58" s="11"/>
      <c r="G58" s="11"/>
      <c r="H58" s="41"/>
      <c r="I58" s="11"/>
      <c r="J58" s="40"/>
      <c r="K58" s="11"/>
      <c r="L58" s="11"/>
      <c r="M58" s="11"/>
      <c r="N58" s="11"/>
      <c r="O58" s="11"/>
      <c r="P58" s="41"/>
      <c r="Q58" s="11"/>
      <c r="R58" s="12"/>
    </row>
    <row r="59" spans="2:18" s="6" customFormat="1" ht="15.75" customHeight="1">
      <c r="B59" s="23"/>
      <c r="C59" s="24"/>
      <c r="D59" s="42" t="s">
        <v>56</v>
      </c>
      <c r="E59" s="43"/>
      <c r="F59" s="43"/>
      <c r="G59" s="44" t="s">
        <v>57</v>
      </c>
      <c r="H59" s="45"/>
      <c r="I59" s="24"/>
      <c r="J59" s="42" t="s">
        <v>56</v>
      </c>
      <c r="K59" s="43"/>
      <c r="L59" s="43"/>
      <c r="M59" s="43"/>
      <c r="N59" s="44" t="s">
        <v>57</v>
      </c>
      <c r="O59" s="43"/>
      <c r="P59" s="45"/>
      <c r="Q59" s="24"/>
      <c r="R59" s="25"/>
    </row>
    <row r="60" spans="2:18" s="2" customFormat="1" ht="14.25" customHeight="1">
      <c r="B60" s="10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2"/>
    </row>
    <row r="61" spans="2:18" s="6" customFormat="1" ht="15.75" customHeight="1">
      <c r="B61" s="23"/>
      <c r="C61" s="24"/>
      <c r="D61" s="37" t="s">
        <v>58</v>
      </c>
      <c r="E61" s="38"/>
      <c r="F61" s="38"/>
      <c r="G61" s="38"/>
      <c r="H61" s="39"/>
      <c r="I61" s="24"/>
      <c r="J61" s="37" t="s">
        <v>59</v>
      </c>
      <c r="K61" s="38"/>
      <c r="L61" s="38"/>
      <c r="M61" s="38"/>
      <c r="N61" s="38"/>
      <c r="O61" s="38"/>
      <c r="P61" s="39"/>
      <c r="Q61" s="24"/>
      <c r="R61" s="25"/>
    </row>
    <row r="62" spans="2:18" s="2" customFormat="1" ht="14.25" customHeight="1">
      <c r="B62" s="10"/>
      <c r="C62" s="11"/>
      <c r="D62" s="40"/>
      <c r="E62" s="11"/>
      <c r="F62" s="11"/>
      <c r="G62" s="11"/>
      <c r="H62" s="41"/>
      <c r="I62" s="11"/>
      <c r="J62" s="40"/>
      <c r="K62" s="11"/>
      <c r="L62" s="11"/>
      <c r="M62" s="11"/>
      <c r="N62" s="11"/>
      <c r="O62" s="11"/>
      <c r="P62" s="41"/>
      <c r="Q62" s="11"/>
      <c r="R62" s="12"/>
    </row>
    <row r="63" spans="2:18" s="2" customFormat="1" ht="14.25" customHeight="1">
      <c r="B63" s="10"/>
      <c r="C63" s="11"/>
      <c r="D63" s="40"/>
      <c r="E63" s="11"/>
      <c r="F63" s="11"/>
      <c r="G63" s="11"/>
      <c r="H63" s="41"/>
      <c r="I63" s="11"/>
      <c r="J63" s="40"/>
      <c r="K63" s="11"/>
      <c r="L63" s="11"/>
      <c r="M63" s="11"/>
      <c r="N63" s="11"/>
      <c r="O63" s="11"/>
      <c r="P63" s="41"/>
      <c r="Q63" s="11"/>
      <c r="R63" s="12"/>
    </row>
    <row r="64" spans="2:18" s="2" customFormat="1" ht="14.25" customHeight="1">
      <c r="B64" s="10"/>
      <c r="C64" s="11"/>
      <c r="D64" s="40"/>
      <c r="E64" s="11"/>
      <c r="F64" s="11"/>
      <c r="G64" s="11"/>
      <c r="H64" s="41"/>
      <c r="I64" s="11"/>
      <c r="J64" s="40"/>
      <c r="K64" s="11"/>
      <c r="L64" s="11"/>
      <c r="M64" s="11"/>
      <c r="N64" s="11"/>
      <c r="O64" s="11"/>
      <c r="P64" s="41"/>
      <c r="Q64" s="11"/>
      <c r="R64" s="12"/>
    </row>
    <row r="65" spans="2:18" s="2" customFormat="1" ht="14.25" customHeight="1">
      <c r="B65" s="10"/>
      <c r="C65" s="11"/>
      <c r="D65" s="40"/>
      <c r="E65" s="11"/>
      <c r="F65" s="11"/>
      <c r="G65" s="11"/>
      <c r="H65" s="41"/>
      <c r="I65" s="11"/>
      <c r="J65" s="40"/>
      <c r="K65" s="11"/>
      <c r="L65" s="11"/>
      <c r="M65" s="11"/>
      <c r="N65" s="11"/>
      <c r="O65" s="11"/>
      <c r="P65" s="41"/>
      <c r="Q65" s="11"/>
      <c r="R65" s="12"/>
    </row>
    <row r="66" spans="2:18" s="2" customFormat="1" ht="14.25" customHeight="1">
      <c r="B66" s="10"/>
      <c r="C66" s="11"/>
      <c r="D66" s="40"/>
      <c r="E66" s="11"/>
      <c r="F66" s="11"/>
      <c r="G66" s="11"/>
      <c r="H66" s="41"/>
      <c r="I66" s="11"/>
      <c r="J66" s="40"/>
      <c r="K66" s="11"/>
      <c r="L66" s="11"/>
      <c r="M66" s="11"/>
      <c r="N66" s="11"/>
      <c r="O66" s="11"/>
      <c r="P66" s="41"/>
      <c r="Q66" s="11"/>
      <c r="R66" s="12"/>
    </row>
    <row r="67" spans="2:18" s="2" customFormat="1" ht="14.25" customHeight="1">
      <c r="B67" s="10"/>
      <c r="C67" s="11"/>
      <c r="D67" s="40"/>
      <c r="E67" s="11"/>
      <c r="F67" s="11"/>
      <c r="G67" s="11"/>
      <c r="H67" s="41"/>
      <c r="I67" s="11"/>
      <c r="J67" s="40"/>
      <c r="K67" s="11"/>
      <c r="L67" s="11"/>
      <c r="M67" s="11"/>
      <c r="N67" s="11"/>
      <c r="O67" s="11"/>
      <c r="P67" s="41"/>
      <c r="Q67" s="11"/>
      <c r="R67" s="12"/>
    </row>
    <row r="68" spans="2:18" s="2" customFormat="1" ht="14.25" customHeight="1">
      <c r="B68" s="10"/>
      <c r="C68" s="11"/>
      <c r="D68" s="40"/>
      <c r="E68" s="11"/>
      <c r="F68" s="11"/>
      <c r="G68" s="11"/>
      <c r="H68" s="41"/>
      <c r="I68" s="11"/>
      <c r="J68" s="40"/>
      <c r="K68" s="11"/>
      <c r="L68" s="11"/>
      <c r="M68" s="11"/>
      <c r="N68" s="11"/>
      <c r="O68" s="11"/>
      <c r="P68" s="41"/>
      <c r="Q68" s="11"/>
      <c r="R68" s="12"/>
    </row>
    <row r="69" spans="2:18" s="2" customFormat="1" ht="14.25" customHeight="1">
      <c r="B69" s="10"/>
      <c r="C69" s="11"/>
      <c r="D69" s="40"/>
      <c r="E69" s="11"/>
      <c r="F69" s="11"/>
      <c r="G69" s="11"/>
      <c r="H69" s="41"/>
      <c r="I69" s="11"/>
      <c r="J69" s="40"/>
      <c r="K69" s="11"/>
      <c r="L69" s="11"/>
      <c r="M69" s="11"/>
      <c r="N69" s="11"/>
      <c r="O69" s="11"/>
      <c r="P69" s="41"/>
      <c r="Q69" s="11"/>
      <c r="R69" s="12"/>
    </row>
    <row r="70" spans="2:18" s="6" customFormat="1" ht="15.75" customHeight="1">
      <c r="B70" s="23"/>
      <c r="C70" s="24"/>
      <c r="D70" s="42" t="s">
        <v>56</v>
      </c>
      <c r="E70" s="43"/>
      <c r="F70" s="43"/>
      <c r="G70" s="44" t="s">
        <v>57</v>
      </c>
      <c r="H70" s="45"/>
      <c r="I70" s="24"/>
      <c r="J70" s="42" t="s">
        <v>56</v>
      </c>
      <c r="K70" s="43"/>
      <c r="L70" s="43"/>
      <c r="M70" s="43"/>
      <c r="N70" s="44" t="s">
        <v>57</v>
      </c>
      <c r="O70" s="43"/>
      <c r="P70" s="45"/>
      <c r="Q70" s="24"/>
      <c r="R70" s="25"/>
    </row>
    <row r="71" spans="2:18" s="6" customFormat="1" ht="15" customHeight="1">
      <c r="B71" s="46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8"/>
    </row>
    <row r="75" spans="2:18" s="6" customFormat="1" ht="7.5" customHeight="1">
      <c r="B75" s="109"/>
      <c r="C75" s="110"/>
      <c r="D75" s="110"/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1"/>
    </row>
    <row r="76" spans="2:21" s="6" customFormat="1" ht="37.5" customHeight="1">
      <c r="B76" s="23"/>
      <c r="C76" s="161" t="s">
        <v>116</v>
      </c>
      <c r="D76" s="180"/>
      <c r="E76" s="180"/>
      <c r="F76" s="180"/>
      <c r="G76" s="180"/>
      <c r="H76" s="180"/>
      <c r="I76" s="180"/>
      <c r="J76" s="180"/>
      <c r="K76" s="180"/>
      <c r="L76" s="180"/>
      <c r="M76" s="180"/>
      <c r="N76" s="180"/>
      <c r="O76" s="180"/>
      <c r="P76" s="180"/>
      <c r="Q76" s="180"/>
      <c r="R76" s="25"/>
      <c r="T76" s="24"/>
      <c r="U76" s="24"/>
    </row>
    <row r="77" spans="2:21" s="6" customFormat="1" ht="7.5" customHeight="1">
      <c r="B77" s="23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5"/>
      <c r="T77" s="24"/>
      <c r="U77" s="24"/>
    </row>
    <row r="78" spans="2:21" s="6" customFormat="1" ht="30.75" customHeight="1">
      <c r="B78" s="23"/>
      <c r="C78" s="18" t="s">
        <v>17</v>
      </c>
      <c r="D78" s="24"/>
      <c r="E78" s="24"/>
      <c r="F78" s="201" t="str">
        <f>$F$6</f>
        <v>Oprava fasády ZŠ Karlova č.p. 1700 ve Varnsdorfu_upravený</v>
      </c>
      <c r="G78" s="180"/>
      <c r="H78" s="180"/>
      <c r="I78" s="180"/>
      <c r="J78" s="180"/>
      <c r="K78" s="180"/>
      <c r="L78" s="180"/>
      <c r="M78" s="180"/>
      <c r="N78" s="180"/>
      <c r="O78" s="180"/>
      <c r="P78" s="180"/>
      <c r="Q78" s="24"/>
      <c r="R78" s="25"/>
      <c r="T78" s="24"/>
      <c r="U78" s="24"/>
    </row>
    <row r="79" spans="2:21" s="6" customFormat="1" ht="37.5" customHeight="1">
      <c r="B79" s="23"/>
      <c r="C79" s="57" t="s">
        <v>112</v>
      </c>
      <c r="D79" s="24"/>
      <c r="E79" s="24"/>
      <c r="F79" s="181" t="str">
        <f>$F$7</f>
        <v>SO 02 - Fasáda</v>
      </c>
      <c r="G79" s="180"/>
      <c r="H79" s="180"/>
      <c r="I79" s="180"/>
      <c r="J79" s="180"/>
      <c r="K79" s="180"/>
      <c r="L79" s="180"/>
      <c r="M79" s="180"/>
      <c r="N79" s="180"/>
      <c r="O79" s="180"/>
      <c r="P79" s="180"/>
      <c r="Q79" s="24"/>
      <c r="R79" s="25"/>
      <c r="T79" s="24"/>
      <c r="U79" s="24"/>
    </row>
    <row r="80" spans="2:21" s="6" customFormat="1" ht="7.5" customHeight="1">
      <c r="B80" s="23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5"/>
      <c r="T80" s="24"/>
      <c r="U80" s="24"/>
    </row>
    <row r="81" spans="2:21" s="6" customFormat="1" ht="18.75" customHeight="1">
      <c r="B81" s="23"/>
      <c r="C81" s="18" t="s">
        <v>23</v>
      </c>
      <c r="D81" s="24"/>
      <c r="E81" s="24"/>
      <c r="F81" s="16" t="str">
        <f>$F$9</f>
        <v>Varnsdorf</v>
      </c>
      <c r="G81" s="24"/>
      <c r="H81" s="24"/>
      <c r="I81" s="24"/>
      <c r="J81" s="24"/>
      <c r="K81" s="18" t="s">
        <v>25</v>
      </c>
      <c r="L81" s="24"/>
      <c r="M81" s="207" t="str">
        <f>IF($O$9="","",$O$9)</f>
        <v>15.10.2011</v>
      </c>
      <c r="N81" s="180"/>
      <c r="O81" s="180"/>
      <c r="P81" s="180"/>
      <c r="Q81" s="24"/>
      <c r="R81" s="25"/>
      <c r="T81" s="24"/>
      <c r="U81" s="24"/>
    </row>
    <row r="82" spans="2:21" s="6" customFormat="1" ht="7.5" customHeight="1">
      <c r="B82" s="23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5"/>
      <c r="T82" s="24"/>
      <c r="U82" s="24"/>
    </row>
    <row r="83" spans="2:21" s="6" customFormat="1" ht="15.75" customHeight="1">
      <c r="B83" s="23"/>
      <c r="C83" s="18" t="s">
        <v>29</v>
      </c>
      <c r="D83" s="24"/>
      <c r="E83" s="24"/>
      <c r="F83" s="16" t="str">
        <f>$E$12</f>
        <v>Město Varnsdorf, nám. E. Beneše 470, Varnsdorf</v>
      </c>
      <c r="G83" s="24"/>
      <c r="H83" s="24"/>
      <c r="I83" s="24"/>
      <c r="J83" s="24"/>
      <c r="K83" s="18" t="s">
        <v>36</v>
      </c>
      <c r="L83" s="24"/>
      <c r="M83" s="166" t="str">
        <f>$E$18</f>
        <v>ProProjekt s.r.o., Komenského 1173, Rumburk</v>
      </c>
      <c r="N83" s="180"/>
      <c r="O83" s="180"/>
      <c r="P83" s="180"/>
      <c r="Q83" s="180"/>
      <c r="R83" s="25"/>
      <c r="T83" s="24"/>
      <c r="U83" s="24"/>
    </row>
    <row r="84" spans="2:21" s="6" customFormat="1" ht="15" customHeight="1">
      <c r="B84" s="23"/>
      <c r="C84" s="18" t="s">
        <v>33</v>
      </c>
      <c r="D84" s="24"/>
      <c r="E84" s="24"/>
      <c r="F84" s="16" t="str">
        <f>IF($E$15="","",$E$15)</f>
        <v>bude vybrán</v>
      </c>
      <c r="G84" s="24"/>
      <c r="H84" s="24"/>
      <c r="I84" s="24"/>
      <c r="J84" s="24"/>
      <c r="K84" s="18" t="s">
        <v>38</v>
      </c>
      <c r="L84" s="24"/>
      <c r="M84" s="166" t="str">
        <f>$E$21</f>
        <v>Pavel Hruška</v>
      </c>
      <c r="N84" s="180"/>
      <c r="O84" s="180"/>
      <c r="P84" s="180"/>
      <c r="Q84" s="180"/>
      <c r="R84" s="25"/>
      <c r="T84" s="24"/>
      <c r="U84" s="24"/>
    </row>
    <row r="85" spans="2:21" s="6" customFormat="1" ht="11.25" customHeight="1">
      <c r="B85" s="23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5"/>
      <c r="T85" s="24"/>
      <c r="U85" s="24"/>
    </row>
    <row r="86" spans="2:21" s="6" customFormat="1" ht="30" customHeight="1">
      <c r="B86" s="23"/>
      <c r="C86" s="208" t="s">
        <v>117</v>
      </c>
      <c r="D86" s="199"/>
      <c r="E86" s="199"/>
      <c r="F86" s="199"/>
      <c r="G86" s="199"/>
      <c r="H86" s="33"/>
      <c r="I86" s="33"/>
      <c r="J86" s="33"/>
      <c r="K86" s="33"/>
      <c r="L86" s="33"/>
      <c r="M86" s="33"/>
      <c r="N86" s="208" t="s">
        <v>118</v>
      </c>
      <c r="O86" s="180"/>
      <c r="P86" s="180"/>
      <c r="Q86" s="180"/>
      <c r="R86" s="25"/>
      <c r="T86" s="24"/>
      <c r="U86" s="24"/>
    </row>
    <row r="87" spans="2:21" s="6" customFormat="1" ht="11.25" customHeight="1">
      <c r="B87" s="23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5"/>
      <c r="T87" s="24"/>
      <c r="U87" s="24"/>
    </row>
    <row r="88" spans="2:47" s="6" customFormat="1" ht="30" customHeight="1">
      <c r="B88" s="23"/>
      <c r="C88" s="71" t="s">
        <v>119</v>
      </c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196">
        <f>$N$137</f>
        <v>0</v>
      </c>
      <c r="O88" s="180"/>
      <c r="P88" s="180"/>
      <c r="Q88" s="180"/>
      <c r="R88" s="25"/>
      <c r="T88" s="24"/>
      <c r="U88" s="24"/>
      <c r="AU88" s="6" t="s">
        <v>120</v>
      </c>
    </row>
    <row r="89" spans="2:21" s="76" customFormat="1" ht="25.5" customHeight="1">
      <c r="B89" s="112"/>
      <c r="C89" s="113"/>
      <c r="D89" s="113" t="s">
        <v>121</v>
      </c>
      <c r="E89" s="113"/>
      <c r="F89" s="113"/>
      <c r="G89" s="113"/>
      <c r="H89" s="113"/>
      <c r="I89" s="113"/>
      <c r="J89" s="113"/>
      <c r="K89" s="113"/>
      <c r="L89" s="113"/>
      <c r="M89" s="113"/>
      <c r="N89" s="209">
        <f>$N$138</f>
        <v>0</v>
      </c>
      <c r="O89" s="210"/>
      <c r="P89" s="210"/>
      <c r="Q89" s="210"/>
      <c r="R89" s="114"/>
      <c r="T89" s="113"/>
      <c r="U89" s="113"/>
    </row>
    <row r="90" spans="2:21" s="115" customFormat="1" ht="21" customHeight="1">
      <c r="B90" s="116"/>
      <c r="C90" s="89"/>
      <c r="D90" s="89" t="s">
        <v>122</v>
      </c>
      <c r="E90" s="89"/>
      <c r="F90" s="89"/>
      <c r="G90" s="89"/>
      <c r="H90" s="89"/>
      <c r="I90" s="89"/>
      <c r="J90" s="89"/>
      <c r="K90" s="89"/>
      <c r="L90" s="89"/>
      <c r="M90" s="89"/>
      <c r="N90" s="194">
        <f>$N$139</f>
        <v>0</v>
      </c>
      <c r="O90" s="211"/>
      <c r="P90" s="211"/>
      <c r="Q90" s="211"/>
      <c r="R90" s="117"/>
      <c r="T90" s="89"/>
      <c r="U90" s="89"/>
    </row>
    <row r="91" spans="2:21" s="115" customFormat="1" ht="21" customHeight="1">
      <c r="B91" s="116"/>
      <c r="C91" s="89"/>
      <c r="D91" s="89" t="s">
        <v>123</v>
      </c>
      <c r="E91" s="89"/>
      <c r="F91" s="89"/>
      <c r="G91" s="89"/>
      <c r="H91" s="89"/>
      <c r="I91" s="89"/>
      <c r="J91" s="89"/>
      <c r="K91" s="89"/>
      <c r="L91" s="89"/>
      <c r="M91" s="89"/>
      <c r="N91" s="194">
        <f>$N$149</f>
        <v>0</v>
      </c>
      <c r="O91" s="211"/>
      <c r="P91" s="211"/>
      <c r="Q91" s="211"/>
      <c r="R91" s="117"/>
      <c r="T91" s="89"/>
      <c r="U91" s="89"/>
    </row>
    <row r="92" spans="2:21" s="115" customFormat="1" ht="21" customHeight="1">
      <c r="B92" s="116"/>
      <c r="C92" s="89"/>
      <c r="D92" s="89" t="s">
        <v>124</v>
      </c>
      <c r="E92" s="89"/>
      <c r="F92" s="89"/>
      <c r="G92" s="89"/>
      <c r="H92" s="89"/>
      <c r="I92" s="89"/>
      <c r="J92" s="89"/>
      <c r="K92" s="89"/>
      <c r="L92" s="89"/>
      <c r="M92" s="89"/>
      <c r="N92" s="194">
        <f>$N$154</f>
        <v>0</v>
      </c>
      <c r="O92" s="211"/>
      <c r="P92" s="211"/>
      <c r="Q92" s="211"/>
      <c r="R92" s="117"/>
      <c r="T92" s="89"/>
      <c r="U92" s="89"/>
    </row>
    <row r="93" spans="2:21" s="115" customFormat="1" ht="21" customHeight="1">
      <c r="B93" s="116"/>
      <c r="C93" s="89"/>
      <c r="D93" s="89" t="s">
        <v>125</v>
      </c>
      <c r="E93" s="89"/>
      <c r="F93" s="89"/>
      <c r="G93" s="89"/>
      <c r="H93" s="89"/>
      <c r="I93" s="89"/>
      <c r="J93" s="89"/>
      <c r="K93" s="89"/>
      <c r="L93" s="89"/>
      <c r="M93" s="89"/>
      <c r="N93" s="194">
        <f>$N$163</f>
        <v>0</v>
      </c>
      <c r="O93" s="211"/>
      <c r="P93" s="211"/>
      <c r="Q93" s="211"/>
      <c r="R93" s="117"/>
      <c r="T93" s="89"/>
      <c r="U93" s="89"/>
    </row>
    <row r="94" spans="2:21" s="115" customFormat="1" ht="21" customHeight="1">
      <c r="B94" s="116"/>
      <c r="C94" s="89"/>
      <c r="D94" s="89" t="s">
        <v>126</v>
      </c>
      <c r="E94" s="89"/>
      <c r="F94" s="89"/>
      <c r="G94" s="89"/>
      <c r="H94" s="89"/>
      <c r="I94" s="89"/>
      <c r="J94" s="89"/>
      <c r="K94" s="89"/>
      <c r="L94" s="89"/>
      <c r="M94" s="89"/>
      <c r="N94" s="194">
        <f>$N$166</f>
        <v>0</v>
      </c>
      <c r="O94" s="211"/>
      <c r="P94" s="211"/>
      <c r="Q94" s="211"/>
      <c r="R94" s="117"/>
      <c r="T94" s="89"/>
      <c r="U94" s="89"/>
    </row>
    <row r="95" spans="2:21" s="115" customFormat="1" ht="21" customHeight="1">
      <c r="B95" s="116"/>
      <c r="C95" s="89"/>
      <c r="D95" s="89" t="s">
        <v>127</v>
      </c>
      <c r="E95" s="89"/>
      <c r="F95" s="89"/>
      <c r="G95" s="89"/>
      <c r="H95" s="89"/>
      <c r="I95" s="89"/>
      <c r="J95" s="89"/>
      <c r="K95" s="89"/>
      <c r="L95" s="89"/>
      <c r="M95" s="89"/>
      <c r="N95" s="194">
        <f>$N$180</f>
        <v>0</v>
      </c>
      <c r="O95" s="211"/>
      <c r="P95" s="211"/>
      <c r="Q95" s="211"/>
      <c r="R95" s="117"/>
      <c r="T95" s="89"/>
      <c r="U95" s="89"/>
    </row>
    <row r="96" spans="2:21" s="115" customFormat="1" ht="15.75" customHeight="1">
      <c r="B96" s="116"/>
      <c r="C96" s="89"/>
      <c r="D96" s="89" t="s">
        <v>128</v>
      </c>
      <c r="E96" s="89"/>
      <c r="F96" s="89"/>
      <c r="G96" s="89"/>
      <c r="H96" s="89"/>
      <c r="I96" s="89"/>
      <c r="J96" s="89"/>
      <c r="K96" s="89"/>
      <c r="L96" s="89"/>
      <c r="M96" s="89"/>
      <c r="N96" s="194">
        <f>$N$203</f>
        <v>0</v>
      </c>
      <c r="O96" s="211"/>
      <c r="P96" s="211"/>
      <c r="Q96" s="211"/>
      <c r="R96" s="117"/>
      <c r="T96" s="89"/>
      <c r="U96" s="89"/>
    </row>
    <row r="97" spans="2:21" s="76" customFormat="1" ht="25.5" customHeight="1">
      <c r="B97" s="112"/>
      <c r="C97" s="113"/>
      <c r="D97" s="113" t="s">
        <v>129</v>
      </c>
      <c r="E97" s="113"/>
      <c r="F97" s="113"/>
      <c r="G97" s="113"/>
      <c r="H97" s="113"/>
      <c r="I97" s="113"/>
      <c r="J97" s="113"/>
      <c r="K97" s="113"/>
      <c r="L97" s="113"/>
      <c r="M97" s="113"/>
      <c r="N97" s="209">
        <f>$N$205</f>
        <v>0</v>
      </c>
      <c r="O97" s="210"/>
      <c r="P97" s="210"/>
      <c r="Q97" s="210"/>
      <c r="R97" s="114"/>
      <c r="T97" s="113"/>
      <c r="U97" s="113"/>
    </row>
    <row r="98" spans="2:21" s="115" customFormat="1" ht="21" customHeight="1">
      <c r="B98" s="116"/>
      <c r="C98" s="89"/>
      <c r="D98" s="89" t="s">
        <v>130</v>
      </c>
      <c r="E98" s="89"/>
      <c r="F98" s="89"/>
      <c r="G98" s="89"/>
      <c r="H98" s="89"/>
      <c r="I98" s="89"/>
      <c r="J98" s="89"/>
      <c r="K98" s="89"/>
      <c r="L98" s="89"/>
      <c r="M98" s="89"/>
      <c r="N98" s="194">
        <f>$N$206</f>
        <v>0</v>
      </c>
      <c r="O98" s="211"/>
      <c r="P98" s="211"/>
      <c r="Q98" s="211"/>
      <c r="R98" s="117"/>
      <c r="T98" s="89"/>
      <c r="U98" s="89"/>
    </row>
    <row r="99" spans="2:21" s="115" customFormat="1" ht="21" customHeight="1">
      <c r="B99" s="116"/>
      <c r="C99" s="89"/>
      <c r="D99" s="89" t="s">
        <v>131</v>
      </c>
      <c r="E99" s="89"/>
      <c r="F99" s="89"/>
      <c r="G99" s="89"/>
      <c r="H99" s="89"/>
      <c r="I99" s="89"/>
      <c r="J99" s="89"/>
      <c r="K99" s="89"/>
      <c r="L99" s="89"/>
      <c r="M99" s="89"/>
      <c r="N99" s="194">
        <f>$N$208</f>
        <v>0</v>
      </c>
      <c r="O99" s="211"/>
      <c r="P99" s="211"/>
      <c r="Q99" s="211"/>
      <c r="R99" s="117"/>
      <c r="T99" s="89"/>
      <c r="U99" s="89"/>
    </row>
    <row r="100" spans="2:21" s="115" customFormat="1" ht="21" customHeight="1">
      <c r="B100" s="116"/>
      <c r="C100" s="89"/>
      <c r="D100" s="89" t="s">
        <v>132</v>
      </c>
      <c r="E100" s="89"/>
      <c r="F100" s="89"/>
      <c r="G100" s="89"/>
      <c r="H100" s="89"/>
      <c r="I100" s="89"/>
      <c r="J100" s="89"/>
      <c r="K100" s="89"/>
      <c r="L100" s="89"/>
      <c r="M100" s="89"/>
      <c r="N100" s="194">
        <f>$N$210</f>
        <v>0</v>
      </c>
      <c r="O100" s="211"/>
      <c r="P100" s="211"/>
      <c r="Q100" s="211"/>
      <c r="R100" s="117"/>
      <c r="T100" s="89"/>
      <c r="U100" s="89"/>
    </row>
    <row r="101" spans="2:21" s="115" customFormat="1" ht="21" customHeight="1">
      <c r="B101" s="116"/>
      <c r="C101" s="89"/>
      <c r="D101" s="89" t="s">
        <v>133</v>
      </c>
      <c r="E101" s="89"/>
      <c r="F101" s="89"/>
      <c r="G101" s="89"/>
      <c r="H101" s="89"/>
      <c r="I101" s="89"/>
      <c r="J101" s="89"/>
      <c r="K101" s="89"/>
      <c r="L101" s="89"/>
      <c r="M101" s="89"/>
      <c r="N101" s="194">
        <f>$N$212</f>
        <v>0</v>
      </c>
      <c r="O101" s="211"/>
      <c r="P101" s="211"/>
      <c r="Q101" s="211"/>
      <c r="R101" s="117"/>
      <c r="T101" s="89"/>
      <c r="U101" s="89"/>
    </row>
    <row r="102" spans="2:21" s="115" customFormat="1" ht="21" customHeight="1">
      <c r="B102" s="116"/>
      <c r="C102" s="89"/>
      <c r="D102" s="89" t="s">
        <v>134</v>
      </c>
      <c r="E102" s="89"/>
      <c r="F102" s="89"/>
      <c r="G102" s="89"/>
      <c r="H102" s="89"/>
      <c r="I102" s="89"/>
      <c r="J102" s="89"/>
      <c r="K102" s="89"/>
      <c r="L102" s="89"/>
      <c r="M102" s="89"/>
      <c r="N102" s="194">
        <f>$N$214</f>
        <v>0</v>
      </c>
      <c r="O102" s="211"/>
      <c r="P102" s="211"/>
      <c r="Q102" s="211"/>
      <c r="R102" s="117"/>
      <c r="T102" s="89"/>
      <c r="U102" s="89"/>
    </row>
    <row r="103" spans="2:21" s="115" customFormat="1" ht="21" customHeight="1">
      <c r="B103" s="116"/>
      <c r="C103" s="89"/>
      <c r="D103" s="89" t="s">
        <v>135</v>
      </c>
      <c r="E103" s="89"/>
      <c r="F103" s="89"/>
      <c r="G103" s="89"/>
      <c r="H103" s="89"/>
      <c r="I103" s="89"/>
      <c r="J103" s="89"/>
      <c r="K103" s="89"/>
      <c r="L103" s="89"/>
      <c r="M103" s="89"/>
      <c r="N103" s="194">
        <f>$N$225</f>
        <v>0</v>
      </c>
      <c r="O103" s="211"/>
      <c r="P103" s="211"/>
      <c r="Q103" s="211"/>
      <c r="R103" s="117"/>
      <c r="T103" s="89"/>
      <c r="U103" s="89"/>
    </row>
    <row r="104" spans="2:21" s="115" customFormat="1" ht="21" customHeight="1">
      <c r="B104" s="116"/>
      <c r="C104" s="89"/>
      <c r="D104" s="89" t="s">
        <v>136</v>
      </c>
      <c r="E104" s="89"/>
      <c r="F104" s="89"/>
      <c r="G104" s="89"/>
      <c r="H104" s="89"/>
      <c r="I104" s="89"/>
      <c r="J104" s="89"/>
      <c r="K104" s="89"/>
      <c r="L104" s="89"/>
      <c r="M104" s="89"/>
      <c r="N104" s="194">
        <f>$N$236</f>
        <v>0</v>
      </c>
      <c r="O104" s="211"/>
      <c r="P104" s="211"/>
      <c r="Q104" s="211"/>
      <c r="R104" s="117"/>
      <c r="T104" s="89"/>
      <c r="U104" s="89"/>
    </row>
    <row r="105" spans="2:21" s="76" customFormat="1" ht="25.5" customHeight="1">
      <c r="B105" s="112"/>
      <c r="C105" s="113"/>
      <c r="D105" s="113" t="s">
        <v>137</v>
      </c>
      <c r="E105" s="113"/>
      <c r="F105" s="113"/>
      <c r="G105" s="113"/>
      <c r="H105" s="113"/>
      <c r="I105" s="113"/>
      <c r="J105" s="113"/>
      <c r="K105" s="113"/>
      <c r="L105" s="113"/>
      <c r="M105" s="113"/>
      <c r="N105" s="209">
        <f>$N$238</f>
        <v>0</v>
      </c>
      <c r="O105" s="210"/>
      <c r="P105" s="210"/>
      <c r="Q105" s="210"/>
      <c r="R105" s="114"/>
      <c r="T105" s="113"/>
      <c r="U105" s="113"/>
    </row>
    <row r="106" spans="2:21" s="115" customFormat="1" ht="21" customHeight="1">
      <c r="B106" s="116"/>
      <c r="C106" s="89"/>
      <c r="D106" s="89" t="s">
        <v>138</v>
      </c>
      <c r="E106" s="89"/>
      <c r="F106" s="89"/>
      <c r="G106" s="89"/>
      <c r="H106" s="89"/>
      <c r="I106" s="89"/>
      <c r="J106" s="89"/>
      <c r="K106" s="89"/>
      <c r="L106" s="89"/>
      <c r="M106" s="89"/>
      <c r="N106" s="194">
        <f>$N$239</f>
        <v>0</v>
      </c>
      <c r="O106" s="211"/>
      <c r="P106" s="211"/>
      <c r="Q106" s="211"/>
      <c r="R106" s="117"/>
      <c r="T106" s="89"/>
      <c r="U106" s="89"/>
    </row>
    <row r="107" spans="2:21" s="115" customFormat="1" ht="21" customHeight="1">
      <c r="B107" s="116"/>
      <c r="C107" s="89"/>
      <c r="D107" s="89" t="s">
        <v>139</v>
      </c>
      <c r="E107" s="89"/>
      <c r="F107" s="89"/>
      <c r="G107" s="89"/>
      <c r="H107" s="89"/>
      <c r="I107" s="89"/>
      <c r="J107" s="89"/>
      <c r="K107" s="89"/>
      <c r="L107" s="89"/>
      <c r="M107" s="89"/>
      <c r="N107" s="194">
        <f>$N$244</f>
        <v>0</v>
      </c>
      <c r="O107" s="211"/>
      <c r="P107" s="211"/>
      <c r="Q107" s="211"/>
      <c r="R107" s="117"/>
      <c r="T107" s="89"/>
      <c r="U107" s="89"/>
    </row>
    <row r="108" spans="2:21" s="76" customFormat="1" ht="25.5" customHeight="1">
      <c r="B108" s="112"/>
      <c r="C108" s="113"/>
      <c r="D108" s="113" t="s">
        <v>140</v>
      </c>
      <c r="E108" s="113"/>
      <c r="F108" s="113"/>
      <c r="G108" s="113"/>
      <c r="H108" s="113"/>
      <c r="I108" s="113"/>
      <c r="J108" s="113"/>
      <c r="K108" s="113"/>
      <c r="L108" s="113"/>
      <c r="M108" s="113"/>
      <c r="N108" s="209">
        <f>$N$247</f>
        <v>0</v>
      </c>
      <c r="O108" s="210"/>
      <c r="P108" s="210"/>
      <c r="Q108" s="210"/>
      <c r="R108" s="114"/>
      <c r="T108" s="113"/>
      <c r="U108" s="113"/>
    </row>
    <row r="109" spans="2:21" s="115" customFormat="1" ht="21" customHeight="1">
      <c r="B109" s="116"/>
      <c r="C109" s="89"/>
      <c r="D109" s="89" t="s">
        <v>141</v>
      </c>
      <c r="E109" s="89"/>
      <c r="F109" s="89"/>
      <c r="G109" s="89"/>
      <c r="H109" s="89"/>
      <c r="I109" s="89"/>
      <c r="J109" s="89"/>
      <c r="K109" s="89"/>
      <c r="L109" s="89"/>
      <c r="M109" s="89"/>
      <c r="N109" s="194">
        <f>$N$248</f>
        <v>0</v>
      </c>
      <c r="O109" s="211"/>
      <c r="P109" s="211"/>
      <c r="Q109" s="211"/>
      <c r="R109" s="117"/>
      <c r="T109" s="89"/>
      <c r="U109" s="89"/>
    </row>
    <row r="110" spans="2:21" s="76" customFormat="1" ht="22.5" customHeight="1">
      <c r="B110" s="112"/>
      <c r="C110" s="113"/>
      <c r="D110" s="113" t="s">
        <v>142</v>
      </c>
      <c r="E110" s="113"/>
      <c r="F110" s="113"/>
      <c r="G110" s="113"/>
      <c r="H110" s="113"/>
      <c r="I110" s="113"/>
      <c r="J110" s="113"/>
      <c r="K110" s="113"/>
      <c r="L110" s="113"/>
      <c r="M110" s="113"/>
      <c r="N110" s="212">
        <f>$N$250</f>
        <v>0</v>
      </c>
      <c r="O110" s="210"/>
      <c r="P110" s="210"/>
      <c r="Q110" s="210"/>
      <c r="R110" s="114"/>
      <c r="T110" s="113"/>
      <c r="U110" s="113"/>
    </row>
    <row r="111" spans="2:21" s="6" customFormat="1" ht="22.5" customHeight="1">
      <c r="B111" s="23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5"/>
      <c r="T111" s="24"/>
      <c r="U111" s="24"/>
    </row>
    <row r="112" spans="2:21" s="6" customFormat="1" ht="30" customHeight="1">
      <c r="B112" s="23"/>
      <c r="C112" s="71" t="s">
        <v>143</v>
      </c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196">
        <f>ROUND($N$113+$N$114+$N$115+$N$116+$N$117+$N$118,2)</f>
        <v>0</v>
      </c>
      <c r="O112" s="180"/>
      <c r="P112" s="180"/>
      <c r="Q112" s="180"/>
      <c r="R112" s="25"/>
      <c r="T112" s="118"/>
      <c r="U112" s="119" t="s">
        <v>44</v>
      </c>
    </row>
    <row r="113" spans="2:62" s="6" customFormat="1" ht="18.75" customHeight="1">
      <c r="B113" s="23"/>
      <c r="C113" s="24"/>
      <c r="D113" s="195" t="s">
        <v>144</v>
      </c>
      <c r="E113" s="180"/>
      <c r="F113" s="180"/>
      <c r="G113" s="180"/>
      <c r="H113" s="180"/>
      <c r="I113" s="24"/>
      <c r="J113" s="24"/>
      <c r="K113" s="24"/>
      <c r="L113" s="24"/>
      <c r="M113" s="24"/>
      <c r="N113" s="193">
        <f>ROUND($N$88*$T$113,2)</f>
        <v>0</v>
      </c>
      <c r="O113" s="180"/>
      <c r="P113" s="180"/>
      <c r="Q113" s="180"/>
      <c r="R113" s="25"/>
      <c r="T113" s="120"/>
      <c r="U113" s="121" t="s">
        <v>45</v>
      </c>
      <c r="AY113" s="6" t="s">
        <v>145</v>
      </c>
      <c r="BE113" s="93">
        <f>IF($U$113="základní",$N$113,0)</f>
        <v>0</v>
      </c>
      <c r="BF113" s="93">
        <f>IF($U$113="snížená",$N$113,0)</f>
        <v>0</v>
      </c>
      <c r="BG113" s="93">
        <f>IF($U$113="zákl. přenesená",$N$113,0)</f>
        <v>0</v>
      </c>
      <c r="BH113" s="93">
        <f>IF($U$113="sníž. přenesená",$N$113,0)</f>
        <v>0</v>
      </c>
      <c r="BI113" s="93">
        <f>IF($U$113="nulová",$N$113,0)</f>
        <v>0</v>
      </c>
      <c r="BJ113" s="6" t="s">
        <v>22</v>
      </c>
    </row>
    <row r="114" spans="2:62" s="6" customFormat="1" ht="18.75" customHeight="1">
      <c r="B114" s="23"/>
      <c r="C114" s="24"/>
      <c r="D114" s="195" t="s">
        <v>146</v>
      </c>
      <c r="E114" s="180"/>
      <c r="F114" s="180"/>
      <c r="G114" s="180"/>
      <c r="H114" s="180"/>
      <c r="I114" s="24"/>
      <c r="J114" s="24"/>
      <c r="K114" s="24"/>
      <c r="L114" s="24"/>
      <c r="M114" s="24"/>
      <c r="N114" s="193">
        <f>ROUND($N$88*$T$114,2)</f>
        <v>0</v>
      </c>
      <c r="O114" s="180"/>
      <c r="P114" s="180"/>
      <c r="Q114" s="180"/>
      <c r="R114" s="25"/>
      <c r="T114" s="120"/>
      <c r="U114" s="121" t="s">
        <v>45</v>
      </c>
      <c r="AY114" s="6" t="s">
        <v>145</v>
      </c>
      <c r="BE114" s="93">
        <f>IF($U$114="základní",$N$114,0)</f>
        <v>0</v>
      </c>
      <c r="BF114" s="93">
        <f>IF($U$114="snížená",$N$114,0)</f>
        <v>0</v>
      </c>
      <c r="BG114" s="93">
        <f>IF($U$114="zákl. přenesená",$N$114,0)</f>
        <v>0</v>
      </c>
      <c r="BH114" s="93">
        <f>IF($U$114="sníž. přenesená",$N$114,0)</f>
        <v>0</v>
      </c>
      <c r="BI114" s="93">
        <f>IF($U$114="nulová",$N$114,0)</f>
        <v>0</v>
      </c>
      <c r="BJ114" s="6" t="s">
        <v>22</v>
      </c>
    </row>
    <row r="115" spans="2:62" s="6" customFormat="1" ht="18.75" customHeight="1">
      <c r="B115" s="23"/>
      <c r="C115" s="24"/>
      <c r="D115" s="195" t="s">
        <v>147</v>
      </c>
      <c r="E115" s="180"/>
      <c r="F115" s="180"/>
      <c r="G115" s="180"/>
      <c r="H115" s="180"/>
      <c r="I115" s="24"/>
      <c r="J115" s="24"/>
      <c r="K115" s="24"/>
      <c r="L115" s="24"/>
      <c r="M115" s="24"/>
      <c r="N115" s="193">
        <f>ROUND($N$88*$T$115,2)</f>
        <v>0</v>
      </c>
      <c r="O115" s="180"/>
      <c r="P115" s="180"/>
      <c r="Q115" s="180"/>
      <c r="R115" s="25"/>
      <c r="T115" s="120"/>
      <c r="U115" s="121" t="s">
        <v>45</v>
      </c>
      <c r="AY115" s="6" t="s">
        <v>145</v>
      </c>
      <c r="BE115" s="93">
        <f>IF($U$115="základní",$N$115,0)</f>
        <v>0</v>
      </c>
      <c r="BF115" s="93">
        <f>IF($U$115="snížená",$N$115,0)</f>
        <v>0</v>
      </c>
      <c r="BG115" s="93">
        <f>IF($U$115="zákl. přenesená",$N$115,0)</f>
        <v>0</v>
      </c>
      <c r="BH115" s="93">
        <f>IF($U$115="sníž. přenesená",$N$115,0)</f>
        <v>0</v>
      </c>
      <c r="BI115" s="93">
        <f>IF($U$115="nulová",$N$115,0)</f>
        <v>0</v>
      </c>
      <c r="BJ115" s="6" t="s">
        <v>22</v>
      </c>
    </row>
    <row r="116" spans="2:62" s="6" customFormat="1" ht="18.75" customHeight="1">
      <c r="B116" s="23"/>
      <c r="C116" s="24"/>
      <c r="D116" s="195" t="s">
        <v>148</v>
      </c>
      <c r="E116" s="180"/>
      <c r="F116" s="180"/>
      <c r="G116" s="180"/>
      <c r="H116" s="180"/>
      <c r="I116" s="24"/>
      <c r="J116" s="24"/>
      <c r="K116" s="24"/>
      <c r="L116" s="24"/>
      <c r="M116" s="24"/>
      <c r="N116" s="193">
        <f>ROUND($N$88*$T$116,2)</f>
        <v>0</v>
      </c>
      <c r="O116" s="180"/>
      <c r="P116" s="180"/>
      <c r="Q116" s="180"/>
      <c r="R116" s="25"/>
      <c r="T116" s="120"/>
      <c r="U116" s="121" t="s">
        <v>45</v>
      </c>
      <c r="AY116" s="6" t="s">
        <v>145</v>
      </c>
      <c r="BE116" s="93">
        <f>IF($U$116="základní",$N$116,0)</f>
        <v>0</v>
      </c>
      <c r="BF116" s="93">
        <f>IF($U$116="snížená",$N$116,0)</f>
        <v>0</v>
      </c>
      <c r="BG116" s="93">
        <f>IF($U$116="zákl. přenesená",$N$116,0)</f>
        <v>0</v>
      </c>
      <c r="BH116" s="93">
        <f>IF($U$116="sníž. přenesená",$N$116,0)</f>
        <v>0</v>
      </c>
      <c r="BI116" s="93">
        <f>IF($U$116="nulová",$N$116,0)</f>
        <v>0</v>
      </c>
      <c r="BJ116" s="6" t="s">
        <v>22</v>
      </c>
    </row>
    <row r="117" spans="2:62" s="6" customFormat="1" ht="18.75" customHeight="1">
      <c r="B117" s="23"/>
      <c r="C117" s="24"/>
      <c r="D117" s="195" t="s">
        <v>149</v>
      </c>
      <c r="E117" s="180"/>
      <c r="F117" s="180"/>
      <c r="G117" s="180"/>
      <c r="H117" s="180"/>
      <c r="I117" s="24"/>
      <c r="J117" s="24"/>
      <c r="K117" s="24"/>
      <c r="L117" s="24"/>
      <c r="M117" s="24"/>
      <c r="N117" s="193">
        <f>ROUND($N$88*$T$117,2)</f>
        <v>0</v>
      </c>
      <c r="O117" s="180"/>
      <c r="P117" s="180"/>
      <c r="Q117" s="180"/>
      <c r="R117" s="25"/>
      <c r="T117" s="120"/>
      <c r="U117" s="121" t="s">
        <v>45</v>
      </c>
      <c r="AY117" s="6" t="s">
        <v>145</v>
      </c>
      <c r="BE117" s="93">
        <f>IF($U$117="základní",$N$117,0)</f>
        <v>0</v>
      </c>
      <c r="BF117" s="93">
        <f>IF($U$117="snížená",$N$117,0)</f>
        <v>0</v>
      </c>
      <c r="BG117" s="93">
        <f>IF($U$117="zákl. přenesená",$N$117,0)</f>
        <v>0</v>
      </c>
      <c r="BH117" s="93">
        <f>IF($U$117="sníž. přenesená",$N$117,0)</f>
        <v>0</v>
      </c>
      <c r="BI117" s="93">
        <f>IF($U$117="nulová",$N$117,0)</f>
        <v>0</v>
      </c>
      <c r="BJ117" s="6" t="s">
        <v>22</v>
      </c>
    </row>
    <row r="118" spans="2:62" s="6" customFormat="1" ht="18.75" customHeight="1">
      <c r="B118" s="23"/>
      <c r="C118" s="24"/>
      <c r="D118" s="89" t="s">
        <v>150</v>
      </c>
      <c r="E118" s="24"/>
      <c r="F118" s="24"/>
      <c r="G118" s="24"/>
      <c r="H118" s="24"/>
      <c r="I118" s="24"/>
      <c r="J118" s="24"/>
      <c r="K118" s="24"/>
      <c r="L118" s="24"/>
      <c r="M118" s="24"/>
      <c r="N118" s="193">
        <f>ROUND($N$88*$T$118,2)</f>
        <v>0</v>
      </c>
      <c r="O118" s="180"/>
      <c r="P118" s="180"/>
      <c r="Q118" s="180"/>
      <c r="R118" s="25"/>
      <c r="T118" s="122"/>
      <c r="U118" s="123" t="s">
        <v>45</v>
      </c>
      <c r="AY118" s="6" t="s">
        <v>151</v>
      </c>
      <c r="BE118" s="93">
        <f>IF($U$118="základní",$N$118,0)</f>
        <v>0</v>
      </c>
      <c r="BF118" s="93">
        <f>IF($U$118="snížená",$N$118,0)</f>
        <v>0</v>
      </c>
      <c r="BG118" s="93">
        <f>IF($U$118="zákl. přenesená",$N$118,0)</f>
        <v>0</v>
      </c>
      <c r="BH118" s="93">
        <f>IF($U$118="sníž. přenesená",$N$118,0)</f>
        <v>0</v>
      </c>
      <c r="BI118" s="93">
        <f>IF($U$118="nulová",$N$118,0)</f>
        <v>0</v>
      </c>
      <c r="BJ118" s="6" t="s">
        <v>22</v>
      </c>
    </row>
    <row r="119" spans="2:21" s="6" customFormat="1" ht="14.25" customHeight="1">
      <c r="B119" s="23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5"/>
      <c r="T119" s="24"/>
      <c r="U119" s="24"/>
    </row>
    <row r="120" spans="2:21" s="6" customFormat="1" ht="30" customHeight="1">
      <c r="B120" s="23"/>
      <c r="C120" s="100" t="s">
        <v>108</v>
      </c>
      <c r="D120" s="33"/>
      <c r="E120" s="33"/>
      <c r="F120" s="33"/>
      <c r="G120" s="33"/>
      <c r="H120" s="33"/>
      <c r="I120" s="33"/>
      <c r="J120" s="33"/>
      <c r="K120" s="33"/>
      <c r="L120" s="198">
        <f>ROUND(SUM($N$88+$N$112),2)</f>
        <v>0</v>
      </c>
      <c r="M120" s="199"/>
      <c r="N120" s="199"/>
      <c r="O120" s="199"/>
      <c r="P120" s="199"/>
      <c r="Q120" s="199"/>
      <c r="R120" s="25"/>
      <c r="T120" s="24"/>
      <c r="U120" s="24"/>
    </row>
    <row r="121" spans="2:21" s="6" customFormat="1" ht="7.5" customHeight="1">
      <c r="B121" s="46"/>
      <c r="C121" s="47"/>
      <c r="D121" s="47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8"/>
      <c r="T121" s="24"/>
      <c r="U121" s="24"/>
    </row>
    <row r="125" spans="2:18" s="6" customFormat="1" ht="7.5" customHeight="1">
      <c r="B125" s="49"/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1"/>
    </row>
    <row r="126" spans="2:18" s="6" customFormat="1" ht="37.5" customHeight="1">
      <c r="B126" s="23"/>
      <c r="C126" s="161" t="s">
        <v>152</v>
      </c>
      <c r="D126" s="180"/>
      <c r="E126" s="180"/>
      <c r="F126" s="180"/>
      <c r="G126" s="180"/>
      <c r="H126" s="180"/>
      <c r="I126" s="180"/>
      <c r="J126" s="180"/>
      <c r="K126" s="180"/>
      <c r="L126" s="180"/>
      <c r="M126" s="180"/>
      <c r="N126" s="180"/>
      <c r="O126" s="180"/>
      <c r="P126" s="180"/>
      <c r="Q126" s="180"/>
      <c r="R126" s="25"/>
    </row>
    <row r="127" spans="2:18" s="6" customFormat="1" ht="7.5" customHeight="1">
      <c r="B127" s="23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5"/>
    </row>
    <row r="128" spans="2:18" s="6" customFormat="1" ht="30.75" customHeight="1">
      <c r="B128" s="23"/>
      <c r="C128" s="18" t="s">
        <v>17</v>
      </c>
      <c r="D128" s="24"/>
      <c r="E128" s="24"/>
      <c r="F128" s="201" t="str">
        <f>$F$6</f>
        <v>Oprava fasády ZŠ Karlova č.p. 1700 ve Varnsdorfu_upravený</v>
      </c>
      <c r="G128" s="180"/>
      <c r="H128" s="180"/>
      <c r="I128" s="180"/>
      <c r="J128" s="180"/>
      <c r="K128" s="180"/>
      <c r="L128" s="180"/>
      <c r="M128" s="180"/>
      <c r="N128" s="180"/>
      <c r="O128" s="180"/>
      <c r="P128" s="180"/>
      <c r="Q128" s="24"/>
      <c r="R128" s="25"/>
    </row>
    <row r="129" spans="2:18" s="6" customFormat="1" ht="37.5" customHeight="1">
      <c r="B129" s="23"/>
      <c r="C129" s="57" t="s">
        <v>112</v>
      </c>
      <c r="D129" s="24"/>
      <c r="E129" s="24"/>
      <c r="F129" s="181" t="str">
        <f>$F$7</f>
        <v>SO 02 - Fasáda</v>
      </c>
      <c r="G129" s="180"/>
      <c r="H129" s="180"/>
      <c r="I129" s="180"/>
      <c r="J129" s="180"/>
      <c r="K129" s="180"/>
      <c r="L129" s="180"/>
      <c r="M129" s="180"/>
      <c r="N129" s="180"/>
      <c r="O129" s="180"/>
      <c r="P129" s="180"/>
      <c r="Q129" s="24"/>
      <c r="R129" s="25"/>
    </row>
    <row r="130" spans="2:18" s="6" customFormat="1" ht="7.5" customHeight="1">
      <c r="B130" s="23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5"/>
    </row>
    <row r="131" spans="2:18" s="6" customFormat="1" ht="18.75" customHeight="1">
      <c r="B131" s="23"/>
      <c r="C131" s="18" t="s">
        <v>23</v>
      </c>
      <c r="D131" s="24"/>
      <c r="E131" s="24"/>
      <c r="F131" s="16" t="str">
        <f>$F$9</f>
        <v>Varnsdorf</v>
      </c>
      <c r="G131" s="24"/>
      <c r="H131" s="24"/>
      <c r="I131" s="24"/>
      <c r="J131" s="24"/>
      <c r="K131" s="18" t="s">
        <v>25</v>
      </c>
      <c r="L131" s="24"/>
      <c r="M131" s="207" t="str">
        <f>IF($O$9="","",$O$9)</f>
        <v>15.10.2011</v>
      </c>
      <c r="N131" s="180"/>
      <c r="O131" s="180"/>
      <c r="P131" s="180"/>
      <c r="Q131" s="24"/>
      <c r="R131" s="25"/>
    </row>
    <row r="132" spans="2:18" s="6" customFormat="1" ht="7.5" customHeight="1">
      <c r="B132" s="23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5"/>
    </row>
    <row r="133" spans="2:18" s="6" customFormat="1" ht="15.75" customHeight="1">
      <c r="B133" s="23"/>
      <c r="C133" s="18" t="s">
        <v>29</v>
      </c>
      <c r="D133" s="24"/>
      <c r="E133" s="24"/>
      <c r="F133" s="16" t="str">
        <f>$E$12</f>
        <v>Město Varnsdorf, nám. E. Beneše 470, Varnsdorf</v>
      </c>
      <c r="G133" s="24"/>
      <c r="H133" s="24"/>
      <c r="I133" s="24"/>
      <c r="J133" s="24"/>
      <c r="K133" s="18" t="s">
        <v>36</v>
      </c>
      <c r="L133" s="24"/>
      <c r="M133" s="166" t="str">
        <f>$E$18</f>
        <v>ProProjekt s.r.o., Komenského 1173, Rumburk</v>
      </c>
      <c r="N133" s="180"/>
      <c r="O133" s="180"/>
      <c r="P133" s="180"/>
      <c r="Q133" s="180"/>
      <c r="R133" s="25"/>
    </row>
    <row r="134" spans="2:18" s="6" customFormat="1" ht="15" customHeight="1">
      <c r="B134" s="23"/>
      <c r="C134" s="18" t="s">
        <v>33</v>
      </c>
      <c r="D134" s="24"/>
      <c r="E134" s="24"/>
      <c r="F134" s="16" t="str">
        <f>IF($E$15="","",$E$15)</f>
        <v>bude vybrán</v>
      </c>
      <c r="G134" s="24"/>
      <c r="H134" s="24"/>
      <c r="I134" s="24"/>
      <c r="J134" s="24"/>
      <c r="K134" s="18" t="s">
        <v>38</v>
      </c>
      <c r="L134" s="24"/>
      <c r="M134" s="166" t="str">
        <f>$E$21</f>
        <v>Pavel Hruška</v>
      </c>
      <c r="N134" s="180"/>
      <c r="O134" s="180"/>
      <c r="P134" s="180"/>
      <c r="Q134" s="180"/>
      <c r="R134" s="25"/>
    </row>
    <row r="135" spans="2:18" s="6" customFormat="1" ht="11.25" customHeight="1">
      <c r="B135" s="23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5"/>
    </row>
    <row r="136" spans="2:27" s="124" customFormat="1" ht="30" customHeight="1">
      <c r="B136" s="125"/>
      <c r="C136" s="126" t="s">
        <v>153</v>
      </c>
      <c r="D136" s="127" t="s">
        <v>154</v>
      </c>
      <c r="E136" s="127" t="s">
        <v>62</v>
      </c>
      <c r="F136" s="213" t="s">
        <v>155</v>
      </c>
      <c r="G136" s="214"/>
      <c r="H136" s="214"/>
      <c r="I136" s="214"/>
      <c r="J136" s="127" t="s">
        <v>156</v>
      </c>
      <c r="K136" s="127" t="s">
        <v>157</v>
      </c>
      <c r="L136" s="213" t="s">
        <v>158</v>
      </c>
      <c r="M136" s="214"/>
      <c r="N136" s="213" t="s">
        <v>159</v>
      </c>
      <c r="O136" s="214"/>
      <c r="P136" s="214"/>
      <c r="Q136" s="215"/>
      <c r="R136" s="128"/>
      <c r="T136" s="66" t="s">
        <v>160</v>
      </c>
      <c r="U136" s="67" t="s">
        <v>44</v>
      </c>
      <c r="V136" s="67" t="s">
        <v>161</v>
      </c>
      <c r="W136" s="67" t="s">
        <v>162</v>
      </c>
      <c r="X136" s="67" t="s">
        <v>163</v>
      </c>
      <c r="Y136" s="67" t="s">
        <v>164</v>
      </c>
      <c r="Z136" s="67" t="s">
        <v>165</v>
      </c>
      <c r="AA136" s="68" t="s">
        <v>166</v>
      </c>
    </row>
    <row r="137" spans="2:63" s="6" customFormat="1" ht="30" customHeight="1">
      <c r="B137" s="23"/>
      <c r="C137" s="71" t="s">
        <v>115</v>
      </c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26">
        <f>$BK$137</f>
        <v>0</v>
      </c>
      <c r="O137" s="180"/>
      <c r="P137" s="180"/>
      <c r="Q137" s="180"/>
      <c r="R137" s="25"/>
      <c r="T137" s="70"/>
      <c r="U137" s="38"/>
      <c r="V137" s="38"/>
      <c r="W137" s="129">
        <f>$W$138+$W$205+$W$238+$W$247+$W$250</f>
        <v>0</v>
      </c>
      <c r="X137" s="38"/>
      <c r="Y137" s="129">
        <f>$Y$138+$Y$205+$Y$238+$Y$247+$Y$250</f>
        <v>407.66391000000004</v>
      </c>
      <c r="Z137" s="38"/>
      <c r="AA137" s="130">
        <f>$AA$138+$AA$205+$AA$238+$AA$247+$AA$250</f>
        <v>116.60582</v>
      </c>
      <c r="AT137" s="6" t="s">
        <v>79</v>
      </c>
      <c r="AU137" s="6" t="s">
        <v>120</v>
      </c>
      <c r="BK137" s="131">
        <f>$BK$138+$BK$205+$BK$238+$BK$247+$BK$250</f>
        <v>0</v>
      </c>
    </row>
    <row r="138" spans="2:63" s="132" customFormat="1" ht="37.5" customHeight="1">
      <c r="B138" s="133"/>
      <c r="C138" s="134"/>
      <c r="D138" s="135" t="s">
        <v>121</v>
      </c>
      <c r="E138" s="135"/>
      <c r="F138" s="135"/>
      <c r="G138" s="135"/>
      <c r="H138" s="135"/>
      <c r="I138" s="135"/>
      <c r="J138" s="135"/>
      <c r="K138" s="135"/>
      <c r="L138" s="135"/>
      <c r="M138" s="135"/>
      <c r="N138" s="212">
        <f>$BK$138</f>
        <v>0</v>
      </c>
      <c r="O138" s="227"/>
      <c r="P138" s="227"/>
      <c r="Q138" s="227"/>
      <c r="R138" s="136"/>
      <c r="T138" s="137"/>
      <c r="U138" s="134"/>
      <c r="V138" s="134"/>
      <c r="W138" s="138">
        <f>$W$139+$W$149+$W$154+$W$163+$W$166+$W$180</f>
        <v>0</v>
      </c>
      <c r="X138" s="134"/>
      <c r="Y138" s="138">
        <f>$Y$139+$Y$149+$Y$154+$Y$163+$Y$166+$Y$180</f>
        <v>406.90352000000007</v>
      </c>
      <c r="Z138" s="134"/>
      <c r="AA138" s="139">
        <f>$AA$139+$AA$149+$AA$154+$AA$163+$AA$166+$AA$180</f>
        <v>115.732</v>
      </c>
      <c r="AR138" s="140" t="s">
        <v>22</v>
      </c>
      <c r="AT138" s="140" t="s">
        <v>79</v>
      </c>
      <c r="AU138" s="140" t="s">
        <v>80</v>
      </c>
      <c r="AY138" s="140" t="s">
        <v>167</v>
      </c>
      <c r="BK138" s="141">
        <f>$BK$139+$BK$149+$BK$154+$BK$163+$BK$166+$BK$180</f>
        <v>0</v>
      </c>
    </row>
    <row r="139" spans="2:63" s="132" customFormat="1" ht="21" customHeight="1">
      <c r="B139" s="133"/>
      <c r="C139" s="134"/>
      <c r="D139" s="142" t="s">
        <v>122</v>
      </c>
      <c r="E139" s="142"/>
      <c r="F139" s="142"/>
      <c r="G139" s="142"/>
      <c r="H139" s="142"/>
      <c r="I139" s="142"/>
      <c r="J139" s="142"/>
      <c r="K139" s="142"/>
      <c r="L139" s="142"/>
      <c r="M139" s="142"/>
      <c r="N139" s="228">
        <f>$BK$139</f>
        <v>0</v>
      </c>
      <c r="O139" s="227"/>
      <c r="P139" s="227"/>
      <c r="Q139" s="227"/>
      <c r="R139" s="136"/>
      <c r="T139" s="137"/>
      <c r="U139" s="134"/>
      <c r="V139" s="134"/>
      <c r="W139" s="138">
        <f>SUM($W$140:$W$148)</f>
        <v>0</v>
      </c>
      <c r="X139" s="134"/>
      <c r="Y139" s="138">
        <f>SUM($Y$140:$Y$148)</f>
        <v>26.64</v>
      </c>
      <c r="Z139" s="134"/>
      <c r="AA139" s="139">
        <f>SUM($AA$140:$AA$148)</f>
        <v>0</v>
      </c>
      <c r="AR139" s="140" t="s">
        <v>22</v>
      </c>
      <c r="AT139" s="140" t="s">
        <v>79</v>
      </c>
      <c r="AU139" s="140" t="s">
        <v>22</v>
      </c>
      <c r="AY139" s="140" t="s">
        <v>167</v>
      </c>
      <c r="BK139" s="141">
        <f>SUM($BK$140:$BK$148)</f>
        <v>0</v>
      </c>
    </row>
    <row r="140" spans="2:65" s="6" customFormat="1" ht="27" customHeight="1">
      <c r="B140" s="23"/>
      <c r="C140" s="143" t="s">
        <v>22</v>
      </c>
      <c r="D140" s="143" t="s">
        <v>168</v>
      </c>
      <c r="E140" s="144" t="s">
        <v>169</v>
      </c>
      <c r="F140" s="216" t="s">
        <v>170</v>
      </c>
      <c r="G140" s="217"/>
      <c r="H140" s="217"/>
      <c r="I140" s="217"/>
      <c r="J140" s="145" t="s">
        <v>171</v>
      </c>
      <c r="K140" s="146">
        <v>16.65</v>
      </c>
      <c r="L140" s="218">
        <v>0</v>
      </c>
      <c r="M140" s="217"/>
      <c r="N140" s="219">
        <f>ROUND($L$140*$K$140,2)</f>
        <v>0</v>
      </c>
      <c r="O140" s="217"/>
      <c r="P140" s="217"/>
      <c r="Q140" s="217"/>
      <c r="R140" s="25"/>
      <c r="T140" s="147"/>
      <c r="U140" s="31" t="s">
        <v>45</v>
      </c>
      <c r="V140" s="24"/>
      <c r="W140" s="148">
        <f>$V$140*$K$140</f>
        <v>0</v>
      </c>
      <c r="X140" s="148">
        <v>0</v>
      </c>
      <c r="Y140" s="148">
        <f>$X$140*$K$140</f>
        <v>0</v>
      </c>
      <c r="Z140" s="148">
        <v>0</v>
      </c>
      <c r="AA140" s="149">
        <f>$Z$140*$K$140</f>
        <v>0</v>
      </c>
      <c r="AR140" s="6" t="s">
        <v>172</v>
      </c>
      <c r="AT140" s="6" t="s">
        <v>168</v>
      </c>
      <c r="AU140" s="6" t="s">
        <v>110</v>
      </c>
      <c r="AY140" s="6" t="s">
        <v>167</v>
      </c>
      <c r="BE140" s="93">
        <f>IF($U$140="základní",$N$140,0)</f>
        <v>0</v>
      </c>
      <c r="BF140" s="93">
        <f>IF($U$140="snížená",$N$140,0)</f>
        <v>0</v>
      </c>
      <c r="BG140" s="93">
        <f>IF($U$140="zákl. přenesená",$N$140,0)</f>
        <v>0</v>
      </c>
      <c r="BH140" s="93">
        <f>IF($U$140="sníž. přenesená",$N$140,0)</f>
        <v>0</v>
      </c>
      <c r="BI140" s="93">
        <f>IF($U$140="nulová",$N$140,0)</f>
        <v>0</v>
      </c>
      <c r="BJ140" s="6" t="s">
        <v>22</v>
      </c>
      <c r="BK140" s="93">
        <f>ROUND($L$140*$K$140,2)</f>
        <v>0</v>
      </c>
      <c r="BL140" s="6" t="s">
        <v>172</v>
      </c>
      <c r="BM140" s="6" t="s">
        <v>173</v>
      </c>
    </row>
    <row r="141" spans="2:65" s="6" customFormat="1" ht="27" customHeight="1">
      <c r="B141" s="23"/>
      <c r="C141" s="143" t="s">
        <v>110</v>
      </c>
      <c r="D141" s="143" t="s">
        <v>168</v>
      </c>
      <c r="E141" s="144" t="s">
        <v>174</v>
      </c>
      <c r="F141" s="216" t="s">
        <v>175</v>
      </c>
      <c r="G141" s="217"/>
      <c r="H141" s="217"/>
      <c r="I141" s="217"/>
      <c r="J141" s="145" t="s">
        <v>171</v>
      </c>
      <c r="K141" s="146">
        <v>16.65</v>
      </c>
      <c r="L141" s="218">
        <v>0</v>
      </c>
      <c r="M141" s="217"/>
      <c r="N141" s="219">
        <f>ROUND($L$141*$K$141,2)</f>
        <v>0</v>
      </c>
      <c r="O141" s="217"/>
      <c r="P141" s="217"/>
      <c r="Q141" s="217"/>
      <c r="R141" s="25"/>
      <c r="T141" s="147"/>
      <c r="U141" s="31" t="s">
        <v>45</v>
      </c>
      <c r="V141" s="24"/>
      <c r="W141" s="148">
        <f>$V$141*$K$141</f>
        <v>0</v>
      </c>
      <c r="X141" s="148">
        <v>0</v>
      </c>
      <c r="Y141" s="148">
        <f>$X$141*$K$141</f>
        <v>0</v>
      </c>
      <c r="Z141" s="148">
        <v>0</v>
      </c>
      <c r="AA141" s="149">
        <f>$Z$141*$K$141</f>
        <v>0</v>
      </c>
      <c r="AR141" s="6" t="s">
        <v>172</v>
      </c>
      <c r="AT141" s="6" t="s">
        <v>168</v>
      </c>
      <c r="AU141" s="6" t="s">
        <v>110</v>
      </c>
      <c r="AY141" s="6" t="s">
        <v>167</v>
      </c>
      <c r="BE141" s="93">
        <f>IF($U$141="základní",$N$141,0)</f>
        <v>0</v>
      </c>
      <c r="BF141" s="93">
        <f>IF($U$141="snížená",$N$141,0)</f>
        <v>0</v>
      </c>
      <c r="BG141" s="93">
        <f>IF($U$141="zákl. přenesená",$N$141,0)</f>
        <v>0</v>
      </c>
      <c r="BH141" s="93">
        <f>IF($U$141="sníž. přenesená",$N$141,0)</f>
        <v>0</v>
      </c>
      <c r="BI141" s="93">
        <f>IF($U$141="nulová",$N$141,0)</f>
        <v>0</v>
      </c>
      <c r="BJ141" s="6" t="s">
        <v>22</v>
      </c>
      <c r="BK141" s="93">
        <f>ROUND($L$141*$K$141,2)</f>
        <v>0</v>
      </c>
      <c r="BL141" s="6" t="s">
        <v>172</v>
      </c>
      <c r="BM141" s="6" t="s">
        <v>176</v>
      </c>
    </row>
    <row r="142" spans="2:65" s="6" customFormat="1" ht="27" customHeight="1">
      <c r="B142" s="23"/>
      <c r="C142" s="143" t="s">
        <v>177</v>
      </c>
      <c r="D142" s="143" t="s">
        <v>168</v>
      </c>
      <c r="E142" s="144" t="s">
        <v>178</v>
      </c>
      <c r="F142" s="216" t="s">
        <v>179</v>
      </c>
      <c r="G142" s="217"/>
      <c r="H142" s="217"/>
      <c r="I142" s="217"/>
      <c r="J142" s="145" t="s">
        <v>171</v>
      </c>
      <c r="K142" s="146">
        <v>16.65</v>
      </c>
      <c r="L142" s="218">
        <v>0</v>
      </c>
      <c r="M142" s="217"/>
      <c r="N142" s="219">
        <f>ROUND($L$142*$K$142,2)</f>
        <v>0</v>
      </c>
      <c r="O142" s="217"/>
      <c r="P142" s="217"/>
      <c r="Q142" s="217"/>
      <c r="R142" s="25"/>
      <c r="T142" s="147"/>
      <c r="U142" s="31" t="s">
        <v>45</v>
      </c>
      <c r="V142" s="24"/>
      <c r="W142" s="148">
        <f>$V$142*$K$142</f>
        <v>0</v>
      </c>
      <c r="X142" s="148">
        <v>0</v>
      </c>
      <c r="Y142" s="148">
        <f>$X$142*$K$142</f>
        <v>0</v>
      </c>
      <c r="Z142" s="148">
        <v>0</v>
      </c>
      <c r="AA142" s="149">
        <f>$Z$142*$K$142</f>
        <v>0</v>
      </c>
      <c r="AR142" s="6" t="s">
        <v>172</v>
      </c>
      <c r="AT142" s="6" t="s">
        <v>168</v>
      </c>
      <c r="AU142" s="6" t="s">
        <v>110</v>
      </c>
      <c r="AY142" s="6" t="s">
        <v>167</v>
      </c>
      <c r="BE142" s="93">
        <f>IF($U$142="základní",$N$142,0)</f>
        <v>0</v>
      </c>
      <c r="BF142" s="93">
        <f>IF($U$142="snížená",$N$142,0)</f>
        <v>0</v>
      </c>
      <c r="BG142" s="93">
        <f>IF($U$142="zákl. přenesená",$N$142,0)</f>
        <v>0</v>
      </c>
      <c r="BH142" s="93">
        <f>IF($U$142="sníž. přenesená",$N$142,0)</f>
        <v>0</v>
      </c>
      <c r="BI142" s="93">
        <f>IF($U$142="nulová",$N$142,0)</f>
        <v>0</v>
      </c>
      <c r="BJ142" s="6" t="s">
        <v>22</v>
      </c>
      <c r="BK142" s="93">
        <f>ROUND($L$142*$K$142,2)</f>
        <v>0</v>
      </c>
      <c r="BL142" s="6" t="s">
        <v>172</v>
      </c>
      <c r="BM142" s="6" t="s">
        <v>180</v>
      </c>
    </row>
    <row r="143" spans="2:65" s="6" customFormat="1" ht="15.75" customHeight="1">
      <c r="B143" s="23"/>
      <c r="C143" s="143" t="s">
        <v>172</v>
      </c>
      <c r="D143" s="143" t="s">
        <v>168</v>
      </c>
      <c r="E143" s="144" t="s">
        <v>181</v>
      </c>
      <c r="F143" s="216" t="s">
        <v>182</v>
      </c>
      <c r="G143" s="217"/>
      <c r="H143" s="217"/>
      <c r="I143" s="217"/>
      <c r="J143" s="145" t="s">
        <v>171</v>
      </c>
      <c r="K143" s="146">
        <v>16.65</v>
      </c>
      <c r="L143" s="218">
        <v>0</v>
      </c>
      <c r="M143" s="217"/>
      <c r="N143" s="219">
        <f>ROUND($L$143*$K$143,2)</f>
        <v>0</v>
      </c>
      <c r="O143" s="217"/>
      <c r="P143" s="217"/>
      <c r="Q143" s="217"/>
      <c r="R143" s="25"/>
      <c r="T143" s="147"/>
      <c r="U143" s="31" t="s">
        <v>45</v>
      </c>
      <c r="V143" s="24"/>
      <c r="W143" s="148">
        <f>$V$143*$K$143</f>
        <v>0</v>
      </c>
      <c r="X143" s="148">
        <v>0</v>
      </c>
      <c r="Y143" s="148">
        <f>$X$143*$K$143</f>
        <v>0</v>
      </c>
      <c r="Z143" s="148">
        <v>0</v>
      </c>
      <c r="AA143" s="149">
        <f>$Z$143*$K$143</f>
        <v>0</v>
      </c>
      <c r="AR143" s="6" t="s">
        <v>172</v>
      </c>
      <c r="AT143" s="6" t="s">
        <v>168</v>
      </c>
      <c r="AU143" s="6" t="s">
        <v>110</v>
      </c>
      <c r="AY143" s="6" t="s">
        <v>167</v>
      </c>
      <c r="BE143" s="93">
        <f>IF($U$143="základní",$N$143,0)</f>
        <v>0</v>
      </c>
      <c r="BF143" s="93">
        <f>IF($U$143="snížená",$N$143,0)</f>
        <v>0</v>
      </c>
      <c r="BG143" s="93">
        <f>IF($U$143="zákl. přenesená",$N$143,0)</f>
        <v>0</v>
      </c>
      <c r="BH143" s="93">
        <f>IF($U$143="sníž. přenesená",$N$143,0)</f>
        <v>0</v>
      </c>
      <c r="BI143" s="93">
        <f>IF($U$143="nulová",$N$143,0)</f>
        <v>0</v>
      </c>
      <c r="BJ143" s="6" t="s">
        <v>22</v>
      </c>
      <c r="BK143" s="93">
        <f>ROUND($L$143*$K$143,2)</f>
        <v>0</v>
      </c>
      <c r="BL143" s="6" t="s">
        <v>172</v>
      </c>
      <c r="BM143" s="6" t="s">
        <v>183</v>
      </c>
    </row>
    <row r="144" spans="2:65" s="6" customFormat="1" ht="15.75" customHeight="1">
      <c r="B144" s="23"/>
      <c r="C144" s="143" t="s">
        <v>184</v>
      </c>
      <c r="D144" s="143" t="s">
        <v>168</v>
      </c>
      <c r="E144" s="144" t="s">
        <v>185</v>
      </c>
      <c r="F144" s="216" t="s">
        <v>186</v>
      </c>
      <c r="G144" s="217"/>
      <c r="H144" s="217"/>
      <c r="I144" s="217"/>
      <c r="J144" s="145" t="s">
        <v>171</v>
      </c>
      <c r="K144" s="146">
        <v>16.65</v>
      </c>
      <c r="L144" s="218">
        <v>0</v>
      </c>
      <c r="M144" s="217"/>
      <c r="N144" s="219">
        <f>ROUND($L$144*$K$144,2)</f>
        <v>0</v>
      </c>
      <c r="O144" s="217"/>
      <c r="P144" s="217"/>
      <c r="Q144" s="217"/>
      <c r="R144" s="25"/>
      <c r="T144" s="147"/>
      <c r="U144" s="31" t="s">
        <v>45</v>
      </c>
      <c r="V144" s="24"/>
      <c r="W144" s="148">
        <f>$V$144*$K$144</f>
        <v>0</v>
      </c>
      <c r="X144" s="148">
        <v>0</v>
      </c>
      <c r="Y144" s="148">
        <f>$X$144*$K$144</f>
        <v>0</v>
      </c>
      <c r="Z144" s="148">
        <v>0</v>
      </c>
      <c r="AA144" s="149">
        <f>$Z$144*$K$144</f>
        <v>0</v>
      </c>
      <c r="AR144" s="6" t="s">
        <v>172</v>
      </c>
      <c r="AT144" s="6" t="s">
        <v>168</v>
      </c>
      <c r="AU144" s="6" t="s">
        <v>110</v>
      </c>
      <c r="AY144" s="6" t="s">
        <v>167</v>
      </c>
      <c r="BE144" s="93">
        <f>IF($U$144="základní",$N$144,0)</f>
        <v>0</v>
      </c>
      <c r="BF144" s="93">
        <f>IF($U$144="snížená",$N$144,0)</f>
        <v>0</v>
      </c>
      <c r="BG144" s="93">
        <f>IF($U$144="zákl. přenesená",$N$144,0)</f>
        <v>0</v>
      </c>
      <c r="BH144" s="93">
        <f>IF($U$144="sníž. přenesená",$N$144,0)</f>
        <v>0</v>
      </c>
      <c r="BI144" s="93">
        <f>IF($U$144="nulová",$N$144,0)</f>
        <v>0</v>
      </c>
      <c r="BJ144" s="6" t="s">
        <v>22</v>
      </c>
      <c r="BK144" s="93">
        <f>ROUND($L$144*$K$144,2)</f>
        <v>0</v>
      </c>
      <c r="BL144" s="6" t="s">
        <v>172</v>
      </c>
      <c r="BM144" s="6" t="s">
        <v>187</v>
      </c>
    </row>
    <row r="145" spans="2:65" s="6" customFormat="1" ht="15.75" customHeight="1">
      <c r="B145" s="23"/>
      <c r="C145" s="143" t="s">
        <v>188</v>
      </c>
      <c r="D145" s="143" t="s">
        <v>168</v>
      </c>
      <c r="E145" s="144" t="s">
        <v>189</v>
      </c>
      <c r="F145" s="216" t="s">
        <v>190</v>
      </c>
      <c r="G145" s="217"/>
      <c r="H145" s="217"/>
      <c r="I145" s="217"/>
      <c r="J145" s="145" t="s">
        <v>171</v>
      </c>
      <c r="K145" s="146">
        <v>16.65</v>
      </c>
      <c r="L145" s="218">
        <v>0</v>
      </c>
      <c r="M145" s="217"/>
      <c r="N145" s="219">
        <f>ROUND($L$145*$K$145,2)</f>
        <v>0</v>
      </c>
      <c r="O145" s="217"/>
      <c r="P145" s="217"/>
      <c r="Q145" s="217"/>
      <c r="R145" s="25"/>
      <c r="T145" s="147"/>
      <c r="U145" s="31" t="s">
        <v>45</v>
      </c>
      <c r="V145" s="24"/>
      <c r="W145" s="148">
        <f>$V$145*$K$145</f>
        <v>0</v>
      </c>
      <c r="X145" s="148">
        <v>0</v>
      </c>
      <c r="Y145" s="148">
        <f>$X$145*$K$145</f>
        <v>0</v>
      </c>
      <c r="Z145" s="148">
        <v>0</v>
      </c>
      <c r="AA145" s="149">
        <f>$Z$145*$K$145</f>
        <v>0</v>
      </c>
      <c r="AR145" s="6" t="s">
        <v>172</v>
      </c>
      <c r="AT145" s="6" t="s">
        <v>168</v>
      </c>
      <c r="AU145" s="6" t="s">
        <v>110</v>
      </c>
      <c r="AY145" s="6" t="s">
        <v>167</v>
      </c>
      <c r="BE145" s="93">
        <f>IF($U$145="základní",$N$145,0)</f>
        <v>0</v>
      </c>
      <c r="BF145" s="93">
        <f>IF($U$145="snížená",$N$145,0)</f>
        <v>0</v>
      </c>
      <c r="BG145" s="93">
        <f>IF($U$145="zákl. přenesená",$N$145,0)</f>
        <v>0</v>
      </c>
      <c r="BH145" s="93">
        <f>IF($U$145="sníž. přenesená",$N$145,0)</f>
        <v>0</v>
      </c>
      <c r="BI145" s="93">
        <f>IF($U$145="nulová",$N$145,0)</f>
        <v>0</v>
      </c>
      <c r="BJ145" s="6" t="s">
        <v>22</v>
      </c>
      <c r="BK145" s="93">
        <f>ROUND($L$145*$K$145,2)</f>
        <v>0</v>
      </c>
      <c r="BL145" s="6" t="s">
        <v>172</v>
      </c>
      <c r="BM145" s="6" t="s">
        <v>191</v>
      </c>
    </row>
    <row r="146" spans="2:65" s="6" customFormat="1" ht="27" customHeight="1">
      <c r="B146" s="23"/>
      <c r="C146" s="143" t="s">
        <v>192</v>
      </c>
      <c r="D146" s="143" t="s">
        <v>168</v>
      </c>
      <c r="E146" s="144" t="s">
        <v>193</v>
      </c>
      <c r="F146" s="216" t="s">
        <v>194</v>
      </c>
      <c r="G146" s="217"/>
      <c r="H146" s="217"/>
      <c r="I146" s="217"/>
      <c r="J146" s="145" t="s">
        <v>171</v>
      </c>
      <c r="K146" s="146">
        <v>16.65</v>
      </c>
      <c r="L146" s="218">
        <v>0</v>
      </c>
      <c r="M146" s="217"/>
      <c r="N146" s="219">
        <f>ROUND($L$146*$K$146,2)</f>
        <v>0</v>
      </c>
      <c r="O146" s="217"/>
      <c r="P146" s="217"/>
      <c r="Q146" s="217"/>
      <c r="R146" s="25"/>
      <c r="T146" s="147"/>
      <c r="U146" s="31" t="s">
        <v>45</v>
      </c>
      <c r="V146" s="24"/>
      <c r="W146" s="148">
        <f>$V$146*$K$146</f>
        <v>0</v>
      </c>
      <c r="X146" s="148">
        <v>0</v>
      </c>
      <c r="Y146" s="148">
        <f>$X$146*$K$146</f>
        <v>0</v>
      </c>
      <c r="Z146" s="148">
        <v>0</v>
      </c>
      <c r="AA146" s="149">
        <f>$Z$146*$K$146</f>
        <v>0</v>
      </c>
      <c r="AR146" s="6" t="s">
        <v>172</v>
      </c>
      <c r="AT146" s="6" t="s">
        <v>168</v>
      </c>
      <c r="AU146" s="6" t="s">
        <v>110</v>
      </c>
      <c r="AY146" s="6" t="s">
        <v>167</v>
      </c>
      <c r="BE146" s="93">
        <f>IF($U$146="základní",$N$146,0)</f>
        <v>0</v>
      </c>
      <c r="BF146" s="93">
        <f>IF($U$146="snížená",$N$146,0)</f>
        <v>0</v>
      </c>
      <c r="BG146" s="93">
        <f>IF($U$146="zákl. přenesená",$N$146,0)</f>
        <v>0</v>
      </c>
      <c r="BH146" s="93">
        <f>IF($U$146="sníž. přenesená",$N$146,0)</f>
        <v>0</v>
      </c>
      <c r="BI146" s="93">
        <f>IF($U$146="nulová",$N$146,0)</f>
        <v>0</v>
      </c>
      <c r="BJ146" s="6" t="s">
        <v>22</v>
      </c>
      <c r="BK146" s="93">
        <f>ROUND($L$146*$K$146,2)</f>
        <v>0</v>
      </c>
      <c r="BL146" s="6" t="s">
        <v>172</v>
      </c>
      <c r="BM146" s="6" t="s">
        <v>195</v>
      </c>
    </row>
    <row r="147" spans="2:65" s="6" customFormat="1" ht="15.75" customHeight="1">
      <c r="B147" s="23"/>
      <c r="C147" s="150" t="s">
        <v>196</v>
      </c>
      <c r="D147" s="150" t="s">
        <v>197</v>
      </c>
      <c r="E147" s="151" t="s">
        <v>198</v>
      </c>
      <c r="F147" s="220" t="s">
        <v>199</v>
      </c>
      <c r="G147" s="221"/>
      <c r="H147" s="221"/>
      <c r="I147" s="221"/>
      <c r="J147" s="152" t="s">
        <v>200</v>
      </c>
      <c r="K147" s="153">
        <v>26.64</v>
      </c>
      <c r="L147" s="222">
        <v>0</v>
      </c>
      <c r="M147" s="221"/>
      <c r="N147" s="223">
        <f>ROUND($L$147*$K$147,2)</f>
        <v>0</v>
      </c>
      <c r="O147" s="217"/>
      <c r="P147" s="217"/>
      <c r="Q147" s="217"/>
      <c r="R147" s="25"/>
      <c r="T147" s="147"/>
      <c r="U147" s="31" t="s">
        <v>45</v>
      </c>
      <c r="V147" s="24"/>
      <c r="W147" s="148">
        <f>$V$147*$K$147</f>
        <v>0</v>
      </c>
      <c r="X147" s="148">
        <v>1</v>
      </c>
      <c r="Y147" s="148">
        <f>$X$147*$K$147</f>
        <v>26.64</v>
      </c>
      <c r="Z147" s="148">
        <v>0</v>
      </c>
      <c r="AA147" s="149">
        <f>$Z$147*$K$147</f>
        <v>0</v>
      </c>
      <c r="AR147" s="6" t="s">
        <v>196</v>
      </c>
      <c r="AT147" s="6" t="s">
        <v>197</v>
      </c>
      <c r="AU147" s="6" t="s">
        <v>110</v>
      </c>
      <c r="AY147" s="6" t="s">
        <v>167</v>
      </c>
      <c r="BE147" s="93">
        <f>IF($U$147="základní",$N$147,0)</f>
        <v>0</v>
      </c>
      <c r="BF147" s="93">
        <f>IF($U$147="snížená",$N$147,0)</f>
        <v>0</v>
      </c>
      <c r="BG147" s="93">
        <f>IF($U$147="zákl. přenesená",$N$147,0)</f>
        <v>0</v>
      </c>
      <c r="BH147" s="93">
        <f>IF($U$147="sníž. přenesená",$N$147,0)</f>
        <v>0</v>
      </c>
      <c r="BI147" s="93">
        <f>IF($U$147="nulová",$N$147,0)</f>
        <v>0</v>
      </c>
      <c r="BJ147" s="6" t="s">
        <v>22</v>
      </c>
      <c r="BK147" s="93">
        <f>ROUND($L$147*$K$147,2)</f>
        <v>0</v>
      </c>
      <c r="BL147" s="6" t="s">
        <v>172</v>
      </c>
      <c r="BM147" s="6" t="s">
        <v>201</v>
      </c>
    </row>
    <row r="148" spans="2:65" s="6" customFormat="1" ht="39" customHeight="1">
      <c r="B148" s="23"/>
      <c r="C148" s="143" t="s">
        <v>202</v>
      </c>
      <c r="D148" s="143" t="s">
        <v>168</v>
      </c>
      <c r="E148" s="144" t="s">
        <v>203</v>
      </c>
      <c r="F148" s="216" t="s">
        <v>204</v>
      </c>
      <c r="G148" s="217"/>
      <c r="H148" s="217"/>
      <c r="I148" s="217"/>
      <c r="J148" s="145" t="s">
        <v>205</v>
      </c>
      <c r="K148" s="146">
        <v>111</v>
      </c>
      <c r="L148" s="218">
        <v>0</v>
      </c>
      <c r="M148" s="217"/>
      <c r="N148" s="219">
        <f>ROUND($L$148*$K$148,2)</f>
        <v>0</v>
      </c>
      <c r="O148" s="217"/>
      <c r="P148" s="217"/>
      <c r="Q148" s="217"/>
      <c r="R148" s="25"/>
      <c r="T148" s="147"/>
      <c r="U148" s="31" t="s">
        <v>45</v>
      </c>
      <c r="V148" s="24"/>
      <c r="W148" s="148">
        <f>$V$148*$K$148</f>
        <v>0</v>
      </c>
      <c r="X148" s="148">
        <v>0</v>
      </c>
      <c r="Y148" s="148">
        <f>$X$148*$K$148</f>
        <v>0</v>
      </c>
      <c r="Z148" s="148">
        <v>0</v>
      </c>
      <c r="AA148" s="149">
        <f>$Z$148*$K$148</f>
        <v>0</v>
      </c>
      <c r="AR148" s="6" t="s">
        <v>172</v>
      </c>
      <c r="AT148" s="6" t="s">
        <v>168</v>
      </c>
      <c r="AU148" s="6" t="s">
        <v>110</v>
      </c>
      <c r="AY148" s="6" t="s">
        <v>167</v>
      </c>
      <c r="BE148" s="93">
        <f>IF($U$148="základní",$N$148,0)</f>
        <v>0</v>
      </c>
      <c r="BF148" s="93">
        <f>IF($U$148="snížená",$N$148,0)</f>
        <v>0</v>
      </c>
      <c r="BG148" s="93">
        <f>IF($U$148="zákl. přenesená",$N$148,0)</f>
        <v>0</v>
      </c>
      <c r="BH148" s="93">
        <f>IF($U$148="sníž. přenesená",$N$148,0)</f>
        <v>0</v>
      </c>
      <c r="BI148" s="93">
        <f>IF($U$148="nulová",$N$148,0)</f>
        <v>0</v>
      </c>
      <c r="BJ148" s="6" t="s">
        <v>22</v>
      </c>
      <c r="BK148" s="93">
        <f>ROUND($L$148*$K$148,2)</f>
        <v>0</v>
      </c>
      <c r="BL148" s="6" t="s">
        <v>172</v>
      </c>
      <c r="BM148" s="6" t="s">
        <v>206</v>
      </c>
    </row>
    <row r="149" spans="2:63" s="132" customFormat="1" ht="30.75" customHeight="1">
      <c r="B149" s="133"/>
      <c r="C149" s="134"/>
      <c r="D149" s="142" t="s">
        <v>123</v>
      </c>
      <c r="E149" s="142"/>
      <c r="F149" s="142"/>
      <c r="G149" s="142"/>
      <c r="H149" s="142"/>
      <c r="I149" s="142"/>
      <c r="J149" s="142"/>
      <c r="K149" s="142"/>
      <c r="L149" s="142"/>
      <c r="M149" s="142"/>
      <c r="N149" s="228">
        <f>$BK$149</f>
        <v>0</v>
      </c>
      <c r="O149" s="227"/>
      <c r="P149" s="227"/>
      <c r="Q149" s="227"/>
      <c r="R149" s="136"/>
      <c r="T149" s="137"/>
      <c r="U149" s="134"/>
      <c r="V149" s="134"/>
      <c r="W149" s="138">
        <f>SUM($W$150:$W$153)</f>
        <v>0</v>
      </c>
      <c r="X149" s="134"/>
      <c r="Y149" s="138">
        <f>SUM($Y$150:$Y$153)</f>
        <v>7.6237699999999995</v>
      </c>
      <c r="Z149" s="134"/>
      <c r="AA149" s="139">
        <f>SUM($AA$150:$AA$153)</f>
        <v>0</v>
      </c>
      <c r="AR149" s="140" t="s">
        <v>22</v>
      </c>
      <c r="AT149" s="140" t="s">
        <v>79</v>
      </c>
      <c r="AU149" s="140" t="s">
        <v>22</v>
      </c>
      <c r="AY149" s="140" t="s">
        <v>167</v>
      </c>
      <c r="BK149" s="141">
        <f>SUM($BK$150:$BK$153)</f>
        <v>0</v>
      </c>
    </row>
    <row r="150" spans="2:65" s="6" customFormat="1" ht="15.75" customHeight="1">
      <c r="B150" s="23"/>
      <c r="C150" s="143" t="s">
        <v>27</v>
      </c>
      <c r="D150" s="143" t="s">
        <v>168</v>
      </c>
      <c r="E150" s="144" t="s">
        <v>207</v>
      </c>
      <c r="F150" s="216" t="s">
        <v>208</v>
      </c>
      <c r="G150" s="217"/>
      <c r="H150" s="217"/>
      <c r="I150" s="217"/>
      <c r="J150" s="145" t="s">
        <v>205</v>
      </c>
      <c r="K150" s="146">
        <v>119</v>
      </c>
      <c r="L150" s="218">
        <v>0</v>
      </c>
      <c r="M150" s="217"/>
      <c r="N150" s="219">
        <f>ROUND($L$150*$K$150,2)</f>
        <v>0</v>
      </c>
      <c r="O150" s="217"/>
      <c r="P150" s="217"/>
      <c r="Q150" s="217"/>
      <c r="R150" s="25"/>
      <c r="T150" s="147"/>
      <c r="U150" s="31" t="s">
        <v>45</v>
      </c>
      <c r="V150" s="24"/>
      <c r="W150" s="148">
        <f>$V$150*$K$150</f>
        <v>0</v>
      </c>
      <c r="X150" s="148">
        <v>0.05039</v>
      </c>
      <c r="Y150" s="148">
        <f>$X$150*$K$150</f>
        <v>5.99641</v>
      </c>
      <c r="Z150" s="148">
        <v>0</v>
      </c>
      <c r="AA150" s="149">
        <f>$Z$150*$K$150</f>
        <v>0</v>
      </c>
      <c r="AR150" s="6" t="s">
        <v>172</v>
      </c>
      <c r="AT150" s="6" t="s">
        <v>168</v>
      </c>
      <c r="AU150" s="6" t="s">
        <v>110</v>
      </c>
      <c r="AY150" s="6" t="s">
        <v>167</v>
      </c>
      <c r="BE150" s="93">
        <f>IF($U$150="základní",$N$150,0)</f>
        <v>0</v>
      </c>
      <c r="BF150" s="93">
        <f>IF($U$150="snížená",$N$150,0)</f>
        <v>0</v>
      </c>
      <c r="BG150" s="93">
        <f>IF($U$150="zákl. přenesená",$N$150,0)</f>
        <v>0</v>
      </c>
      <c r="BH150" s="93">
        <f>IF($U$150="sníž. přenesená",$N$150,0)</f>
        <v>0</v>
      </c>
      <c r="BI150" s="93">
        <f>IF($U$150="nulová",$N$150,0)</f>
        <v>0</v>
      </c>
      <c r="BJ150" s="6" t="s">
        <v>22</v>
      </c>
      <c r="BK150" s="93">
        <f>ROUND($L$150*$K$150,2)</f>
        <v>0</v>
      </c>
      <c r="BL150" s="6" t="s">
        <v>172</v>
      </c>
      <c r="BM150" s="6" t="s">
        <v>209</v>
      </c>
    </row>
    <row r="151" spans="2:65" s="6" customFormat="1" ht="27" customHeight="1">
      <c r="B151" s="23"/>
      <c r="C151" s="143" t="s">
        <v>210</v>
      </c>
      <c r="D151" s="143" t="s">
        <v>168</v>
      </c>
      <c r="E151" s="144" t="s">
        <v>211</v>
      </c>
      <c r="F151" s="216" t="s">
        <v>212</v>
      </c>
      <c r="G151" s="217"/>
      <c r="H151" s="217"/>
      <c r="I151" s="217"/>
      <c r="J151" s="145" t="s">
        <v>205</v>
      </c>
      <c r="K151" s="146">
        <v>119</v>
      </c>
      <c r="L151" s="218">
        <v>0</v>
      </c>
      <c r="M151" s="217"/>
      <c r="N151" s="219">
        <f>ROUND($L$151*$K$151,2)</f>
        <v>0</v>
      </c>
      <c r="O151" s="217"/>
      <c r="P151" s="217"/>
      <c r="Q151" s="217"/>
      <c r="R151" s="25"/>
      <c r="T151" s="147"/>
      <c r="U151" s="31" t="s">
        <v>45</v>
      </c>
      <c r="V151" s="24"/>
      <c r="W151" s="148">
        <f>$V$151*$K$151</f>
        <v>0</v>
      </c>
      <c r="X151" s="148">
        <v>0.01361</v>
      </c>
      <c r="Y151" s="148">
        <f>$X$151*$K$151</f>
        <v>1.61959</v>
      </c>
      <c r="Z151" s="148">
        <v>0</v>
      </c>
      <c r="AA151" s="149">
        <f>$Z$151*$K$151</f>
        <v>0</v>
      </c>
      <c r="AR151" s="6" t="s">
        <v>172</v>
      </c>
      <c r="AT151" s="6" t="s">
        <v>168</v>
      </c>
      <c r="AU151" s="6" t="s">
        <v>110</v>
      </c>
      <c r="AY151" s="6" t="s">
        <v>167</v>
      </c>
      <c r="BE151" s="93">
        <f>IF($U$151="základní",$N$151,0)</f>
        <v>0</v>
      </c>
      <c r="BF151" s="93">
        <f>IF($U$151="snížená",$N$151,0)</f>
        <v>0</v>
      </c>
      <c r="BG151" s="93">
        <f>IF($U$151="zákl. přenesená",$N$151,0)</f>
        <v>0</v>
      </c>
      <c r="BH151" s="93">
        <f>IF($U$151="sníž. přenesená",$N$151,0)</f>
        <v>0</v>
      </c>
      <c r="BI151" s="93">
        <f>IF($U$151="nulová",$N$151,0)</f>
        <v>0</v>
      </c>
      <c r="BJ151" s="6" t="s">
        <v>22</v>
      </c>
      <c r="BK151" s="93">
        <f>ROUND($L$151*$K$151,2)</f>
        <v>0</v>
      </c>
      <c r="BL151" s="6" t="s">
        <v>172</v>
      </c>
      <c r="BM151" s="6" t="s">
        <v>213</v>
      </c>
    </row>
    <row r="152" spans="2:65" s="6" customFormat="1" ht="15.75" customHeight="1">
      <c r="B152" s="23"/>
      <c r="C152" s="143" t="s">
        <v>214</v>
      </c>
      <c r="D152" s="143" t="s">
        <v>168</v>
      </c>
      <c r="E152" s="144" t="s">
        <v>215</v>
      </c>
      <c r="F152" s="216" t="s">
        <v>216</v>
      </c>
      <c r="G152" s="217"/>
      <c r="H152" s="217"/>
      <c r="I152" s="217"/>
      <c r="J152" s="145" t="s">
        <v>205</v>
      </c>
      <c r="K152" s="146">
        <v>55.5</v>
      </c>
      <c r="L152" s="218">
        <v>0</v>
      </c>
      <c r="M152" s="217"/>
      <c r="N152" s="219">
        <f>ROUND($L$152*$K$152,2)</f>
        <v>0</v>
      </c>
      <c r="O152" s="217"/>
      <c r="P152" s="217"/>
      <c r="Q152" s="217"/>
      <c r="R152" s="25"/>
      <c r="T152" s="147"/>
      <c r="U152" s="31" t="s">
        <v>45</v>
      </c>
      <c r="V152" s="24"/>
      <c r="W152" s="148">
        <f>$V$152*$K$152</f>
        <v>0</v>
      </c>
      <c r="X152" s="148">
        <v>3E-05</v>
      </c>
      <c r="Y152" s="148">
        <f>$X$152*$K$152</f>
        <v>0.001665</v>
      </c>
      <c r="Z152" s="148">
        <v>0</v>
      </c>
      <c r="AA152" s="149">
        <f>$Z$152*$K$152</f>
        <v>0</v>
      </c>
      <c r="AR152" s="6" t="s">
        <v>172</v>
      </c>
      <c r="AT152" s="6" t="s">
        <v>168</v>
      </c>
      <c r="AU152" s="6" t="s">
        <v>110</v>
      </c>
      <c r="AY152" s="6" t="s">
        <v>167</v>
      </c>
      <c r="BE152" s="93">
        <f>IF($U$152="základní",$N$152,0)</f>
        <v>0</v>
      </c>
      <c r="BF152" s="93">
        <f>IF($U$152="snížená",$N$152,0)</f>
        <v>0</v>
      </c>
      <c r="BG152" s="93">
        <f>IF($U$152="zákl. přenesená",$N$152,0)</f>
        <v>0</v>
      </c>
      <c r="BH152" s="93">
        <f>IF($U$152="sníž. přenesená",$N$152,0)</f>
        <v>0</v>
      </c>
      <c r="BI152" s="93">
        <f>IF($U$152="nulová",$N$152,0)</f>
        <v>0</v>
      </c>
      <c r="BJ152" s="6" t="s">
        <v>22</v>
      </c>
      <c r="BK152" s="93">
        <f>ROUND($L$152*$K$152,2)</f>
        <v>0</v>
      </c>
      <c r="BL152" s="6" t="s">
        <v>172</v>
      </c>
      <c r="BM152" s="6" t="s">
        <v>217</v>
      </c>
    </row>
    <row r="153" spans="2:65" s="6" customFormat="1" ht="27" customHeight="1">
      <c r="B153" s="23"/>
      <c r="C153" s="150" t="s">
        <v>218</v>
      </c>
      <c r="D153" s="150" t="s">
        <v>197</v>
      </c>
      <c r="E153" s="151" t="s">
        <v>219</v>
      </c>
      <c r="F153" s="220" t="s">
        <v>220</v>
      </c>
      <c r="G153" s="221"/>
      <c r="H153" s="221"/>
      <c r="I153" s="221"/>
      <c r="J153" s="152" t="s">
        <v>205</v>
      </c>
      <c r="K153" s="153">
        <v>61.05</v>
      </c>
      <c r="L153" s="222">
        <v>0</v>
      </c>
      <c r="M153" s="221"/>
      <c r="N153" s="223">
        <f>ROUND($L$153*$K$153,2)</f>
        <v>0</v>
      </c>
      <c r="O153" s="217"/>
      <c r="P153" s="217"/>
      <c r="Q153" s="217"/>
      <c r="R153" s="25"/>
      <c r="T153" s="147"/>
      <c r="U153" s="31" t="s">
        <v>45</v>
      </c>
      <c r="V153" s="24"/>
      <c r="W153" s="148">
        <f>$V$153*$K$153</f>
        <v>0</v>
      </c>
      <c r="X153" s="148">
        <v>0.0001</v>
      </c>
      <c r="Y153" s="148">
        <f>$X$153*$K$153</f>
        <v>0.006105</v>
      </c>
      <c r="Z153" s="148">
        <v>0</v>
      </c>
      <c r="AA153" s="149">
        <f>$Z$153*$K$153</f>
        <v>0</v>
      </c>
      <c r="AR153" s="6" t="s">
        <v>196</v>
      </c>
      <c r="AT153" s="6" t="s">
        <v>197</v>
      </c>
      <c r="AU153" s="6" t="s">
        <v>110</v>
      </c>
      <c r="AY153" s="6" t="s">
        <v>167</v>
      </c>
      <c r="BE153" s="93">
        <f>IF($U$153="základní",$N$153,0)</f>
        <v>0</v>
      </c>
      <c r="BF153" s="93">
        <f>IF($U$153="snížená",$N$153,0)</f>
        <v>0</v>
      </c>
      <c r="BG153" s="93">
        <f>IF($U$153="zákl. přenesená",$N$153,0)</f>
        <v>0</v>
      </c>
      <c r="BH153" s="93">
        <f>IF($U$153="sníž. přenesená",$N$153,0)</f>
        <v>0</v>
      </c>
      <c r="BI153" s="93">
        <f>IF($U$153="nulová",$N$153,0)</f>
        <v>0</v>
      </c>
      <c r="BJ153" s="6" t="s">
        <v>22</v>
      </c>
      <c r="BK153" s="93">
        <f>ROUND($L$153*$K$153,2)</f>
        <v>0</v>
      </c>
      <c r="BL153" s="6" t="s">
        <v>172</v>
      </c>
      <c r="BM153" s="6" t="s">
        <v>221</v>
      </c>
    </row>
    <row r="154" spans="2:63" s="132" customFormat="1" ht="30.75" customHeight="1">
      <c r="B154" s="133"/>
      <c r="C154" s="134"/>
      <c r="D154" s="142" t="s">
        <v>124</v>
      </c>
      <c r="E154" s="142"/>
      <c r="F154" s="142"/>
      <c r="G154" s="142"/>
      <c r="H154" s="142"/>
      <c r="I154" s="142"/>
      <c r="J154" s="142"/>
      <c r="K154" s="142"/>
      <c r="L154" s="142"/>
      <c r="M154" s="142"/>
      <c r="N154" s="228">
        <f>$BK$154</f>
        <v>0</v>
      </c>
      <c r="O154" s="227"/>
      <c r="P154" s="227"/>
      <c r="Q154" s="227"/>
      <c r="R154" s="136"/>
      <c r="T154" s="137"/>
      <c r="U154" s="134"/>
      <c r="V154" s="134"/>
      <c r="W154" s="138">
        <f>SUM($W$155:$W$162)</f>
        <v>0</v>
      </c>
      <c r="X154" s="134"/>
      <c r="Y154" s="138">
        <f>SUM($Y$155:$Y$162)</f>
        <v>32.53061999999999</v>
      </c>
      <c r="Z154" s="134"/>
      <c r="AA154" s="139">
        <f>SUM($AA$155:$AA$162)</f>
        <v>0</v>
      </c>
      <c r="AR154" s="140" t="s">
        <v>22</v>
      </c>
      <c r="AT154" s="140" t="s">
        <v>79</v>
      </c>
      <c r="AU154" s="140" t="s">
        <v>22</v>
      </c>
      <c r="AY154" s="140" t="s">
        <v>167</v>
      </c>
      <c r="BK154" s="141">
        <f>SUM($BK$155:$BK$162)</f>
        <v>0</v>
      </c>
    </row>
    <row r="155" spans="2:65" s="6" customFormat="1" ht="15.75" customHeight="1">
      <c r="B155" s="23"/>
      <c r="C155" s="143" t="s">
        <v>222</v>
      </c>
      <c r="D155" s="143" t="s">
        <v>168</v>
      </c>
      <c r="E155" s="144" t="s">
        <v>223</v>
      </c>
      <c r="F155" s="216" t="s">
        <v>224</v>
      </c>
      <c r="G155" s="217"/>
      <c r="H155" s="217"/>
      <c r="I155" s="217"/>
      <c r="J155" s="145" t="s">
        <v>225</v>
      </c>
      <c r="K155" s="146">
        <v>444</v>
      </c>
      <c r="L155" s="218">
        <v>0</v>
      </c>
      <c r="M155" s="217"/>
      <c r="N155" s="219">
        <f>ROUND($L$155*$K$155,2)</f>
        <v>0</v>
      </c>
      <c r="O155" s="217"/>
      <c r="P155" s="217"/>
      <c r="Q155" s="217"/>
      <c r="R155" s="25"/>
      <c r="T155" s="147"/>
      <c r="U155" s="31" t="s">
        <v>45</v>
      </c>
      <c r="V155" s="24"/>
      <c r="W155" s="148">
        <f>$V$155*$K$155</f>
        <v>0</v>
      </c>
      <c r="X155" s="148">
        <v>0.06863</v>
      </c>
      <c r="Y155" s="148">
        <f>$X$155*$K$155</f>
        <v>30.471719999999998</v>
      </c>
      <c r="Z155" s="148">
        <v>0</v>
      </c>
      <c r="AA155" s="149">
        <f>$Z$155*$K$155</f>
        <v>0</v>
      </c>
      <c r="AR155" s="6" t="s">
        <v>172</v>
      </c>
      <c r="AT155" s="6" t="s">
        <v>168</v>
      </c>
      <c r="AU155" s="6" t="s">
        <v>110</v>
      </c>
      <c r="AY155" s="6" t="s">
        <v>167</v>
      </c>
      <c r="BE155" s="93">
        <f>IF($U$155="základní",$N$155,0)</f>
        <v>0</v>
      </c>
      <c r="BF155" s="93">
        <f>IF($U$155="snížená",$N$155,0)</f>
        <v>0</v>
      </c>
      <c r="BG155" s="93">
        <f>IF($U$155="zákl. přenesená",$N$155,0)</f>
        <v>0</v>
      </c>
      <c r="BH155" s="93">
        <f>IF($U$155="sníž. přenesená",$N$155,0)</f>
        <v>0</v>
      </c>
      <c r="BI155" s="93">
        <f>IF($U$155="nulová",$N$155,0)</f>
        <v>0</v>
      </c>
      <c r="BJ155" s="6" t="s">
        <v>22</v>
      </c>
      <c r="BK155" s="93">
        <f>ROUND($L$155*$K$155,2)</f>
        <v>0</v>
      </c>
      <c r="BL155" s="6" t="s">
        <v>172</v>
      </c>
      <c r="BM155" s="6" t="s">
        <v>226</v>
      </c>
    </row>
    <row r="156" spans="2:65" s="6" customFormat="1" ht="27" customHeight="1">
      <c r="B156" s="23"/>
      <c r="C156" s="143" t="s">
        <v>9</v>
      </c>
      <c r="D156" s="143" t="s">
        <v>168</v>
      </c>
      <c r="E156" s="144" t="s">
        <v>227</v>
      </c>
      <c r="F156" s="216" t="s">
        <v>228</v>
      </c>
      <c r="G156" s="217"/>
      <c r="H156" s="217"/>
      <c r="I156" s="217"/>
      <c r="J156" s="145" t="s">
        <v>225</v>
      </c>
      <c r="K156" s="146">
        <v>19</v>
      </c>
      <c r="L156" s="218">
        <v>0</v>
      </c>
      <c r="M156" s="217"/>
      <c r="N156" s="219">
        <f>ROUND($L$156*$K$156,2)</f>
        <v>0</v>
      </c>
      <c r="O156" s="217"/>
      <c r="P156" s="217"/>
      <c r="Q156" s="217"/>
      <c r="R156" s="25"/>
      <c r="T156" s="147"/>
      <c r="U156" s="31" t="s">
        <v>45</v>
      </c>
      <c r="V156" s="24"/>
      <c r="W156" s="148">
        <f>$V$156*$K$156</f>
        <v>0</v>
      </c>
      <c r="X156" s="148">
        <v>0.06863</v>
      </c>
      <c r="Y156" s="148">
        <f>$X$156*$K$156</f>
        <v>1.3039699999999999</v>
      </c>
      <c r="Z156" s="148">
        <v>0</v>
      </c>
      <c r="AA156" s="149">
        <f>$Z$156*$K$156</f>
        <v>0</v>
      </c>
      <c r="AR156" s="6" t="s">
        <v>172</v>
      </c>
      <c r="AT156" s="6" t="s">
        <v>168</v>
      </c>
      <c r="AU156" s="6" t="s">
        <v>110</v>
      </c>
      <c r="AY156" s="6" t="s">
        <v>167</v>
      </c>
      <c r="BE156" s="93">
        <f>IF($U$156="základní",$N$156,0)</f>
        <v>0</v>
      </c>
      <c r="BF156" s="93">
        <f>IF($U$156="snížená",$N$156,0)</f>
        <v>0</v>
      </c>
      <c r="BG156" s="93">
        <f>IF($U$156="zákl. přenesená",$N$156,0)</f>
        <v>0</v>
      </c>
      <c r="BH156" s="93">
        <f>IF($U$156="sníž. přenesená",$N$156,0)</f>
        <v>0</v>
      </c>
      <c r="BI156" s="93">
        <f>IF($U$156="nulová",$N$156,0)</f>
        <v>0</v>
      </c>
      <c r="BJ156" s="6" t="s">
        <v>22</v>
      </c>
      <c r="BK156" s="93">
        <f>ROUND($L$156*$K$156,2)</f>
        <v>0</v>
      </c>
      <c r="BL156" s="6" t="s">
        <v>172</v>
      </c>
      <c r="BM156" s="6" t="s">
        <v>229</v>
      </c>
    </row>
    <row r="157" spans="2:65" s="6" customFormat="1" ht="27" customHeight="1">
      <c r="B157" s="23"/>
      <c r="C157" s="143" t="s">
        <v>230</v>
      </c>
      <c r="D157" s="143" t="s">
        <v>168</v>
      </c>
      <c r="E157" s="144" t="s">
        <v>231</v>
      </c>
      <c r="F157" s="216" t="s">
        <v>232</v>
      </c>
      <c r="G157" s="217"/>
      <c r="H157" s="217"/>
      <c r="I157" s="217"/>
      <c r="J157" s="145" t="s">
        <v>233</v>
      </c>
      <c r="K157" s="146">
        <v>3</v>
      </c>
      <c r="L157" s="218">
        <v>0</v>
      </c>
      <c r="M157" s="217"/>
      <c r="N157" s="219">
        <f>ROUND($L$157*$K$157,2)</f>
        <v>0</v>
      </c>
      <c r="O157" s="217"/>
      <c r="P157" s="217"/>
      <c r="Q157" s="217"/>
      <c r="R157" s="25"/>
      <c r="T157" s="147"/>
      <c r="U157" s="31" t="s">
        <v>45</v>
      </c>
      <c r="V157" s="24"/>
      <c r="W157" s="148">
        <f>$V$157*$K$157</f>
        <v>0</v>
      </c>
      <c r="X157" s="148">
        <v>0.06863</v>
      </c>
      <c r="Y157" s="148">
        <f>$X$157*$K$157</f>
        <v>0.20589</v>
      </c>
      <c r="Z157" s="148">
        <v>0</v>
      </c>
      <c r="AA157" s="149">
        <f>$Z$157*$K$157</f>
        <v>0</v>
      </c>
      <c r="AR157" s="6" t="s">
        <v>172</v>
      </c>
      <c r="AT157" s="6" t="s">
        <v>168</v>
      </c>
      <c r="AU157" s="6" t="s">
        <v>110</v>
      </c>
      <c r="AY157" s="6" t="s">
        <v>167</v>
      </c>
      <c r="BE157" s="93">
        <f>IF($U$157="základní",$N$157,0)</f>
        <v>0</v>
      </c>
      <c r="BF157" s="93">
        <f>IF($U$157="snížená",$N$157,0)</f>
        <v>0</v>
      </c>
      <c r="BG157" s="93">
        <f>IF($U$157="zákl. přenesená",$N$157,0)</f>
        <v>0</v>
      </c>
      <c r="BH157" s="93">
        <f>IF($U$157="sníž. přenesená",$N$157,0)</f>
        <v>0</v>
      </c>
      <c r="BI157" s="93">
        <f>IF($U$157="nulová",$N$157,0)</f>
        <v>0</v>
      </c>
      <c r="BJ157" s="6" t="s">
        <v>22</v>
      </c>
      <c r="BK157" s="93">
        <f>ROUND($L$157*$K$157,2)</f>
        <v>0</v>
      </c>
      <c r="BL157" s="6" t="s">
        <v>172</v>
      </c>
      <c r="BM157" s="6" t="s">
        <v>234</v>
      </c>
    </row>
    <row r="158" spans="2:65" s="6" customFormat="1" ht="27" customHeight="1">
      <c r="B158" s="23"/>
      <c r="C158" s="143" t="s">
        <v>235</v>
      </c>
      <c r="D158" s="143" t="s">
        <v>168</v>
      </c>
      <c r="E158" s="144" t="s">
        <v>236</v>
      </c>
      <c r="F158" s="216" t="s">
        <v>237</v>
      </c>
      <c r="G158" s="217"/>
      <c r="H158" s="217"/>
      <c r="I158" s="217"/>
      <c r="J158" s="145" t="s">
        <v>233</v>
      </c>
      <c r="K158" s="146">
        <v>2</v>
      </c>
      <c r="L158" s="218">
        <v>0</v>
      </c>
      <c r="M158" s="217"/>
      <c r="N158" s="219">
        <f>ROUND($L$158*$K$158,2)</f>
        <v>0</v>
      </c>
      <c r="O158" s="217"/>
      <c r="P158" s="217"/>
      <c r="Q158" s="217"/>
      <c r="R158" s="25"/>
      <c r="T158" s="147"/>
      <c r="U158" s="31" t="s">
        <v>45</v>
      </c>
      <c r="V158" s="24"/>
      <c r="W158" s="148">
        <f>$V$158*$K$158</f>
        <v>0</v>
      </c>
      <c r="X158" s="148">
        <v>0.06863</v>
      </c>
      <c r="Y158" s="148">
        <f>$X$158*$K$158</f>
        <v>0.13726</v>
      </c>
      <c r="Z158" s="148">
        <v>0</v>
      </c>
      <c r="AA158" s="149">
        <f>$Z$158*$K$158</f>
        <v>0</v>
      </c>
      <c r="AR158" s="6" t="s">
        <v>172</v>
      </c>
      <c r="AT158" s="6" t="s">
        <v>168</v>
      </c>
      <c r="AU158" s="6" t="s">
        <v>110</v>
      </c>
      <c r="AY158" s="6" t="s">
        <v>167</v>
      </c>
      <c r="BE158" s="93">
        <f>IF($U$158="základní",$N$158,0)</f>
        <v>0</v>
      </c>
      <c r="BF158" s="93">
        <f>IF($U$158="snížená",$N$158,0)</f>
        <v>0</v>
      </c>
      <c r="BG158" s="93">
        <f>IF($U$158="zákl. přenesená",$N$158,0)</f>
        <v>0</v>
      </c>
      <c r="BH158" s="93">
        <f>IF($U$158="sníž. přenesená",$N$158,0)</f>
        <v>0</v>
      </c>
      <c r="BI158" s="93">
        <f>IF($U$158="nulová",$N$158,0)</f>
        <v>0</v>
      </c>
      <c r="BJ158" s="6" t="s">
        <v>22</v>
      </c>
      <c r="BK158" s="93">
        <f>ROUND($L$158*$K$158,2)</f>
        <v>0</v>
      </c>
      <c r="BL158" s="6" t="s">
        <v>172</v>
      </c>
      <c r="BM158" s="6" t="s">
        <v>238</v>
      </c>
    </row>
    <row r="159" spans="2:65" s="6" customFormat="1" ht="27" customHeight="1">
      <c r="B159" s="23"/>
      <c r="C159" s="143" t="s">
        <v>239</v>
      </c>
      <c r="D159" s="143" t="s">
        <v>168</v>
      </c>
      <c r="E159" s="144" t="s">
        <v>240</v>
      </c>
      <c r="F159" s="216" t="s">
        <v>241</v>
      </c>
      <c r="G159" s="217"/>
      <c r="H159" s="217"/>
      <c r="I159" s="217"/>
      <c r="J159" s="145" t="s">
        <v>233</v>
      </c>
      <c r="K159" s="146">
        <v>1</v>
      </c>
      <c r="L159" s="218">
        <v>0</v>
      </c>
      <c r="M159" s="217"/>
      <c r="N159" s="219">
        <f>ROUND($L$159*$K$159,2)</f>
        <v>0</v>
      </c>
      <c r="O159" s="217"/>
      <c r="P159" s="217"/>
      <c r="Q159" s="217"/>
      <c r="R159" s="25"/>
      <c r="T159" s="147"/>
      <c r="U159" s="31" t="s">
        <v>45</v>
      </c>
      <c r="V159" s="24"/>
      <c r="W159" s="148">
        <f>$V$159*$K$159</f>
        <v>0</v>
      </c>
      <c r="X159" s="148">
        <v>0.06863</v>
      </c>
      <c r="Y159" s="148">
        <f>$X$159*$K$159</f>
        <v>0.06863</v>
      </c>
      <c r="Z159" s="148">
        <v>0</v>
      </c>
      <c r="AA159" s="149">
        <f>$Z$159*$K$159</f>
        <v>0</v>
      </c>
      <c r="AR159" s="6" t="s">
        <v>172</v>
      </c>
      <c r="AT159" s="6" t="s">
        <v>168</v>
      </c>
      <c r="AU159" s="6" t="s">
        <v>110</v>
      </c>
      <c r="AY159" s="6" t="s">
        <v>167</v>
      </c>
      <c r="BE159" s="93">
        <f>IF($U$159="základní",$N$159,0)</f>
        <v>0</v>
      </c>
      <c r="BF159" s="93">
        <f>IF($U$159="snížená",$N$159,0)</f>
        <v>0</v>
      </c>
      <c r="BG159" s="93">
        <f>IF($U$159="zákl. přenesená",$N$159,0)</f>
        <v>0</v>
      </c>
      <c r="BH159" s="93">
        <f>IF($U$159="sníž. přenesená",$N$159,0)</f>
        <v>0</v>
      </c>
      <c r="BI159" s="93">
        <f>IF($U$159="nulová",$N$159,0)</f>
        <v>0</v>
      </c>
      <c r="BJ159" s="6" t="s">
        <v>22</v>
      </c>
      <c r="BK159" s="93">
        <f>ROUND($L$159*$K$159,2)</f>
        <v>0</v>
      </c>
      <c r="BL159" s="6" t="s">
        <v>172</v>
      </c>
      <c r="BM159" s="6" t="s">
        <v>242</v>
      </c>
    </row>
    <row r="160" spans="2:65" s="6" customFormat="1" ht="27" customHeight="1">
      <c r="B160" s="23"/>
      <c r="C160" s="143" t="s">
        <v>243</v>
      </c>
      <c r="D160" s="143" t="s">
        <v>168</v>
      </c>
      <c r="E160" s="144" t="s">
        <v>244</v>
      </c>
      <c r="F160" s="216" t="s">
        <v>245</v>
      </c>
      <c r="G160" s="217"/>
      <c r="H160" s="217"/>
      <c r="I160" s="217"/>
      <c r="J160" s="145" t="s">
        <v>233</v>
      </c>
      <c r="K160" s="146">
        <v>2</v>
      </c>
      <c r="L160" s="218">
        <v>0</v>
      </c>
      <c r="M160" s="217"/>
      <c r="N160" s="219">
        <f>ROUND($L$160*$K$160,2)</f>
        <v>0</v>
      </c>
      <c r="O160" s="217"/>
      <c r="P160" s="217"/>
      <c r="Q160" s="217"/>
      <c r="R160" s="25"/>
      <c r="T160" s="147"/>
      <c r="U160" s="31" t="s">
        <v>45</v>
      </c>
      <c r="V160" s="24"/>
      <c r="W160" s="148">
        <f>$V$160*$K$160</f>
        <v>0</v>
      </c>
      <c r="X160" s="148">
        <v>0.06863</v>
      </c>
      <c r="Y160" s="148">
        <f>$X$160*$K$160</f>
        <v>0.13726</v>
      </c>
      <c r="Z160" s="148">
        <v>0</v>
      </c>
      <c r="AA160" s="149">
        <f>$Z$160*$K$160</f>
        <v>0</v>
      </c>
      <c r="AR160" s="6" t="s">
        <v>172</v>
      </c>
      <c r="AT160" s="6" t="s">
        <v>168</v>
      </c>
      <c r="AU160" s="6" t="s">
        <v>110</v>
      </c>
      <c r="AY160" s="6" t="s">
        <v>167</v>
      </c>
      <c r="BE160" s="93">
        <f>IF($U$160="základní",$N$160,0)</f>
        <v>0</v>
      </c>
      <c r="BF160" s="93">
        <f>IF($U$160="snížená",$N$160,0)</f>
        <v>0</v>
      </c>
      <c r="BG160" s="93">
        <f>IF($U$160="zákl. přenesená",$N$160,0)</f>
        <v>0</v>
      </c>
      <c r="BH160" s="93">
        <f>IF($U$160="sníž. přenesená",$N$160,0)</f>
        <v>0</v>
      </c>
      <c r="BI160" s="93">
        <f>IF($U$160="nulová",$N$160,0)</f>
        <v>0</v>
      </c>
      <c r="BJ160" s="6" t="s">
        <v>22</v>
      </c>
      <c r="BK160" s="93">
        <f>ROUND($L$160*$K$160,2)</f>
        <v>0</v>
      </c>
      <c r="BL160" s="6" t="s">
        <v>172</v>
      </c>
      <c r="BM160" s="6" t="s">
        <v>246</v>
      </c>
    </row>
    <row r="161" spans="2:65" s="6" customFormat="1" ht="27" customHeight="1">
      <c r="B161" s="23"/>
      <c r="C161" s="143" t="s">
        <v>247</v>
      </c>
      <c r="D161" s="143" t="s">
        <v>168</v>
      </c>
      <c r="E161" s="144" t="s">
        <v>248</v>
      </c>
      <c r="F161" s="216" t="s">
        <v>249</v>
      </c>
      <c r="G161" s="217"/>
      <c r="H161" s="217"/>
      <c r="I161" s="217"/>
      <c r="J161" s="145" t="s">
        <v>233</v>
      </c>
      <c r="K161" s="146">
        <v>1</v>
      </c>
      <c r="L161" s="218">
        <v>0</v>
      </c>
      <c r="M161" s="217"/>
      <c r="N161" s="219">
        <f>ROUND($L$161*$K$161,2)</f>
        <v>0</v>
      </c>
      <c r="O161" s="217"/>
      <c r="P161" s="217"/>
      <c r="Q161" s="217"/>
      <c r="R161" s="25"/>
      <c r="T161" s="147"/>
      <c r="U161" s="31" t="s">
        <v>45</v>
      </c>
      <c r="V161" s="24"/>
      <c r="W161" s="148">
        <f>$V$161*$K$161</f>
        <v>0</v>
      </c>
      <c r="X161" s="148">
        <v>0.06863</v>
      </c>
      <c r="Y161" s="148">
        <f>$X$161*$K$161</f>
        <v>0.06863</v>
      </c>
      <c r="Z161" s="148">
        <v>0</v>
      </c>
      <c r="AA161" s="149">
        <f>$Z$161*$K$161</f>
        <v>0</v>
      </c>
      <c r="AR161" s="6" t="s">
        <v>172</v>
      </c>
      <c r="AT161" s="6" t="s">
        <v>168</v>
      </c>
      <c r="AU161" s="6" t="s">
        <v>110</v>
      </c>
      <c r="AY161" s="6" t="s">
        <v>167</v>
      </c>
      <c r="BE161" s="93">
        <f>IF($U$161="základní",$N$161,0)</f>
        <v>0</v>
      </c>
      <c r="BF161" s="93">
        <f>IF($U$161="snížená",$N$161,0)</f>
        <v>0</v>
      </c>
      <c r="BG161" s="93">
        <f>IF($U$161="zákl. přenesená",$N$161,0)</f>
        <v>0</v>
      </c>
      <c r="BH161" s="93">
        <f>IF($U$161="sníž. přenesená",$N$161,0)</f>
        <v>0</v>
      </c>
      <c r="BI161" s="93">
        <f>IF($U$161="nulová",$N$161,0)</f>
        <v>0</v>
      </c>
      <c r="BJ161" s="6" t="s">
        <v>22</v>
      </c>
      <c r="BK161" s="93">
        <f>ROUND($L$161*$K$161,2)</f>
        <v>0</v>
      </c>
      <c r="BL161" s="6" t="s">
        <v>172</v>
      </c>
      <c r="BM161" s="6" t="s">
        <v>250</v>
      </c>
    </row>
    <row r="162" spans="2:65" s="6" customFormat="1" ht="27" customHeight="1">
      <c r="B162" s="23"/>
      <c r="C162" s="143" t="s">
        <v>8</v>
      </c>
      <c r="D162" s="143" t="s">
        <v>168</v>
      </c>
      <c r="E162" s="144" t="s">
        <v>251</v>
      </c>
      <c r="F162" s="216" t="s">
        <v>252</v>
      </c>
      <c r="G162" s="217"/>
      <c r="H162" s="217"/>
      <c r="I162" s="217"/>
      <c r="J162" s="145" t="s">
        <v>233</v>
      </c>
      <c r="K162" s="146">
        <v>2</v>
      </c>
      <c r="L162" s="218">
        <v>0</v>
      </c>
      <c r="M162" s="217"/>
      <c r="N162" s="219">
        <f>ROUND($L$162*$K$162,2)</f>
        <v>0</v>
      </c>
      <c r="O162" s="217"/>
      <c r="P162" s="217"/>
      <c r="Q162" s="217"/>
      <c r="R162" s="25"/>
      <c r="T162" s="147"/>
      <c r="U162" s="31" t="s">
        <v>45</v>
      </c>
      <c r="V162" s="24"/>
      <c r="W162" s="148">
        <f>$V$162*$K$162</f>
        <v>0</v>
      </c>
      <c r="X162" s="148">
        <v>0.06863</v>
      </c>
      <c r="Y162" s="148">
        <f>$X$162*$K$162</f>
        <v>0.13726</v>
      </c>
      <c r="Z162" s="148">
        <v>0</v>
      </c>
      <c r="AA162" s="149">
        <f>$Z$162*$K$162</f>
        <v>0</v>
      </c>
      <c r="AR162" s="6" t="s">
        <v>172</v>
      </c>
      <c r="AT162" s="6" t="s">
        <v>168</v>
      </c>
      <c r="AU162" s="6" t="s">
        <v>110</v>
      </c>
      <c r="AY162" s="6" t="s">
        <v>167</v>
      </c>
      <c r="BE162" s="93">
        <f>IF($U$162="základní",$N$162,0)</f>
        <v>0</v>
      </c>
      <c r="BF162" s="93">
        <f>IF($U$162="snížená",$N$162,0)</f>
        <v>0</v>
      </c>
      <c r="BG162" s="93">
        <f>IF($U$162="zákl. přenesená",$N$162,0)</f>
        <v>0</v>
      </c>
      <c r="BH162" s="93">
        <f>IF($U$162="sníž. přenesená",$N$162,0)</f>
        <v>0</v>
      </c>
      <c r="BI162" s="93">
        <f>IF($U$162="nulová",$N$162,0)</f>
        <v>0</v>
      </c>
      <c r="BJ162" s="6" t="s">
        <v>22</v>
      </c>
      <c r="BK162" s="93">
        <f>ROUND($L$162*$K$162,2)</f>
        <v>0</v>
      </c>
      <c r="BL162" s="6" t="s">
        <v>172</v>
      </c>
      <c r="BM162" s="6" t="s">
        <v>253</v>
      </c>
    </row>
    <row r="163" spans="2:63" s="132" customFormat="1" ht="30.75" customHeight="1">
      <c r="B163" s="133"/>
      <c r="C163" s="134"/>
      <c r="D163" s="142" t="s">
        <v>125</v>
      </c>
      <c r="E163" s="142"/>
      <c r="F163" s="142"/>
      <c r="G163" s="142"/>
      <c r="H163" s="142"/>
      <c r="I163" s="142"/>
      <c r="J163" s="142"/>
      <c r="K163" s="142"/>
      <c r="L163" s="142"/>
      <c r="M163" s="142"/>
      <c r="N163" s="228">
        <f>$BK$163</f>
        <v>0</v>
      </c>
      <c r="O163" s="227"/>
      <c r="P163" s="227"/>
      <c r="Q163" s="227"/>
      <c r="R163" s="136"/>
      <c r="T163" s="137"/>
      <c r="U163" s="134"/>
      <c r="V163" s="134"/>
      <c r="W163" s="138">
        <f>SUM($W$164:$W$165)</f>
        <v>0</v>
      </c>
      <c r="X163" s="134"/>
      <c r="Y163" s="138">
        <f>SUM($Y$164:$Y$165)</f>
        <v>0.06932</v>
      </c>
      <c r="Z163" s="134"/>
      <c r="AA163" s="139">
        <f>SUM($AA$164:$AA$165)</f>
        <v>0</v>
      </c>
      <c r="AR163" s="140" t="s">
        <v>22</v>
      </c>
      <c r="AT163" s="140" t="s">
        <v>79</v>
      </c>
      <c r="AU163" s="140" t="s">
        <v>22</v>
      </c>
      <c r="AY163" s="140" t="s">
        <v>167</v>
      </c>
      <c r="BK163" s="141">
        <f>SUM($BK$164:$BK$165)</f>
        <v>0</v>
      </c>
    </row>
    <row r="164" spans="2:65" s="6" customFormat="1" ht="27" customHeight="1">
      <c r="B164" s="23"/>
      <c r="C164" s="143" t="s">
        <v>254</v>
      </c>
      <c r="D164" s="143" t="s">
        <v>168</v>
      </c>
      <c r="E164" s="144" t="s">
        <v>255</v>
      </c>
      <c r="F164" s="216" t="s">
        <v>256</v>
      </c>
      <c r="G164" s="217"/>
      <c r="H164" s="217"/>
      <c r="I164" s="217"/>
      <c r="J164" s="145" t="s">
        <v>257</v>
      </c>
      <c r="K164" s="146">
        <v>1</v>
      </c>
      <c r="L164" s="218">
        <v>0</v>
      </c>
      <c r="M164" s="217"/>
      <c r="N164" s="219">
        <f>ROUND($L$164*$K$164,2)</f>
        <v>0</v>
      </c>
      <c r="O164" s="217"/>
      <c r="P164" s="217"/>
      <c r="Q164" s="217"/>
      <c r="R164" s="25"/>
      <c r="T164" s="147"/>
      <c r="U164" s="31" t="s">
        <v>45</v>
      </c>
      <c r="V164" s="24"/>
      <c r="W164" s="148">
        <f>$V$164*$K$164</f>
        <v>0</v>
      </c>
      <c r="X164" s="148">
        <v>0.03466</v>
      </c>
      <c r="Y164" s="148">
        <f>$X$164*$K$164</f>
        <v>0.03466</v>
      </c>
      <c r="Z164" s="148">
        <v>0</v>
      </c>
      <c r="AA164" s="149">
        <f>$Z$164*$K$164</f>
        <v>0</v>
      </c>
      <c r="AR164" s="6" t="s">
        <v>172</v>
      </c>
      <c r="AT164" s="6" t="s">
        <v>168</v>
      </c>
      <c r="AU164" s="6" t="s">
        <v>110</v>
      </c>
      <c r="AY164" s="6" t="s">
        <v>167</v>
      </c>
      <c r="BE164" s="93">
        <f>IF($U$164="základní",$N$164,0)</f>
        <v>0</v>
      </c>
      <c r="BF164" s="93">
        <f>IF($U$164="snížená",$N$164,0)</f>
        <v>0</v>
      </c>
      <c r="BG164" s="93">
        <f>IF($U$164="zákl. přenesená",$N$164,0)</f>
        <v>0</v>
      </c>
      <c r="BH164" s="93">
        <f>IF($U$164="sníž. přenesená",$N$164,0)</f>
        <v>0</v>
      </c>
      <c r="BI164" s="93">
        <f>IF($U$164="nulová",$N$164,0)</f>
        <v>0</v>
      </c>
      <c r="BJ164" s="6" t="s">
        <v>22</v>
      </c>
      <c r="BK164" s="93">
        <f>ROUND($L$164*$K$164,2)</f>
        <v>0</v>
      </c>
      <c r="BL164" s="6" t="s">
        <v>172</v>
      </c>
      <c r="BM164" s="6" t="s">
        <v>258</v>
      </c>
    </row>
    <row r="165" spans="2:65" s="6" customFormat="1" ht="27" customHeight="1">
      <c r="B165" s="23"/>
      <c r="C165" s="143" t="s">
        <v>259</v>
      </c>
      <c r="D165" s="143" t="s">
        <v>168</v>
      </c>
      <c r="E165" s="144" t="s">
        <v>260</v>
      </c>
      <c r="F165" s="216" t="s">
        <v>261</v>
      </c>
      <c r="G165" s="217"/>
      <c r="H165" s="217"/>
      <c r="I165" s="217"/>
      <c r="J165" s="145" t="s">
        <v>257</v>
      </c>
      <c r="K165" s="146">
        <v>1</v>
      </c>
      <c r="L165" s="218">
        <v>0</v>
      </c>
      <c r="M165" s="217"/>
      <c r="N165" s="219">
        <f>ROUND($L$165*$K$165,2)</f>
        <v>0</v>
      </c>
      <c r="O165" s="217"/>
      <c r="P165" s="217"/>
      <c r="Q165" s="217"/>
      <c r="R165" s="25"/>
      <c r="T165" s="147"/>
      <c r="U165" s="31" t="s">
        <v>45</v>
      </c>
      <c r="V165" s="24"/>
      <c r="W165" s="148">
        <f>$V$165*$K$165</f>
        <v>0</v>
      </c>
      <c r="X165" s="148">
        <v>0.03466</v>
      </c>
      <c r="Y165" s="148">
        <f>$X$165*$K$165</f>
        <v>0.03466</v>
      </c>
      <c r="Z165" s="148">
        <v>0</v>
      </c>
      <c r="AA165" s="149">
        <f>$Z$165*$K$165</f>
        <v>0</v>
      </c>
      <c r="AR165" s="6" t="s">
        <v>172</v>
      </c>
      <c r="AT165" s="6" t="s">
        <v>168</v>
      </c>
      <c r="AU165" s="6" t="s">
        <v>110</v>
      </c>
      <c r="AY165" s="6" t="s">
        <v>167</v>
      </c>
      <c r="BE165" s="93">
        <f>IF($U$165="základní",$N$165,0)</f>
        <v>0</v>
      </c>
      <c r="BF165" s="93">
        <f>IF($U$165="snížená",$N$165,0)</f>
        <v>0</v>
      </c>
      <c r="BG165" s="93">
        <f>IF($U$165="zákl. přenesená",$N$165,0)</f>
        <v>0</v>
      </c>
      <c r="BH165" s="93">
        <f>IF($U$165="sníž. přenesená",$N$165,0)</f>
        <v>0</v>
      </c>
      <c r="BI165" s="93">
        <f>IF($U$165="nulová",$N$165,0)</f>
        <v>0</v>
      </c>
      <c r="BJ165" s="6" t="s">
        <v>22</v>
      </c>
      <c r="BK165" s="93">
        <f>ROUND($L$165*$K$165,2)</f>
        <v>0</v>
      </c>
      <c r="BL165" s="6" t="s">
        <v>172</v>
      </c>
      <c r="BM165" s="6" t="s">
        <v>262</v>
      </c>
    </row>
    <row r="166" spans="2:63" s="132" customFormat="1" ht="30.75" customHeight="1">
      <c r="B166" s="133"/>
      <c r="C166" s="134"/>
      <c r="D166" s="142" t="s">
        <v>126</v>
      </c>
      <c r="E166" s="142"/>
      <c r="F166" s="142"/>
      <c r="G166" s="142"/>
      <c r="H166" s="142"/>
      <c r="I166" s="142"/>
      <c r="J166" s="142"/>
      <c r="K166" s="142"/>
      <c r="L166" s="142"/>
      <c r="M166" s="142"/>
      <c r="N166" s="228">
        <f>$BK$166</f>
        <v>0</v>
      </c>
      <c r="O166" s="227"/>
      <c r="P166" s="227"/>
      <c r="Q166" s="227"/>
      <c r="R166" s="136"/>
      <c r="T166" s="137"/>
      <c r="U166" s="134"/>
      <c r="V166" s="134"/>
      <c r="W166" s="138">
        <f>SUM($W$167:$W$179)</f>
        <v>0</v>
      </c>
      <c r="X166" s="134"/>
      <c r="Y166" s="138">
        <f>SUM($Y$167:$Y$179)</f>
        <v>321.31193</v>
      </c>
      <c r="Z166" s="134"/>
      <c r="AA166" s="139">
        <f>SUM($AA$167:$AA$179)</f>
        <v>0</v>
      </c>
      <c r="AR166" s="140" t="s">
        <v>22</v>
      </c>
      <c r="AT166" s="140" t="s">
        <v>79</v>
      </c>
      <c r="AU166" s="140" t="s">
        <v>22</v>
      </c>
      <c r="AY166" s="140" t="s">
        <v>167</v>
      </c>
      <c r="BK166" s="141">
        <f>SUM($BK$167:$BK$179)</f>
        <v>0</v>
      </c>
    </row>
    <row r="167" spans="2:65" s="6" customFormat="1" ht="27" customHeight="1">
      <c r="B167" s="23"/>
      <c r="C167" s="143" t="s">
        <v>263</v>
      </c>
      <c r="D167" s="143" t="s">
        <v>168</v>
      </c>
      <c r="E167" s="144" t="s">
        <v>264</v>
      </c>
      <c r="F167" s="216" t="s">
        <v>265</v>
      </c>
      <c r="G167" s="217"/>
      <c r="H167" s="217"/>
      <c r="I167" s="217"/>
      <c r="J167" s="145" t="s">
        <v>225</v>
      </c>
      <c r="K167" s="146">
        <v>759</v>
      </c>
      <c r="L167" s="218">
        <v>0</v>
      </c>
      <c r="M167" s="217"/>
      <c r="N167" s="219">
        <f>ROUND($L$167*$K$167,2)</f>
        <v>0</v>
      </c>
      <c r="O167" s="217"/>
      <c r="P167" s="217"/>
      <c r="Q167" s="217"/>
      <c r="R167" s="25"/>
      <c r="T167" s="147"/>
      <c r="U167" s="31" t="s">
        <v>45</v>
      </c>
      <c r="V167" s="24"/>
      <c r="W167" s="148">
        <f>$V$167*$K$167</f>
        <v>0</v>
      </c>
      <c r="X167" s="148">
        <v>0.00432</v>
      </c>
      <c r="Y167" s="148">
        <f>$X$167*$K$167</f>
        <v>3.27888</v>
      </c>
      <c r="Z167" s="148">
        <v>0</v>
      </c>
      <c r="AA167" s="149">
        <f>$Z$167*$K$167</f>
        <v>0</v>
      </c>
      <c r="AR167" s="6" t="s">
        <v>172</v>
      </c>
      <c r="AT167" s="6" t="s">
        <v>168</v>
      </c>
      <c r="AU167" s="6" t="s">
        <v>110</v>
      </c>
      <c r="AY167" s="6" t="s">
        <v>167</v>
      </c>
      <c r="BE167" s="93">
        <f>IF($U$167="základní",$N$167,0)</f>
        <v>0</v>
      </c>
      <c r="BF167" s="93">
        <f>IF($U$167="snížená",$N$167,0)</f>
        <v>0</v>
      </c>
      <c r="BG167" s="93">
        <f>IF($U$167="zákl. přenesená",$N$167,0)</f>
        <v>0</v>
      </c>
      <c r="BH167" s="93">
        <f>IF($U$167="sníž. přenesená",$N$167,0)</f>
        <v>0</v>
      </c>
      <c r="BI167" s="93">
        <f>IF($U$167="nulová",$N$167,0)</f>
        <v>0</v>
      </c>
      <c r="BJ167" s="6" t="s">
        <v>22</v>
      </c>
      <c r="BK167" s="93">
        <f>ROUND($L$167*$K$167,2)</f>
        <v>0</v>
      </c>
      <c r="BL167" s="6" t="s">
        <v>172</v>
      </c>
      <c r="BM167" s="6" t="s">
        <v>266</v>
      </c>
    </row>
    <row r="168" spans="2:65" s="6" customFormat="1" ht="27" customHeight="1">
      <c r="B168" s="23"/>
      <c r="C168" s="143" t="s">
        <v>267</v>
      </c>
      <c r="D168" s="143" t="s">
        <v>168</v>
      </c>
      <c r="E168" s="144" t="s">
        <v>268</v>
      </c>
      <c r="F168" s="216" t="s">
        <v>269</v>
      </c>
      <c r="G168" s="217"/>
      <c r="H168" s="217"/>
      <c r="I168" s="217"/>
      <c r="J168" s="145" t="s">
        <v>205</v>
      </c>
      <c r="K168" s="146">
        <v>152</v>
      </c>
      <c r="L168" s="218">
        <v>0</v>
      </c>
      <c r="M168" s="217"/>
      <c r="N168" s="219">
        <f>ROUND($L$168*$K$168,2)</f>
        <v>0</v>
      </c>
      <c r="O168" s="217"/>
      <c r="P168" s="217"/>
      <c r="Q168" s="217"/>
      <c r="R168" s="25"/>
      <c r="T168" s="147"/>
      <c r="U168" s="31" t="s">
        <v>45</v>
      </c>
      <c r="V168" s="24"/>
      <c r="W168" s="148">
        <f>$V$168*$K$168</f>
        <v>0</v>
      </c>
      <c r="X168" s="148">
        <v>0.05735</v>
      </c>
      <c r="Y168" s="148">
        <f>$X$168*$K$168</f>
        <v>8.7172</v>
      </c>
      <c r="Z168" s="148">
        <v>0</v>
      </c>
      <c r="AA168" s="149">
        <f>$Z$168*$K$168</f>
        <v>0</v>
      </c>
      <c r="AR168" s="6" t="s">
        <v>172</v>
      </c>
      <c r="AT168" s="6" t="s">
        <v>168</v>
      </c>
      <c r="AU168" s="6" t="s">
        <v>110</v>
      </c>
      <c r="AY168" s="6" t="s">
        <v>167</v>
      </c>
      <c r="BE168" s="93">
        <f>IF($U$168="základní",$N$168,0)</f>
        <v>0</v>
      </c>
      <c r="BF168" s="93">
        <f>IF($U$168="snížená",$N$168,0)</f>
        <v>0</v>
      </c>
      <c r="BG168" s="93">
        <f>IF($U$168="zákl. přenesená",$N$168,0)</f>
        <v>0</v>
      </c>
      <c r="BH168" s="93">
        <f>IF($U$168="sníž. přenesená",$N$168,0)</f>
        <v>0</v>
      </c>
      <c r="BI168" s="93">
        <f>IF($U$168="nulová",$N$168,0)</f>
        <v>0</v>
      </c>
      <c r="BJ168" s="6" t="s">
        <v>22</v>
      </c>
      <c r="BK168" s="93">
        <f>ROUND($L$168*$K$168,2)</f>
        <v>0</v>
      </c>
      <c r="BL168" s="6" t="s">
        <v>172</v>
      </c>
      <c r="BM168" s="6" t="s">
        <v>270</v>
      </c>
    </row>
    <row r="169" spans="2:65" s="6" customFormat="1" ht="27" customHeight="1">
      <c r="B169" s="23"/>
      <c r="C169" s="143" t="s">
        <v>271</v>
      </c>
      <c r="D169" s="143" t="s">
        <v>168</v>
      </c>
      <c r="E169" s="144" t="s">
        <v>272</v>
      </c>
      <c r="F169" s="216" t="s">
        <v>273</v>
      </c>
      <c r="G169" s="217"/>
      <c r="H169" s="217"/>
      <c r="I169" s="217"/>
      <c r="J169" s="145" t="s">
        <v>205</v>
      </c>
      <c r="K169" s="146">
        <v>352</v>
      </c>
      <c r="L169" s="218">
        <v>0</v>
      </c>
      <c r="M169" s="217"/>
      <c r="N169" s="219">
        <f>ROUND($L$169*$K$169,2)</f>
        <v>0</v>
      </c>
      <c r="O169" s="217"/>
      <c r="P169" s="217"/>
      <c r="Q169" s="217"/>
      <c r="R169" s="25"/>
      <c r="T169" s="147"/>
      <c r="U169" s="31" t="s">
        <v>45</v>
      </c>
      <c r="V169" s="24"/>
      <c r="W169" s="148">
        <f>$V$169*$K$169</f>
        <v>0</v>
      </c>
      <c r="X169" s="148">
        <v>0.004</v>
      </c>
      <c r="Y169" s="148">
        <f>$X$169*$K$169</f>
        <v>1.408</v>
      </c>
      <c r="Z169" s="148">
        <v>0</v>
      </c>
      <c r="AA169" s="149">
        <f>$Z$169*$K$169</f>
        <v>0</v>
      </c>
      <c r="AR169" s="6" t="s">
        <v>172</v>
      </c>
      <c r="AT169" s="6" t="s">
        <v>168</v>
      </c>
      <c r="AU169" s="6" t="s">
        <v>110</v>
      </c>
      <c r="AY169" s="6" t="s">
        <v>167</v>
      </c>
      <c r="BE169" s="93">
        <f>IF($U$169="základní",$N$169,0)</f>
        <v>0</v>
      </c>
      <c r="BF169" s="93">
        <f>IF($U$169="snížená",$N$169,0)</f>
        <v>0</v>
      </c>
      <c r="BG169" s="93">
        <f>IF($U$169="zákl. přenesená",$N$169,0)</f>
        <v>0</v>
      </c>
      <c r="BH169" s="93">
        <f>IF($U$169="sníž. přenesená",$N$169,0)</f>
        <v>0</v>
      </c>
      <c r="BI169" s="93">
        <f>IF($U$169="nulová",$N$169,0)</f>
        <v>0</v>
      </c>
      <c r="BJ169" s="6" t="s">
        <v>22</v>
      </c>
      <c r="BK169" s="93">
        <f>ROUND($L$169*$K$169,2)</f>
        <v>0</v>
      </c>
      <c r="BL169" s="6" t="s">
        <v>172</v>
      </c>
      <c r="BM169" s="6" t="s">
        <v>274</v>
      </c>
    </row>
    <row r="170" spans="2:65" s="6" customFormat="1" ht="39" customHeight="1">
      <c r="B170" s="23"/>
      <c r="C170" s="143" t="s">
        <v>275</v>
      </c>
      <c r="D170" s="143" t="s">
        <v>168</v>
      </c>
      <c r="E170" s="144" t="s">
        <v>276</v>
      </c>
      <c r="F170" s="216" t="s">
        <v>277</v>
      </c>
      <c r="G170" s="217"/>
      <c r="H170" s="217"/>
      <c r="I170" s="217"/>
      <c r="J170" s="145" t="s">
        <v>205</v>
      </c>
      <c r="K170" s="146">
        <v>1716</v>
      </c>
      <c r="L170" s="218">
        <v>0</v>
      </c>
      <c r="M170" s="217"/>
      <c r="N170" s="219">
        <f>ROUND($L$170*$K$170,2)</f>
        <v>0</v>
      </c>
      <c r="O170" s="217"/>
      <c r="P170" s="217"/>
      <c r="Q170" s="217"/>
      <c r="R170" s="25"/>
      <c r="T170" s="147"/>
      <c r="U170" s="31" t="s">
        <v>45</v>
      </c>
      <c r="V170" s="24"/>
      <c r="W170" s="148">
        <f>$V$170*$K$170</f>
        <v>0</v>
      </c>
      <c r="X170" s="148">
        <v>0.04145</v>
      </c>
      <c r="Y170" s="148">
        <f>$X$170*$K$170</f>
        <v>71.1282</v>
      </c>
      <c r="Z170" s="148">
        <v>0</v>
      </c>
      <c r="AA170" s="149">
        <f>$Z$170*$K$170</f>
        <v>0</v>
      </c>
      <c r="AR170" s="6" t="s">
        <v>172</v>
      </c>
      <c r="AT170" s="6" t="s">
        <v>168</v>
      </c>
      <c r="AU170" s="6" t="s">
        <v>110</v>
      </c>
      <c r="AY170" s="6" t="s">
        <v>167</v>
      </c>
      <c r="BE170" s="93">
        <f>IF($U$170="základní",$N$170,0)</f>
        <v>0</v>
      </c>
      <c r="BF170" s="93">
        <f>IF($U$170="snížená",$N$170,0)</f>
        <v>0</v>
      </c>
      <c r="BG170" s="93">
        <f>IF($U$170="zákl. přenesená",$N$170,0)</f>
        <v>0</v>
      </c>
      <c r="BH170" s="93">
        <f>IF($U$170="sníž. přenesená",$N$170,0)</f>
        <v>0</v>
      </c>
      <c r="BI170" s="93">
        <f>IF($U$170="nulová",$N$170,0)</f>
        <v>0</v>
      </c>
      <c r="BJ170" s="6" t="s">
        <v>22</v>
      </c>
      <c r="BK170" s="93">
        <f>ROUND($L$170*$K$170,2)</f>
        <v>0</v>
      </c>
      <c r="BL170" s="6" t="s">
        <v>172</v>
      </c>
      <c r="BM170" s="6" t="s">
        <v>278</v>
      </c>
    </row>
    <row r="171" spans="2:65" s="6" customFormat="1" ht="39" customHeight="1">
      <c r="B171" s="23"/>
      <c r="C171" s="143" t="s">
        <v>279</v>
      </c>
      <c r="D171" s="143" t="s">
        <v>168</v>
      </c>
      <c r="E171" s="144" t="s">
        <v>280</v>
      </c>
      <c r="F171" s="216" t="s">
        <v>281</v>
      </c>
      <c r="G171" s="217"/>
      <c r="H171" s="217"/>
      <c r="I171" s="217"/>
      <c r="J171" s="145" t="s">
        <v>205</v>
      </c>
      <c r="K171" s="146">
        <v>1716</v>
      </c>
      <c r="L171" s="218">
        <v>0</v>
      </c>
      <c r="M171" s="217"/>
      <c r="N171" s="219">
        <f>ROUND($L$171*$K$171,2)</f>
        <v>0</v>
      </c>
      <c r="O171" s="217"/>
      <c r="P171" s="217"/>
      <c r="Q171" s="217"/>
      <c r="R171" s="25"/>
      <c r="T171" s="147"/>
      <c r="U171" s="31" t="s">
        <v>45</v>
      </c>
      <c r="V171" s="24"/>
      <c r="W171" s="148">
        <f>$V$171*$K$171</f>
        <v>0</v>
      </c>
      <c r="X171" s="148">
        <v>0.08918</v>
      </c>
      <c r="Y171" s="148">
        <f>$X$171*$K$171</f>
        <v>153.03288</v>
      </c>
      <c r="Z171" s="148">
        <v>0</v>
      </c>
      <c r="AA171" s="149">
        <f>$Z$171*$K$171</f>
        <v>0</v>
      </c>
      <c r="AR171" s="6" t="s">
        <v>172</v>
      </c>
      <c r="AT171" s="6" t="s">
        <v>168</v>
      </c>
      <c r="AU171" s="6" t="s">
        <v>110</v>
      </c>
      <c r="AY171" s="6" t="s">
        <v>167</v>
      </c>
      <c r="BE171" s="93">
        <f>IF($U$171="základní",$N$171,0)</f>
        <v>0</v>
      </c>
      <c r="BF171" s="93">
        <f>IF($U$171="snížená",$N$171,0)</f>
        <v>0</v>
      </c>
      <c r="BG171" s="93">
        <f>IF($U$171="zákl. přenesená",$N$171,0)</f>
        <v>0</v>
      </c>
      <c r="BH171" s="93">
        <f>IF($U$171="sníž. přenesená",$N$171,0)</f>
        <v>0</v>
      </c>
      <c r="BI171" s="93">
        <f>IF($U$171="nulová",$N$171,0)</f>
        <v>0</v>
      </c>
      <c r="BJ171" s="6" t="s">
        <v>22</v>
      </c>
      <c r="BK171" s="93">
        <f>ROUND($L$171*$K$171,2)</f>
        <v>0</v>
      </c>
      <c r="BL171" s="6" t="s">
        <v>172</v>
      </c>
      <c r="BM171" s="6" t="s">
        <v>282</v>
      </c>
    </row>
    <row r="172" spans="2:65" s="6" customFormat="1" ht="27" customHeight="1">
      <c r="B172" s="23"/>
      <c r="C172" s="143" t="s">
        <v>283</v>
      </c>
      <c r="D172" s="143" t="s">
        <v>168</v>
      </c>
      <c r="E172" s="144" t="s">
        <v>284</v>
      </c>
      <c r="F172" s="216" t="s">
        <v>285</v>
      </c>
      <c r="G172" s="217"/>
      <c r="H172" s="217"/>
      <c r="I172" s="217"/>
      <c r="J172" s="145" t="s">
        <v>205</v>
      </c>
      <c r="K172" s="146">
        <v>1716</v>
      </c>
      <c r="L172" s="218">
        <v>0</v>
      </c>
      <c r="M172" s="217"/>
      <c r="N172" s="219">
        <f>ROUND($L$172*$K$172,2)</f>
        <v>0</v>
      </c>
      <c r="O172" s="217"/>
      <c r="P172" s="217"/>
      <c r="Q172" s="217"/>
      <c r="R172" s="25"/>
      <c r="T172" s="147"/>
      <c r="U172" s="31" t="s">
        <v>45</v>
      </c>
      <c r="V172" s="24"/>
      <c r="W172" s="148">
        <f>$V$172*$K$172</f>
        <v>0</v>
      </c>
      <c r="X172" s="148">
        <v>0.00469</v>
      </c>
      <c r="Y172" s="148">
        <f>$X$172*$K$172</f>
        <v>8.04804</v>
      </c>
      <c r="Z172" s="148">
        <v>0</v>
      </c>
      <c r="AA172" s="149">
        <f>$Z$172*$K$172</f>
        <v>0</v>
      </c>
      <c r="AR172" s="6" t="s">
        <v>172</v>
      </c>
      <c r="AT172" s="6" t="s">
        <v>168</v>
      </c>
      <c r="AU172" s="6" t="s">
        <v>110</v>
      </c>
      <c r="AY172" s="6" t="s">
        <v>167</v>
      </c>
      <c r="BE172" s="93">
        <f>IF($U$172="základní",$N$172,0)</f>
        <v>0</v>
      </c>
      <c r="BF172" s="93">
        <f>IF($U$172="snížená",$N$172,0)</f>
        <v>0</v>
      </c>
      <c r="BG172" s="93">
        <f>IF($U$172="zákl. přenesená",$N$172,0)</f>
        <v>0</v>
      </c>
      <c r="BH172" s="93">
        <f>IF($U$172="sníž. přenesená",$N$172,0)</f>
        <v>0</v>
      </c>
      <c r="BI172" s="93">
        <f>IF($U$172="nulová",$N$172,0)</f>
        <v>0</v>
      </c>
      <c r="BJ172" s="6" t="s">
        <v>22</v>
      </c>
      <c r="BK172" s="93">
        <f>ROUND($L$172*$K$172,2)</f>
        <v>0</v>
      </c>
      <c r="BL172" s="6" t="s">
        <v>172</v>
      </c>
      <c r="BM172" s="6" t="s">
        <v>286</v>
      </c>
    </row>
    <row r="173" spans="2:65" s="6" customFormat="1" ht="27" customHeight="1">
      <c r="B173" s="23"/>
      <c r="C173" s="143" t="s">
        <v>287</v>
      </c>
      <c r="D173" s="143" t="s">
        <v>168</v>
      </c>
      <c r="E173" s="144" t="s">
        <v>288</v>
      </c>
      <c r="F173" s="216" t="s">
        <v>289</v>
      </c>
      <c r="G173" s="217"/>
      <c r="H173" s="217"/>
      <c r="I173" s="217"/>
      <c r="J173" s="145" t="s">
        <v>205</v>
      </c>
      <c r="K173" s="146">
        <v>1716</v>
      </c>
      <c r="L173" s="218">
        <v>0</v>
      </c>
      <c r="M173" s="217"/>
      <c r="N173" s="219">
        <f>ROUND($L$173*$K$173,2)</f>
        <v>0</v>
      </c>
      <c r="O173" s="217"/>
      <c r="P173" s="217"/>
      <c r="Q173" s="217"/>
      <c r="R173" s="25"/>
      <c r="T173" s="147"/>
      <c r="U173" s="31" t="s">
        <v>45</v>
      </c>
      <c r="V173" s="24"/>
      <c r="W173" s="148">
        <f>$V$173*$K$173</f>
        <v>0</v>
      </c>
      <c r="X173" s="148">
        <v>0.00469</v>
      </c>
      <c r="Y173" s="148">
        <f>$X$173*$K$173</f>
        <v>8.04804</v>
      </c>
      <c r="Z173" s="148">
        <v>0</v>
      </c>
      <c r="AA173" s="149">
        <f>$Z$173*$K$173</f>
        <v>0</v>
      </c>
      <c r="AR173" s="6" t="s">
        <v>172</v>
      </c>
      <c r="AT173" s="6" t="s">
        <v>168</v>
      </c>
      <c r="AU173" s="6" t="s">
        <v>110</v>
      </c>
      <c r="AY173" s="6" t="s">
        <v>167</v>
      </c>
      <c r="BE173" s="93">
        <f>IF($U$173="základní",$N$173,0)</f>
        <v>0</v>
      </c>
      <c r="BF173" s="93">
        <f>IF($U$173="snížená",$N$173,0)</f>
        <v>0</v>
      </c>
      <c r="BG173" s="93">
        <f>IF($U$173="zákl. přenesená",$N$173,0)</f>
        <v>0</v>
      </c>
      <c r="BH173" s="93">
        <f>IF($U$173="sníž. přenesená",$N$173,0)</f>
        <v>0</v>
      </c>
      <c r="BI173" s="93">
        <f>IF($U$173="nulová",$N$173,0)</f>
        <v>0</v>
      </c>
      <c r="BJ173" s="6" t="s">
        <v>22</v>
      </c>
      <c r="BK173" s="93">
        <f>ROUND($L$173*$K$173,2)</f>
        <v>0</v>
      </c>
      <c r="BL173" s="6" t="s">
        <v>172</v>
      </c>
      <c r="BM173" s="6" t="s">
        <v>290</v>
      </c>
    </row>
    <row r="174" spans="2:65" s="6" customFormat="1" ht="39" customHeight="1">
      <c r="B174" s="23"/>
      <c r="C174" s="143" t="s">
        <v>291</v>
      </c>
      <c r="D174" s="143" t="s">
        <v>168</v>
      </c>
      <c r="E174" s="144" t="s">
        <v>292</v>
      </c>
      <c r="F174" s="216" t="s">
        <v>293</v>
      </c>
      <c r="G174" s="217"/>
      <c r="H174" s="217"/>
      <c r="I174" s="217"/>
      <c r="J174" s="145" t="s">
        <v>205</v>
      </c>
      <c r="K174" s="146">
        <v>200</v>
      </c>
      <c r="L174" s="218">
        <v>0</v>
      </c>
      <c r="M174" s="217"/>
      <c r="N174" s="219">
        <f>ROUND($L$174*$K$174,2)</f>
        <v>0</v>
      </c>
      <c r="O174" s="217"/>
      <c r="P174" s="217"/>
      <c r="Q174" s="217"/>
      <c r="R174" s="25"/>
      <c r="T174" s="147"/>
      <c r="U174" s="31" t="s">
        <v>45</v>
      </c>
      <c r="V174" s="24"/>
      <c r="W174" s="148">
        <f>$V$174*$K$174</f>
        <v>0</v>
      </c>
      <c r="X174" s="148">
        <v>0.01055</v>
      </c>
      <c r="Y174" s="148">
        <f>$X$174*$K$174</f>
        <v>2.11</v>
      </c>
      <c r="Z174" s="148">
        <v>0</v>
      </c>
      <c r="AA174" s="149">
        <f>$Z$174*$K$174</f>
        <v>0</v>
      </c>
      <c r="AR174" s="6" t="s">
        <v>172</v>
      </c>
      <c r="AT174" s="6" t="s">
        <v>168</v>
      </c>
      <c r="AU174" s="6" t="s">
        <v>110</v>
      </c>
      <c r="AY174" s="6" t="s">
        <v>167</v>
      </c>
      <c r="BE174" s="93">
        <f>IF($U$174="základní",$N$174,0)</f>
        <v>0</v>
      </c>
      <c r="BF174" s="93">
        <f>IF($U$174="snížená",$N$174,0)</f>
        <v>0</v>
      </c>
      <c r="BG174" s="93">
        <f>IF($U$174="zákl. přenesená",$N$174,0)</f>
        <v>0</v>
      </c>
      <c r="BH174" s="93">
        <f>IF($U$174="sníž. přenesená",$N$174,0)</f>
        <v>0</v>
      </c>
      <c r="BI174" s="93">
        <f>IF($U$174="nulová",$N$174,0)</f>
        <v>0</v>
      </c>
      <c r="BJ174" s="6" t="s">
        <v>22</v>
      </c>
      <c r="BK174" s="93">
        <f>ROUND($L$174*$K$174,2)</f>
        <v>0</v>
      </c>
      <c r="BL174" s="6" t="s">
        <v>172</v>
      </c>
      <c r="BM174" s="6" t="s">
        <v>294</v>
      </c>
    </row>
    <row r="175" spans="2:65" s="6" customFormat="1" ht="27" customHeight="1">
      <c r="B175" s="23"/>
      <c r="C175" s="143" t="s">
        <v>295</v>
      </c>
      <c r="D175" s="143" t="s">
        <v>168</v>
      </c>
      <c r="E175" s="144" t="s">
        <v>296</v>
      </c>
      <c r="F175" s="216" t="s">
        <v>297</v>
      </c>
      <c r="G175" s="217"/>
      <c r="H175" s="217"/>
      <c r="I175" s="217"/>
      <c r="J175" s="145" t="s">
        <v>205</v>
      </c>
      <c r="K175" s="146">
        <v>1115</v>
      </c>
      <c r="L175" s="218">
        <v>0</v>
      </c>
      <c r="M175" s="217"/>
      <c r="N175" s="219">
        <f>ROUND($L$175*$K$175,2)</f>
        <v>0</v>
      </c>
      <c r="O175" s="217"/>
      <c r="P175" s="217"/>
      <c r="Q175" s="217"/>
      <c r="R175" s="25"/>
      <c r="T175" s="147"/>
      <c r="U175" s="31" t="s">
        <v>45</v>
      </c>
      <c r="V175" s="24"/>
      <c r="W175" s="148">
        <f>$V$175*$K$175</f>
        <v>0</v>
      </c>
      <c r="X175" s="148">
        <v>0.05793</v>
      </c>
      <c r="Y175" s="148">
        <f>$X$175*$K$175</f>
        <v>64.59195</v>
      </c>
      <c r="Z175" s="148">
        <v>0</v>
      </c>
      <c r="AA175" s="149">
        <f>$Z$175*$K$175</f>
        <v>0</v>
      </c>
      <c r="AR175" s="6" t="s">
        <v>172</v>
      </c>
      <c r="AT175" s="6" t="s">
        <v>168</v>
      </c>
      <c r="AU175" s="6" t="s">
        <v>110</v>
      </c>
      <c r="AY175" s="6" t="s">
        <v>167</v>
      </c>
      <c r="BE175" s="93">
        <f>IF($U$175="základní",$N$175,0)</f>
        <v>0</v>
      </c>
      <c r="BF175" s="93">
        <f>IF($U$175="snížená",$N$175,0)</f>
        <v>0</v>
      </c>
      <c r="BG175" s="93">
        <f>IF($U$175="zákl. přenesená",$N$175,0)</f>
        <v>0</v>
      </c>
      <c r="BH175" s="93">
        <f>IF($U$175="sníž. přenesená",$N$175,0)</f>
        <v>0</v>
      </c>
      <c r="BI175" s="93">
        <f>IF($U$175="nulová",$N$175,0)</f>
        <v>0</v>
      </c>
      <c r="BJ175" s="6" t="s">
        <v>22</v>
      </c>
      <c r="BK175" s="93">
        <f>ROUND($L$175*$K$175,2)</f>
        <v>0</v>
      </c>
      <c r="BL175" s="6" t="s">
        <v>172</v>
      </c>
      <c r="BM175" s="6" t="s">
        <v>298</v>
      </c>
    </row>
    <row r="176" spans="2:65" s="6" customFormat="1" ht="27" customHeight="1">
      <c r="B176" s="23"/>
      <c r="C176" s="143" t="s">
        <v>299</v>
      </c>
      <c r="D176" s="143" t="s">
        <v>168</v>
      </c>
      <c r="E176" s="144" t="s">
        <v>300</v>
      </c>
      <c r="F176" s="216" t="s">
        <v>301</v>
      </c>
      <c r="G176" s="217"/>
      <c r="H176" s="217"/>
      <c r="I176" s="217"/>
      <c r="J176" s="145" t="s">
        <v>205</v>
      </c>
      <c r="K176" s="146">
        <v>1716</v>
      </c>
      <c r="L176" s="218">
        <v>0</v>
      </c>
      <c r="M176" s="217"/>
      <c r="N176" s="219">
        <f>ROUND($L$176*$K$176,2)</f>
        <v>0</v>
      </c>
      <c r="O176" s="217"/>
      <c r="P176" s="217"/>
      <c r="Q176" s="217"/>
      <c r="R176" s="25"/>
      <c r="T176" s="147"/>
      <c r="U176" s="31" t="s">
        <v>45</v>
      </c>
      <c r="V176" s="24"/>
      <c r="W176" s="148">
        <f>$V$176*$K$176</f>
        <v>0</v>
      </c>
      <c r="X176" s="148">
        <v>0.00011</v>
      </c>
      <c r="Y176" s="148">
        <f>$X$176*$K$176</f>
        <v>0.18876</v>
      </c>
      <c r="Z176" s="148">
        <v>0</v>
      </c>
      <c r="AA176" s="149">
        <f>$Z$176*$K$176</f>
        <v>0</v>
      </c>
      <c r="AR176" s="6" t="s">
        <v>172</v>
      </c>
      <c r="AT176" s="6" t="s">
        <v>168</v>
      </c>
      <c r="AU176" s="6" t="s">
        <v>110</v>
      </c>
      <c r="AY176" s="6" t="s">
        <v>167</v>
      </c>
      <c r="BE176" s="93">
        <f>IF($U$176="základní",$N$176,0)</f>
        <v>0</v>
      </c>
      <c r="BF176" s="93">
        <f>IF($U$176="snížená",$N$176,0)</f>
        <v>0</v>
      </c>
      <c r="BG176" s="93">
        <f>IF($U$176="zákl. přenesená",$N$176,0)</f>
        <v>0</v>
      </c>
      <c r="BH176" s="93">
        <f>IF($U$176="sníž. přenesená",$N$176,0)</f>
        <v>0</v>
      </c>
      <c r="BI176" s="93">
        <f>IF($U$176="nulová",$N$176,0)</f>
        <v>0</v>
      </c>
      <c r="BJ176" s="6" t="s">
        <v>22</v>
      </c>
      <c r="BK176" s="93">
        <f>ROUND($L$176*$K$176,2)</f>
        <v>0</v>
      </c>
      <c r="BL176" s="6" t="s">
        <v>172</v>
      </c>
      <c r="BM176" s="6" t="s">
        <v>302</v>
      </c>
    </row>
    <row r="177" spans="2:65" s="6" customFormat="1" ht="27" customHeight="1">
      <c r="B177" s="23"/>
      <c r="C177" s="143" t="s">
        <v>303</v>
      </c>
      <c r="D177" s="143" t="s">
        <v>168</v>
      </c>
      <c r="E177" s="144" t="s">
        <v>304</v>
      </c>
      <c r="F177" s="216" t="s">
        <v>305</v>
      </c>
      <c r="G177" s="217"/>
      <c r="H177" s="217"/>
      <c r="I177" s="217"/>
      <c r="J177" s="145" t="s">
        <v>225</v>
      </c>
      <c r="K177" s="146">
        <v>67</v>
      </c>
      <c r="L177" s="218">
        <v>0</v>
      </c>
      <c r="M177" s="217"/>
      <c r="N177" s="219">
        <f>ROUND($L$177*$K$177,2)</f>
        <v>0</v>
      </c>
      <c r="O177" s="217"/>
      <c r="P177" s="217"/>
      <c r="Q177" s="217"/>
      <c r="R177" s="25"/>
      <c r="T177" s="147"/>
      <c r="U177" s="31" t="s">
        <v>45</v>
      </c>
      <c r="V177" s="24"/>
      <c r="W177" s="148">
        <f>$V$177*$K$177</f>
        <v>0</v>
      </c>
      <c r="X177" s="148">
        <v>0.0104</v>
      </c>
      <c r="Y177" s="148">
        <f>$X$177*$K$177</f>
        <v>0.6968</v>
      </c>
      <c r="Z177" s="148">
        <v>0</v>
      </c>
      <c r="AA177" s="149">
        <f>$Z$177*$K$177</f>
        <v>0</v>
      </c>
      <c r="AR177" s="6" t="s">
        <v>172</v>
      </c>
      <c r="AT177" s="6" t="s">
        <v>168</v>
      </c>
      <c r="AU177" s="6" t="s">
        <v>110</v>
      </c>
      <c r="AY177" s="6" t="s">
        <v>167</v>
      </c>
      <c r="BE177" s="93">
        <f>IF($U$177="základní",$N$177,0)</f>
        <v>0</v>
      </c>
      <c r="BF177" s="93">
        <f>IF($U$177="snížená",$N$177,0)</f>
        <v>0</v>
      </c>
      <c r="BG177" s="93">
        <f>IF($U$177="zákl. přenesená",$N$177,0)</f>
        <v>0</v>
      </c>
      <c r="BH177" s="93">
        <f>IF($U$177="sníž. přenesená",$N$177,0)</f>
        <v>0</v>
      </c>
      <c r="BI177" s="93">
        <f>IF($U$177="nulová",$N$177,0)</f>
        <v>0</v>
      </c>
      <c r="BJ177" s="6" t="s">
        <v>22</v>
      </c>
      <c r="BK177" s="93">
        <f>ROUND($L$177*$K$177,2)</f>
        <v>0</v>
      </c>
      <c r="BL177" s="6" t="s">
        <v>172</v>
      </c>
      <c r="BM177" s="6" t="s">
        <v>306</v>
      </c>
    </row>
    <row r="178" spans="2:65" s="6" customFormat="1" ht="27" customHeight="1">
      <c r="B178" s="23"/>
      <c r="C178" s="143" t="s">
        <v>307</v>
      </c>
      <c r="D178" s="143" t="s">
        <v>168</v>
      </c>
      <c r="E178" s="144" t="s">
        <v>308</v>
      </c>
      <c r="F178" s="216" t="s">
        <v>309</v>
      </c>
      <c r="G178" s="217"/>
      <c r="H178" s="217"/>
      <c r="I178" s="217"/>
      <c r="J178" s="145" t="s">
        <v>205</v>
      </c>
      <c r="K178" s="146">
        <v>1716</v>
      </c>
      <c r="L178" s="218">
        <v>0</v>
      </c>
      <c r="M178" s="217"/>
      <c r="N178" s="219">
        <f>ROUND($L$178*$K$178,2)</f>
        <v>0</v>
      </c>
      <c r="O178" s="217"/>
      <c r="P178" s="217"/>
      <c r="Q178" s="217"/>
      <c r="R178" s="25"/>
      <c r="T178" s="147"/>
      <c r="U178" s="31" t="s">
        <v>45</v>
      </c>
      <c r="V178" s="24"/>
      <c r="W178" s="148">
        <f>$V$178*$K$178</f>
        <v>0</v>
      </c>
      <c r="X178" s="148">
        <v>0</v>
      </c>
      <c r="Y178" s="148">
        <f>$X$178*$K$178</f>
        <v>0</v>
      </c>
      <c r="Z178" s="148">
        <v>0</v>
      </c>
      <c r="AA178" s="149">
        <f>$Z$178*$K$178</f>
        <v>0</v>
      </c>
      <c r="AR178" s="6" t="s">
        <v>172</v>
      </c>
      <c r="AT178" s="6" t="s">
        <v>168</v>
      </c>
      <c r="AU178" s="6" t="s">
        <v>110</v>
      </c>
      <c r="AY178" s="6" t="s">
        <v>167</v>
      </c>
      <c r="BE178" s="93">
        <f>IF($U$178="základní",$N$178,0)</f>
        <v>0</v>
      </c>
      <c r="BF178" s="93">
        <f>IF($U$178="snížená",$N$178,0)</f>
        <v>0</v>
      </c>
      <c r="BG178" s="93">
        <f>IF($U$178="zákl. přenesená",$N$178,0)</f>
        <v>0</v>
      </c>
      <c r="BH178" s="93">
        <f>IF($U$178="sníž. přenesená",$N$178,0)</f>
        <v>0</v>
      </c>
      <c r="BI178" s="93">
        <f>IF($U$178="nulová",$N$178,0)</f>
        <v>0</v>
      </c>
      <c r="BJ178" s="6" t="s">
        <v>22</v>
      </c>
      <c r="BK178" s="93">
        <f>ROUND($L$178*$K$178,2)</f>
        <v>0</v>
      </c>
      <c r="BL178" s="6" t="s">
        <v>172</v>
      </c>
      <c r="BM178" s="6" t="s">
        <v>310</v>
      </c>
    </row>
    <row r="179" spans="2:65" s="6" customFormat="1" ht="27" customHeight="1">
      <c r="B179" s="23"/>
      <c r="C179" s="143" t="s">
        <v>311</v>
      </c>
      <c r="D179" s="143" t="s">
        <v>168</v>
      </c>
      <c r="E179" s="144" t="s">
        <v>312</v>
      </c>
      <c r="F179" s="216" t="s">
        <v>313</v>
      </c>
      <c r="G179" s="217"/>
      <c r="H179" s="217"/>
      <c r="I179" s="217"/>
      <c r="J179" s="145" t="s">
        <v>205</v>
      </c>
      <c r="K179" s="146">
        <v>351</v>
      </c>
      <c r="L179" s="218">
        <v>0</v>
      </c>
      <c r="M179" s="217"/>
      <c r="N179" s="219">
        <f>ROUND($L$179*$K$179,2)</f>
        <v>0</v>
      </c>
      <c r="O179" s="217"/>
      <c r="P179" s="217"/>
      <c r="Q179" s="217"/>
      <c r="R179" s="25"/>
      <c r="T179" s="147"/>
      <c r="U179" s="31" t="s">
        <v>45</v>
      </c>
      <c r="V179" s="24"/>
      <c r="W179" s="148">
        <f>$V$179*$K$179</f>
        <v>0</v>
      </c>
      <c r="X179" s="148">
        <v>0.00018</v>
      </c>
      <c r="Y179" s="148">
        <f>$X$179*$K$179</f>
        <v>0.06318</v>
      </c>
      <c r="Z179" s="148">
        <v>0</v>
      </c>
      <c r="AA179" s="149">
        <f>$Z$179*$K$179</f>
        <v>0</v>
      </c>
      <c r="AR179" s="6" t="s">
        <v>172</v>
      </c>
      <c r="AT179" s="6" t="s">
        <v>168</v>
      </c>
      <c r="AU179" s="6" t="s">
        <v>110</v>
      </c>
      <c r="AY179" s="6" t="s">
        <v>167</v>
      </c>
      <c r="BE179" s="93">
        <f>IF($U$179="základní",$N$179,0)</f>
        <v>0</v>
      </c>
      <c r="BF179" s="93">
        <f>IF($U$179="snížená",$N$179,0)</f>
        <v>0</v>
      </c>
      <c r="BG179" s="93">
        <f>IF($U$179="zákl. přenesená",$N$179,0)</f>
        <v>0</v>
      </c>
      <c r="BH179" s="93">
        <f>IF($U$179="sníž. přenesená",$N$179,0)</f>
        <v>0</v>
      </c>
      <c r="BI179" s="93">
        <f>IF($U$179="nulová",$N$179,0)</f>
        <v>0</v>
      </c>
      <c r="BJ179" s="6" t="s">
        <v>22</v>
      </c>
      <c r="BK179" s="93">
        <f>ROUND($L$179*$K$179,2)</f>
        <v>0</v>
      </c>
      <c r="BL179" s="6" t="s">
        <v>172</v>
      </c>
      <c r="BM179" s="6" t="s">
        <v>314</v>
      </c>
    </row>
    <row r="180" spans="2:63" s="132" customFormat="1" ht="30.75" customHeight="1">
      <c r="B180" s="133"/>
      <c r="C180" s="134"/>
      <c r="D180" s="142" t="s">
        <v>127</v>
      </c>
      <c r="E180" s="142"/>
      <c r="F180" s="142"/>
      <c r="G180" s="142"/>
      <c r="H180" s="142"/>
      <c r="I180" s="142"/>
      <c r="J180" s="142"/>
      <c r="K180" s="142"/>
      <c r="L180" s="142"/>
      <c r="M180" s="142"/>
      <c r="N180" s="228">
        <f>$BK$180</f>
        <v>0</v>
      </c>
      <c r="O180" s="227"/>
      <c r="P180" s="227"/>
      <c r="Q180" s="227"/>
      <c r="R180" s="136"/>
      <c r="T180" s="137"/>
      <c r="U180" s="134"/>
      <c r="V180" s="134"/>
      <c r="W180" s="138">
        <f>$W$181+SUM($W$182:$W$203)</f>
        <v>0</v>
      </c>
      <c r="X180" s="134"/>
      <c r="Y180" s="138">
        <f>$Y$181+SUM($Y$182:$Y$203)</f>
        <v>18.72788</v>
      </c>
      <c r="Z180" s="134"/>
      <c r="AA180" s="139">
        <f>$AA$181+SUM($AA$182:$AA$203)</f>
        <v>115.732</v>
      </c>
      <c r="AR180" s="140" t="s">
        <v>22</v>
      </c>
      <c r="AT180" s="140" t="s">
        <v>79</v>
      </c>
      <c r="AU180" s="140" t="s">
        <v>22</v>
      </c>
      <c r="AY180" s="140" t="s">
        <v>167</v>
      </c>
      <c r="BK180" s="141">
        <f>$BK$181+SUM($BK$182:$BK$203)</f>
        <v>0</v>
      </c>
    </row>
    <row r="181" spans="2:65" s="6" customFormat="1" ht="27" customHeight="1">
      <c r="B181" s="23"/>
      <c r="C181" s="143" t="s">
        <v>315</v>
      </c>
      <c r="D181" s="143" t="s">
        <v>168</v>
      </c>
      <c r="E181" s="144" t="s">
        <v>316</v>
      </c>
      <c r="F181" s="216" t="s">
        <v>317</v>
      </c>
      <c r="G181" s="217"/>
      <c r="H181" s="217"/>
      <c r="I181" s="217"/>
      <c r="J181" s="145" t="s">
        <v>225</v>
      </c>
      <c r="K181" s="146">
        <v>111</v>
      </c>
      <c r="L181" s="218">
        <v>0</v>
      </c>
      <c r="M181" s="217"/>
      <c r="N181" s="219">
        <f>ROUND($L$181*$K$181,2)</f>
        <v>0</v>
      </c>
      <c r="O181" s="217"/>
      <c r="P181" s="217"/>
      <c r="Q181" s="217"/>
      <c r="R181" s="25"/>
      <c r="T181" s="147"/>
      <c r="U181" s="31" t="s">
        <v>45</v>
      </c>
      <c r="V181" s="24"/>
      <c r="W181" s="148">
        <f>$V$181*$K$181</f>
        <v>0</v>
      </c>
      <c r="X181" s="148">
        <v>0.10108</v>
      </c>
      <c r="Y181" s="148">
        <f>$X$181*$K$181</f>
        <v>11.21988</v>
      </c>
      <c r="Z181" s="148">
        <v>0</v>
      </c>
      <c r="AA181" s="149">
        <f>$Z$181*$K$181</f>
        <v>0</v>
      </c>
      <c r="AR181" s="6" t="s">
        <v>172</v>
      </c>
      <c r="AT181" s="6" t="s">
        <v>168</v>
      </c>
      <c r="AU181" s="6" t="s">
        <v>110</v>
      </c>
      <c r="AY181" s="6" t="s">
        <v>167</v>
      </c>
      <c r="BE181" s="93">
        <f>IF($U$181="základní",$N$181,0)</f>
        <v>0</v>
      </c>
      <c r="BF181" s="93">
        <f>IF($U$181="snížená",$N$181,0)</f>
        <v>0</v>
      </c>
      <c r="BG181" s="93">
        <f>IF($U$181="zákl. přenesená",$N$181,0)</f>
        <v>0</v>
      </c>
      <c r="BH181" s="93">
        <f>IF($U$181="sníž. přenesená",$N$181,0)</f>
        <v>0</v>
      </c>
      <c r="BI181" s="93">
        <f>IF($U$181="nulová",$N$181,0)</f>
        <v>0</v>
      </c>
      <c r="BJ181" s="6" t="s">
        <v>22</v>
      </c>
      <c r="BK181" s="93">
        <f>ROUND($L$181*$K$181,2)</f>
        <v>0</v>
      </c>
      <c r="BL181" s="6" t="s">
        <v>172</v>
      </c>
      <c r="BM181" s="6" t="s">
        <v>318</v>
      </c>
    </row>
    <row r="182" spans="2:65" s="6" customFormat="1" ht="27" customHeight="1">
      <c r="B182" s="23"/>
      <c r="C182" s="150" t="s">
        <v>319</v>
      </c>
      <c r="D182" s="150" t="s">
        <v>197</v>
      </c>
      <c r="E182" s="151" t="s">
        <v>320</v>
      </c>
      <c r="F182" s="220" t="s">
        <v>321</v>
      </c>
      <c r="G182" s="221"/>
      <c r="H182" s="221"/>
      <c r="I182" s="221"/>
      <c r="J182" s="152" t="s">
        <v>233</v>
      </c>
      <c r="K182" s="153">
        <v>111</v>
      </c>
      <c r="L182" s="222">
        <v>0</v>
      </c>
      <c r="M182" s="221"/>
      <c r="N182" s="223">
        <f>ROUND($L$182*$K$182,2)</f>
        <v>0</v>
      </c>
      <c r="O182" s="217"/>
      <c r="P182" s="217"/>
      <c r="Q182" s="217"/>
      <c r="R182" s="25"/>
      <c r="T182" s="147"/>
      <c r="U182" s="31" t="s">
        <v>45</v>
      </c>
      <c r="V182" s="24"/>
      <c r="W182" s="148">
        <f>$V$182*$K$182</f>
        <v>0</v>
      </c>
      <c r="X182" s="148">
        <v>0.028</v>
      </c>
      <c r="Y182" s="148">
        <f>$X$182*$K$182</f>
        <v>3.108</v>
      </c>
      <c r="Z182" s="148">
        <v>0</v>
      </c>
      <c r="AA182" s="149">
        <f>$Z$182*$K$182</f>
        <v>0</v>
      </c>
      <c r="AR182" s="6" t="s">
        <v>196</v>
      </c>
      <c r="AT182" s="6" t="s">
        <v>197</v>
      </c>
      <c r="AU182" s="6" t="s">
        <v>110</v>
      </c>
      <c r="AY182" s="6" t="s">
        <v>167</v>
      </c>
      <c r="BE182" s="93">
        <f>IF($U$182="základní",$N$182,0)</f>
        <v>0</v>
      </c>
      <c r="BF182" s="93">
        <f>IF($U$182="snížená",$N$182,0)</f>
        <v>0</v>
      </c>
      <c r="BG182" s="93">
        <f>IF($U$182="zákl. přenesená",$N$182,0)</f>
        <v>0</v>
      </c>
      <c r="BH182" s="93">
        <f>IF($U$182="sníž. přenesená",$N$182,0)</f>
        <v>0</v>
      </c>
      <c r="BI182" s="93">
        <f>IF($U$182="nulová",$N$182,0)</f>
        <v>0</v>
      </c>
      <c r="BJ182" s="6" t="s">
        <v>22</v>
      </c>
      <c r="BK182" s="93">
        <f>ROUND($L$182*$K$182,2)</f>
        <v>0</v>
      </c>
      <c r="BL182" s="6" t="s">
        <v>172</v>
      </c>
      <c r="BM182" s="6" t="s">
        <v>322</v>
      </c>
    </row>
    <row r="183" spans="2:65" s="6" customFormat="1" ht="27" customHeight="1">
      <c r="B183" s="23"/>
      <c r="C183" s="143" t="s">
        <v>323</v>
      </c>
      <c r="D183" s="143" t="s">
        <v>168</v>
      </c>
      <c r="E183" s="144" t="s">
        <v>324</v>
      </c>
      <c r="F183" s="216" t="s">
        <v>325</v>
      </c>
      <c r="G183" s="217"/>
      <c r="H183" s="217"/>
      <c r="I183" s="217"/>
      <c r="J183" s="145" t="s">
        <v>205</v>
      </c>
      <c r="K183" s="146">
        <v>2200</v>
      </c>
      <c r="L183" s="218">
        <v>0</v>
      </c>
      <c r="M183" s="217"/>
      <c r="N183" s="219">
        <f>ROUND($L$183*$K$183,2)</f>
        <v>0</v>
      </c>
      <c r="O183" s="217"/>
      <c r="P183" s="217"/>
      <c r="Q183" s="217"/>
      <c r="R183" s="25"/>
      <c r="T183" s="147"/>
      <c r="U183" s="31" t="s">
        <v>45</v>
      </c>
      <c r="V183" s="24"/>
      <c r="W183" s="148">
        <f>$V$183*$K$183</f>
        <v>0</v>
      </c>
      <c r="X183" s="148">
        <v>0.002</v>
      </c>
      <c r="Y183" s="148">
        <f>$X$183*$K$183</f>
        <v>4.4</v>
      </c>
      <c r="Z183" s="148">
        <v>0</v>
      </c>
      <c r="AA183" s="149">
        <f>$Z$183*$K$183</f>
        <v>0</v>
      </c>
      <c r="AR183" s="6" t="s">
        <v>172</v>
      </c>
      <c r="AT183" s="6" t="s">
        <v>168</v>
      </c>
      <c r="AU183" s="6" t="s">
        <v>110</v>
      </c>
      <c r="AY183" s="6" t="s">
        <v>167</v>
      </c>
      <c r="BE183" s="93">
        <f>IF($U$183="základní",$N$183,0)</f>
        <v>0</v>
      </c>
      <c r="BF183" s="93">
        <f>IF($U$183="snížená",$N$183,0)</f>
        <v>0</v>
      </c>
      <c r="BG183" s="93">
        <f>IF($U$183="zákl. přenesená",$N$183,0)</f>
        <v>0</v>
      </c>
      <c r="BH183" s="93">
        <f>IF($U$183="sníž. přenesená",$N$183,0)</f>
        <v>0</v>
      </c>
      <c r="BI183" s="93">
        <f>IF($U$183="nulová",$N$183,0)</f>
        <v>0</v>
      </c>
      <c r="BJ183" s="6" t="s">
        <v>22</v>
      </c>
      <c r="BK183" s="93">
        <f>ROUND($L$183*$K$183,2)</f>
        <v>0</v>
      </c>
      <c r="BL183" s="6" t="s">
        <v>172</v>
      </c>
      <c r="BM183" s="6" t="s">
        <v>326</v>
      </c>
    </row>
    <row r="184" spans="2:65" s="6" customFormat="1" ht="27" customHeight="1">
      <c r="B184" s="23"/>
      <c r="C184" s="143" t="s">
        <v>327</v>
      </c>
      <c r="D184" s="143" t="s">
        <v>168</v>
      </c>
      <c r="E184" s="144" t="s">
        <v>328</v>
      </c>
      <c r="F184" s="216" t="s">
        <v>329</v>
      </c>
      <c r="G184" s="217"/>
      <c r="H184" s="217"/>
      <c r="I184" s="217"/>
      <c r="J184" s="145" t="s">
        <v>205</v>
      </c>
      <c r="K184" s="146">
        <v>4400</v>
      </c>
      <c r="L184" s="218">
        <v>0</v>
      </c>
      <c r="M184" s="217"/>
      <c r="N184" s="219">
        <f>ROUND($L$184*$K$184,2)</f>
        <v>0</v>
      </c>
      <c r="O184" s="217"/>
      <c r="P184" s="217"/>
      <c r="Q184" s="217"/>
      <c r="R184" s="25"/>
      <c r="T184" s="147"/>
      <c r="U184" s="31" t="s">
        <v>45</v>
      </c>
      <c r="V184" s="24"/>
      <c r="W184" s="148">
        <f>$V$184*$K$184</f>
        <v>0</v>
      </c>
      <c r="X184" s="148">
        <v>0</v>
      </c>
      <c r="Y184" s="148">
        <f>$X$184*$K$184</f>
        <v>0</v>
      </c>
      <c r="Z184" s="148">
        <v>0</v>
      </c>
      <c r="AA184" s="149">
        <f>$Z$184*$K$184</f>
        <v>0</v>
      </c>
      <c r="AR184" s="6" t="s">
        <v>172</v>
      </c>
      <c r="AT184" s="6" t="s">
        <v>168</v>
      </c>
      <c r="AU184" s="6" t="s">
        <v>110</v>
      </c>
      <c r="AY184" s="6" t="s">
        <v>167</v>
      </c>
      <c r="BE184" s="93">
        <f>IF($U$184="základní",$N$184,0)</f>
        <v>0</v>
      </c>
      <c r="BF184" s="93">
        <f>IF($U$184="snížená",$N$184,0)</f>
        <v>0</v>
      </c>
      <c r="BG184" s="93">
        <f>IF($U$184="zákl. přenesená",$N$184,0)</f>
        <v>0</v>
      </c>
      <c r="BH184" s="93">
        <f>IF($U$184="sníž. přenesená",$N$184,0)</f>
        <v>0</v>
      </c>
      <c r="BI184" s="93">
        <f>IF($U$184="nulová",$N$184,0)</f>
        <v>0</v>
      </c>
      <c r="BJ184" s="6" t="s">
        <v>22</v>
      </c>
      <c r="BK184" s="93">
        <f>ROUND($L$184*$K$184,2)</f>
        <v>0</v>
      </c>
      <c r="BL184" s="6" t="s">
        <v>172</v>
      </c>
      <c r="BM184" s="6" t="s">
        <v>330</v>
      </c>
    </row>
    <row r="185" spans="2:65" s="6" customFormat="1" ht="27" customHeight="1">
      <c r="B185" s="23"/>
      <c r="C185" s="143" t="s">
        <v>331</v>
      </c>
      <c r="D185" s="143" t="s">
        <v>168</v>
      </c>
      <c r="E185" s="144" t="s">
        <v>332</v>
      </c>
      <c r="F185" s="216" t="s">
        <v>333</v>
      </c>
      <c r="G185" s="217"/>
      <c r="H185" s="217"/>
      <c r="I185" s="217"/>
      <c r="J185" s="145" t="s">
        <v>205</v>
      </c>
      <c r="K185" s="146">
        <v>2200</v>
      </c>
      <c r="L185" s="218">
        <v>0</v>
      </c>
      <c r="M185" s="217"/>
      <c r="N185" s="219">
        <f>ROUND($L$185*$K$185,2)</f>
        <v>0</v>
      </c>
      <c r="O185" s="217"/>
      <c r="P185" s="217"/>
      <c r="Q185" s="217"/>
      <c r="R185" s="25"/>
      <c r="T185" s="147"/>
      <c r="U185" s="31" t="s">
        <v>45</v>
      </c>
      <c r="V185" s="24"/>
      <c r="W185" s="148">
        <f>$V$185*$K$185</f>
        <v>0</v>
      </c>
      <c r="X185" s="148">
        <v>0</v>
      </c>
      <c r="Y185" s="148">
        <f>$X$185*$K$185</f>
        <v>0</v>
      </c>
      <c r="Z185" s="148">
        <v>0</v>
      </c>
      <c r="AA185" s="149">
        <f>$Z$185*$K$185</f>
        <v>0</v>
      </c>
      <c r="AR185" s="6" t="s">
        <v>172</v>
      </c>
      <c r="AT185" s="6" t="s">
        <v>168</v>
      </c>
      <c r="AU185" s="6" t="s">
        <v>110</v>
      </c>
      <c r="AY185" s="6" t="s">
        <v>167</v>
      </c>
      <c r="BE185" s="93">
        <f>IF($U$185="základní",$N$185,0)</f>
        <v>0</v>
      </c>
      <c r="BF185" s="93">
        <f>IF($U$185="snížená",$N$185,0)</f>
        <v>0</v>
      </c>
      <c r="BG185" s="93">
        <f>IF($U$185="zákl. přenesená",$N$185,0)</f>
        <v>0</v>
      </c>
      <c r="BH185" s="93">
        <f>IF($U$185="sníž. přenesená",$N$185,0)</f>
        <v>0</v>
      </c>
      <c r="BI185" s="93">
        <f>IF($U$185="nulová",$N$185,0)</f>
        <v>0</v>
      </c>
      <c r="BJ185" s="6" t="s">
        <v>22</v>
      </c>
      <c r="BK185" s="93">
        <f>ROUND($L$185*$K$185,2)</f>
        <v>0</v>
      </c>
      <c r="BL185" s="6" t="s">
        <v>172</v>
      </c>
      <c r="BM185" s="6" t="s">
        <v>334</v>
      </c>
    </row>
    <row r="186" spans="2:65" s="6" customFormat="1" ht="27" customHeight="1">
      <c r="B186" s="23"/>
      <c r="C186" s="143" t="s">
        <v>335</v>
      </c>
      <c r="D186" s="143" t="s">
        <v>168</v>
      </c>
      <c r="E186" s="144" t="s">
        <v>336</v>
      </c>
      <c r="F186" s="216" t="s">
        <v>337</v>
      </c>
      <c r="G186" s="217"/>
      <c r="H186" s="217"/>
      <c r="I186" s="217"/>
      <c r="J186" s="145" t="s">
        <v>205</v>
      </c>
      <c r="K186" s="146">
        <v>2200</v>
      </c>
      <c r="L186" s="218">
        <v>0</v>
      </c>
      <c r="M186" s="217"/>
      <c r="N186" s="219">
        <f>ROUND($L$186*$K$186,2)</f>
        <v>0</v>
      </c>
      <c r="O186" s="217"/>
      <c r="P186" s="217"/>
      <c r="Q186" s="217"/>
      <c r="R186" s="25"/>
      <c r="T186" s="147"/>
      <c r="U186" s="31" t="s">
        <v>45</v>
      </c>
      <c r="V186" s="24"/>
      <c r="W186" s="148">
        <f>$V$186*$K$186</f>
        <v>0</v>
      </c>
      <c r="X186" s="148">
        <v>0</v>
      </c>
      <c r="Y186" s="148">
        <f>$X$186*$K$186</f>
        <v>0</v>
      </c>
      <c r="Z186" s="148">
        <v>0</v>
      </c>
      <c r="AA186" s="149">
        <f>$Z$186*$K$186</f>
        <v>0</v>
      </c>
      <c r="AR186" s="6" t="s">
        <v>172</v>
      </c>
      <c r="AT186" s="6" t="s">
        <v>168</v>
      </c>
      <c r="AU186" s="6" t="s">
        <v>110</v>
      </c>
      <c r="AY186" s="6" t="s">
        <v>167</v>
      </c>
      <c r="BE186" s="93">
        <f>IF($U$186="základní",$N$186,0)</f>
        <v>0</v>
      </c>
      <c r="BF186" s="93">
        <f>IF($U$186="snížená",$N$186,0)</f>
        <v>0</v>
      </c>
      <c r="BG186" s="93">
        <f>IF($U$186="zákl. přenesená",$N$186,0)</f>
        <v>0</v>
      </c>
      <c r="BH186" s="93">
        <f>IF($U$186="sníž. přenesená",$N$186,0)</f>
        <v>0</v>
      </c>
      <c r="BI186" s="93">
        <f>IF($U$186="nulová",$N$186,0)</f>
        <v>0</v>
      </c>
      <c r="BJ186" s="6" t="s">
        <v>22</v>
      </c>
      <c r="BK186" s="93">
        <f>ROUND($L$186*$K$186,2)</f>
        <v>0</v>
      </c>
      <c r="BL186" s="6" t="s">
        <v>172</v>
      </c>
      <c r="BM186" s="6" t="s">
        <v>338</v>
      </c>
    </row>
    <row r="187" spans="2:65" s="6" customFormat="1" ht="27" customHeight="1">
      <c r="B187" s="23"/>
      <c r="C187" s="143" t="s">
        <v>339</v>
      </c>
      <c r="D187" s="143" t="s">
        <v>168</v>
      </c>
      <c r="E187" s="144" t="s">
        <v>340</v>
      </c>
      <c r="F187" s="216" t="s">
        <v>341</v>
      </c>
      <c r="G187" s="217"/>
      <c r="H187" s="217"/>
      <c r="I187" s="217"/>
      <c r="J187" s="145" t="s">
        <v>205</v>
      </c>
      <c r="K187" s="146">
        <v>4400</v>
      </c>
      <c r="L187" s="218">
        <v>0</v>
      </c>
      <c r="M187" s="217"/>
      <c r="N187" s="219">
        <f>ROUND($L$187*$K$187,2)</f>
        <v>0</v>
      </c>
      <c r="O187" s="217"/>
      <c r="P187" s="217"/>
      <c r="Q187" s="217"/>
      <c r="R187" s="25"/>
      <c r="T187" s="147"/>
      <c r="U187" s="31" t="s">
        <v>45</v>
      </c>
      <c r="V187" s="24"/>
      <c r="W187" s="148">
        <f>$V$187*$K$187</f>
        <v>0</v>
      </c>
      <c r="X187" s="148">
        <v>0</v>
      </c>
      <c r="Y187" s="148">
        <f>$X$187*$K$187</f>
        <v>0</v>
      </c>
      <c r="Z187" s="148">
        <v>0</v>
      </c>
      <c r="AA187" s="149">
        <f>$Z$187*$K$187</f>
        <v>0</v>
      </c>
      <c r="AR187" s="6" t="s">
        <v>172</v>
      </c>
      <c r="AT187" s="6" t="s">
        <v>168</v>
      </c>
      <c r="AU187" s="6" t="s">
        <v>110</v>
      </c>
      <c r="AY187" s="6" t="s">
        <v>167</v>
      </c>
      <c r="BE187" s="93">
        <f>IF($U$187="základní",$N$187,0)</f>
        <v>0</v>
      </c>
      <c r="BF187" s="93">
        <f>IF($U$187="snížená",$N$187,0)</f>
        <v>0</v>
      </c>
      <c r="BG187" s="93">
        <f>IF($U$187="zákl. přenesená",$N$187,0)</f>
        <v>0</v>
      </c>
      <c r="BH187" s="93">
        <f>IF($U$187="sníž. přenesená",$N$187,0)</f>
        <v>0</v>
      </c>
      <c r="BI187" s="93">
        <f>IF($U$187="nulová",$N$187,0)</f>
        <v>0</v>
      </c>
      <c r="BJ187" s="6" t="s">
        <v>22</v>
      </c>
      <c r="BK187" s="93">
        <f>ROUND($L$187*$K$187,2)</f>
        <v>0</v>
      </c>
      <c r="BL187" s="6" t="s">
        <v>172</v>
      </c>
      <c r="BM187" s="6" t="s">
        <v>342</v>
      </c>
    </row>
    <row r="188" spans="2:65" s="6" customFormat="1" ht="27" customHeight="1">
      <c r="B188" s="23"/>
      <c r="C188" s="143" t="s">
        <v>343</v>
      </c>
      <c r="D188" s="143" t="s">
        <v>168</v>
      </c>
      <c r="E188" s="144" t="s">
        <v>344</v>
      </c>
      <c r="F188" s="216" t="s">
        <v>345</v>
      </c>
      <c r="G188" s="217"/>
      <c r="H188" s="217"/>
      <c r="I188" s="217"/>
      <c r="J188" s="145" t="s">
        <v>205</v>
      </c>
      <c r="K188" s="146">
        <v>2200</v>
      </c>
      <c r="L188" s="218">
        <v>0</v>
      </c>
      <c r="M188" s="217"/>
      <c r="N188" s="219">
        <f>ROUND($L$188*$K$188,2)</f>
        <v>0</v>
      </c>
      <c r="O188" s="217"/>
      <c r="P188" s="217"/>
      <c r="Q188" s="217"/>
      <c r="R188" s="25"/>
      <c r="T188" s="147"/>
      <c r="U188" s="31" t="s">
        <v>45</v>
      </c>
      <c r="V188" s="24"/>
      <c r="W188" s="148">
        <f>$V$188*$K$188</f>
        <v>0</v>
      </c>
      <c r="X188" s="148">
        <v>0</v>
      </c>
      <c r="Y188" s="148">
        <f>$X$188*$K$188</f>
        <v>0</v>
      </c>
      <c r="Z188" s="148">
        <v>0</v>
      </c>
      <c r="AA188" s="149">
        <f>$Z$188*$K$188</f>
        <v>0</v>
      </c>
      <c r="AR188" s="6" t="s">
        <v>172</v>
      </c>
      <c r="AT188" s="6" t="s">
        <v>168</v>
      </c>
      <c r="AU188" s="6" t="s">
        <v>110</v>
      </c>
      <c r="AY188" s="6" t="s">
        <v>167</v>
      </c>
      <c r="BE188" s="93">
        <f>IF($U$188="základní",$N$188,0)</f>
        <v>0</v>
      </c>
      <c r="BF188" s="93">
        <f>IF($U$188="snížená",$N$188,0)</f>
        <v>0</v>
      </c>
      <c r="BG188" s="93">
        <f>IF($U$188="zákl. přenesená",$N$188,0)</f>
        <v>0</v>
      </c>
      <c r="BH188" s="93">
        <f>IF($U$188="sníž. přenesená",$N$188,0)</f>
        <v>0</v>
      </c>
      <c r="BI188" s="93">
        <f>IF($U$188="nulová",$N$188,0)</f>
        <v>0</v>
      </c>
      <c r="BJ188" s="6" t="s">
        <v>22</v>
      </c>
      <c r="BK188" s="93">
        <f>ROUND($L$188*$K$188,2)</f>
        <v>0</v>
      </c>
      <c r="BL188" s="6" t="s">
        <v>172</v>
      </c>
      <c r="BM188" s="6" t="s">
        <v>346</v>
      </c>
    </row>
    <row r="189" spans="2:65" s="6" customFormat="1" ht="15.75" customHeight="1">
      <c r="B189" s="23"/>
      <c r="C189" s="143" t="s">
        <v>347</v>
      </c>
      <c r="D189" s="143" t="s">
        <v>168</v>
      </c>
      <c r="E189" s="144" t="s">
        <v>348</v>
      </c>
      <c r="F189" s="216" t="s">
        <v>349</v>
      </c>
      <c r="G189" s="217"/>
      <c r="H189" s="217"/>
      <c r="I189" s="217"/>
      <c r="J189" s="145" t="s">
        <v>233</v>
      </c>
      <c r="K189" s="146">
        <v>3</v>
      </c>
      <c r="L189" s="218">
        <v>0</v>
      </c>
      <c r="M189" s="217"/>
      <c r="N189" s="219">
        <f>ROUND($L$189*$K$189,2)</f>
        <v>0</v>
      </c>
      <c r="O189" s="217"/>
      <c r="P189" s="217"/>
      <c r="Q189" s="217"/>
      <c r="R189" s="25"/>
      <c r="T189" s="147"/>
      <c r="U189" s="31" t="s">
        <v>45</v>
      </c>
      <c r="V189" s="24"/>
      <c r="W189" s="148">
        <f>$V$189*$K$189</f>
        <v>0</v>
      </c>
      <c r="X189" s="148">
        <v>0</v>
      </c>
      <c r="Y189" s="148">
        <f>$X$189*$K$189</f>
        <v>0</v>
      </c>
      <c r="Z189" s="148">
        <v>0</v>
      </c>
      <c r="AA189" s="149">
        <f>$Z$189*$K$189</f>
        <v>0</v>
      </c>
      <c r="AR189" s="6" t="s">
        <v>172</v>
      </c>
      <c r="AT189" s="6" t="s">
        <v>168</v>
      </c>
      <c r="AU189" s="6" t="s">
        <v>110</v>
      </c>
      <c r="AY189" s="6" t="s">
        <v>167</v>
      </c>
      <c r="BE189" s="93">
        <f>IF($U$189="základní",$N$189,0)</f>
        <v>0</v>
      </c>
      <c r="BF189" s="93">
        <f>IF($U$189="snížená",$N$189,0)</f>
        <v>0</v>
      </c>
      <c r="BG189" s="93">
        <f>IF($U$189="zákl. přenesená",$N$189,0)</f>
        <v>0</v>
      </c>
      <c r="BH189" s="93">
        <f>IF($U$189="sníž. přenesená",$N$189,0)</f>
        <v>0</v>
      </c>
      <c r="BI189" s="93">
        <f>IF($U$189="nulová",$N$189,0)</f>
        <v>0</v>
      </c>
      <c r="BJ189" s="6" t="s">
        <v>22</v>
      </c>
      <c r="BK189" s="93">
        <f>ROUND($L$189*$K$189,2)</f>
        <v>0</v>
      </c>
      <c r="BL189" s="6" t="s">
        <v>172</v>
      </c>
      <c r="BM189" s="6" t="s">
        <v>350</v>
      </c>
    </row>
    <row r="190" spans="2:65" s="6" customFormat="1" ht="27" customHeight="1">
      <c r="B190" s="23"/>
      <c r="C190" s="143" t="s">
        <v>351</v>
      </c>
      <c r="D190" s="143" t="s">
        <v>168</v>
      </c>
      <c r="E190" s="144" t="s">
        <v>352</v>
      </c>
      <c r="F190" s="216" t="s">
        <v>353</v>
      </c>
      <c r="G190" s="217"/>
      <c r="H190" s="217"/>
      <c r="I190" s="217"/>
      <c r="J190" s="145" t="s">
        <v>171</v>
      </c>
      <c r="K190" s="146">
        <v>16.65</v>
      </c>
      <c r="L190" s="218">
        <v>0</v>
      </c>
      <c r="M190" s="217"/>
      <c r="N190" s="219">
        <f>ROUND($L$190*$K$190,2)</f>
        <v>0</v>
      </c>
      <c r="O190" s="217"/>
      <c r="P190" s="217"/>
      <c r="Q190" s="217"/>
      <c r="R190" s="25"/>
      <c r="T190" s="147"/>
      <c r="U190" s="31" t="s">
        <v>45</v>
      </c>
      <c r="V190" s="24"/>
      <c r="W190" s="148">
        <f>$V$190*$K$190</f>
        <v>0</v>
      </c>
      <c r="X190" s="148">
        <v>0</v>
      </c>
      <c r="Y190" s="148">
        <f>$X$190*$K$190</f>
        <v>0</v>
      </c>
      <c r="Z190" s="148">
        <v>2.2</v>
      </c>
      <c r="AA190" s="149">
        <f>$Z$190*$K$190</f>
        <v>36.63</v>
      </c>
      <c r="AR190" s="6" t="s">
        <v>230</v>
      </c>
      <c r="AT190" s="6" t="s">
        <v>168</v>
      </c>
      <c r="AU190" s="6" t="s">
        <v>110</v>
      </c>
      <c r="AY190" s="6" t="s">
        <v>167</v>
      </c>
      <c r="BE190" s="93">
        <f>IF($U$190="základní",$N$190,0)</f>
        <v>0</v>
      </c>
      <c r="BF190" s="93">
        <f>IF($U$190="snížená",$N$190,0)</f>
        <v>0</v>
      </c>
      <c r="BG190" s="93">
        <f>IF($U$190="zákl. přenesená",$N$190,0)</f>
        <v>0</v>
      </c>
      <c r="BH190" s="93">
        <f>IF($U$190="sníž. přenesená",$N$190,0)</f>
        <v>0</v>
      </c>
      <c r="BI190" s="93">
        <f>IF($U$190="nulová",$N$190,0)</f>
        <v>0</v>
      </c>
      <c r="BJ190" s="6" t="s">
        <v>22</v>
      </c>
      <c r="BK190" s="93">
        <f>ROUND($L$190*$K$190,2)</f>
        <v>0</v>
      </c>
      <c r="BL190" s="6" t="s">
        <v>230</v>
      </c>
      <c r="BM190" s="6" t="s">
        <v>354</v>
      </c>
    </row>
    <row r="191" spans="2:65" s="6" customFormat="1" ht="27" customHeight="1">
      <c r="B191" s="23"/>
      <c r="C191" s="143" t="s">
        <v>355</v>
      </c>
      <c r="D191" s="143" t="s">
        <v>168</v>
      </c>
      <c r="E191" s="144" t="s">
        <v>356</v>
      </c>
      <c r="F191" s="216" t="s">
        <v>357</v>
      </c>
      <c r="G191" s="217"/>
      <c r="H191" s="217"/>
      <c r="I191" s="217"/>
      <c r="J191" s="145" t="s">
        <v>205</v>
      </c>
      <c r="K191" s="146">
        <v>1115</v>
      </c>
      <c r="L191" s="218">
        <v>0</v>
      </c>
      <c r="M191" s="217"/>
      <c r="N191" s="219">
        <f>ROUND($L$191*$K$191,2)</f>
        <v>0</v>
      </c>
      <c r="O191" s="217"/>
      <c r="P191" s="217"/>
      <c r="Q191" s="217"/>
      <c r="R191" s="25"/>
      <c r="T191" s="147"/>
      <c r="U191" s="31" t="s">
        <v>45</v>
      </c>
      <c r="V191" s="24"/>
      <c r="W191" s="148">
        <f>$V$191*$K$191</f>
        <v>0</v>
      </c>
      <c r="X191" s="148">
        <v>0</v>
      </c>
      <c r="Y191" s="148">
        <f>$X$191*$K$191</f>
        <v>0</v>
      </c>
      <c r="Z191" s="148">
        <v>0.014</v>
      </c>
      <c r="AA191" s="149">
        <f>$Z$191*$K$191</f>
        <v>15.610000000000001</v>
      </c>
      <c r="AR191" s="6" t="s">
        <v>172</v>
      </c>
      <c r="AT191" s="6" t="s">
        <v>168</v>
      </c>
      <c r="AU191" s="6" t="s">
        <v>110</v>
      </c>
      <c r="AY191" s="6" t="s">
        <v>167</v>
      </c>
      <c r="BE191" s="93">
        <f>IF($U$191="základní",$N$191,0)</f>
        <v>0</v>
      </c>
      <c r="BF191" s="93">
        <f>IF($U$191="snížená",$N$191,0)</f>
        <v>0</v>
      </c>
      <c r="BG191" s="93">
        <f>IF($U$191="zákl. přenesená",$N$191,0)</f>
        <v>0</v>
      </c>
      <c r="BH191" s="93">
        <f>IF($U$191="sníž. přenesená",$N$191,0)</f>
        <v>0</v>
      </c>
      <c r="BI191" s="93">
        <f>IF($U$191="nulová",$N$191,0)</f>
        <v>0</v>
      </c>
      <c r="BJ191" s="6" t="s">
        <v>22</v>
      </c>
      <c r="BK191" s="93">
        <f>ROUND($L$191*$K$191,2)</f>
        <v>0</v>
      </c>
      <c r="BL191" s="6" t="s">
        <v>172</v>
      </c>
      <c r="BM191" s="6" t="s">
        <v>358</v>
      </c>
    </row>
    <row r="192" spans="2:65" s="6" customFormat="1" ht="27" customHeight="1">
      <c r="B192" s="23"/>
      <c r="C192" s="143" t="s">
        <v>359</v>
      </c>
      <c r="D192" s="143" t="s">
        <v>168</v>
      </c>
      <c r="E192" s="144" t="s">
        <v>360</v>
      </c>
      <c r="F192" s="216" t="s">
        <v>361</v>
      </c>
      <c r="G192" s="217"/>
      <c r="H192" s="217"/>
      <c r="I192" s="217"/>
      <c r="J192" s="145" t="s">
        <v>205</v>
      </c>
      <c r="K192" s="146">
        <v>1716</v>
      </c>
      <c r="L192" s="218">
        <v>0</v>
      </c>
      <c r="M192" s="217"/>
      <c r="N192" s="219">
        <f>ROUND($L$192*$K$192,2)</f>
        <v>0</v>
      </c>
      <c r="O192" s="217"/>
      <c r="P192" s="217"/>
      <c r="Q192" s="217"/>
      <c r="R192" s="25"/>
      <c r="T192" s="147"/>
      <c r="U192" s="31" t="s">
        <v>45</v>
      </c>
      <c r="V192" s="24"/>
      <c r="W192" s="148">
        <f>$V$192*$K$192</f>
        <v>0</v>
      </c>
      <c r="X192" s="148">
        <v>0</v>
      </c>
      <c r="Y192" s="148">
        <f>$X$192*$K$192</f>
        <v>0</v>
      </c>
      <c r="Z192" s="148">
        <v>0.037</v>
      </c>
      <c r="AA192" s="149">
        <f>$Z$192*$K$192</f>
        <v>63.492</v>
      </c>
      <c r="AR192" s="6" t="s">
        <v>172</v>
      </c>
      <c r="AT192" s="6" t="s">
        <v>168</v>
      </c>
      <c r="AU192" s="6" t="s">
        <v>110</v>
      </c>
      <c r="AY192" s="6" t="s">
        <v>167</v>
      </c>
      <c r="BE192" s="93">
        <f>IF($U$192="základní",$N$192,0)</f>
        <v>0</v>
      </c>
      <c r="BF192" s="93">
        <f>IF($U$192="snížená",$N$192,0)</f>
        <v>0</v>
      </c>
      <c r="BG192" s="93">
        <f>IF($U$192="zákl. přenesená",$N$192,0)</f>
        <v>0</v>
      </c>
      <c r="BH192" s="93">
        <f>IF($U$192="sníž. přenesená",$N$192,0)</f>
        <v>0</v>
      </c>
      <c r="BI192" s="93">
        <f>IF($U$192="nulová",$N$192,0)</f>
        <v>0</v>
      </c>
      <c r="BJ192" s="6" t="s">
        <v>22</v>
      </c>
      <c r="BK192" s="93">
        <f>ROUND($L$192*$K$192,2)</f>
        <v>0</v>
      </c>
      <c r="BL192" s="6" t="s">
        <v>172</v>
      </c>
      <c r="BM192" s="6" t="s">
        <v>362</v>
      </c>
    </row>
    <row r="193" spans="2:65" s="6" customFormat="1" ht="15.75" customHeight="1">
      <c r="B193" s="23"/>
      <c r="C193" s="143" t="s">
        <v>363</v>
      </c>
      <c r="D193" s="143" t="s">
        <v>168</v>
      </c>
      <c r="E193" s="144" t="s">
        <v>364</v>
      </c>
      <c r="F193" s="216" t="s">
        <v>365</v>
      </c>
      <c r="G193" s="217"/>
      <c r="H193" s="217"/>
      <c r="I193" s="217"/>
      <c r="J193" s="145" t="s">
        <v>200</v>
      </c>
      <c r="K193" s="146">
        <v>116.606</v>
      </c>
      <c r="L193" s="218">
        <v>0</v>
      </c>
      <c r="M193" s="217"/>
      <c r="N193" s="219">
        <f>ROUND($L$193*$K$193,2)</f>
        <v>0</v>
      </c>
      <c r="O193" s="217"/>
      <c r="P193" s="217"/>
      <c r="Q193" s="217"/>
      <c r="R193" s="25"/>
      <c r="T193" s="147"/>
      <c r="U193" s="31" t="s">
        <v>45</v>
      </c>
      <c r="V193" s="24"/>
      <c r="W193" s="148">
        <f>$V$193*$K$193</f>
        <v>0</v>
      </c>
      <c r="X193" s="148">
        <v>0</v>
      </c>
      <c r="Y193" s="148">
        <f>$X$193*$K$193</f>
        <v>0</v>
      </c>
      <c r="Z193" s="148">
        <v>0</v>
      </c>
      <c r="AA193" s="149">
        <f>$Z$193*$K$193</f>
        <v>0</v>
      </c>
      <c r="AR193" s="6" t="s">
        <v>172</v>
      </c>
      <c r="AT193" s="6" t="s">
        <v>168</v>
      </c>
      <c r="AU193" s="6" t="s">
        <v>110</v>
      </c>
      <c r="AY193" s="6" t="s">
        <v>167</v>
      </c>
      <c r="BE193" s="93">
        <f>IF($U$193="základní",$N$193,0)</f>
        <v>0</v>
      </c>
      <c r="BF193" s="93">
        <f>IF($U$193="snížená",$N$193,0)</f>
        <v>0</v>
      </c>
      <c r="BG193" s="93">
        <f>IF($U$193="zákl. přenesená",$N$193,0)</f>
        <v>0</v>
      </c>
      <c r="BH193" s="93">
        <f>IF($U$193="sníž. přenesená",$N$193,0)</f>
        <v>0</v>
      </c>
      <c r="BI193" s="93">
        <f>IF($U$193="nulová",$N$193,0)</f>
        <v>0</v>
      </c>
      <c r="BJ193" s="6" t="s">
        <v>22</v>
      </c>
      <c r="BK193" s="93">
        <f>ROUND($L$193*$K$193,2)</f>
        <v>0</v>
      </c>
      <c r="BL193" s="6" t="s">
        <v>172</v>
      </c>
      <c r="BM193" s="6" t="s">
        <v>366</v>
      </c>
    </row>
    <row r="194" spans="2:65" s="6" customFormat="1" ht="27" customHeight="1">
      <c r="B194" s="23"/>
      <c r="C194" s="143" t="s">
        <v>367</v>
      </c>
      <c r="D194" s="143" t="s">
        <v>168</v>
      </c>
      <c r="E194" s="144" t="s">
        <v>368</v>
      </c>
      <c r="F194" s="216" t="s">
        <v>369</v>
      </c>
      <c r="G194" s="217"/>
      <c r="H194" s="217"/>
      <c r="I194" s="217"/>
      <c r="J194" s="145" t="s">
        <v>200</v>
      </c>
      <c r="K194" s="146">
        <v>116.606</v>
      </c>
      <c r="L194" s="218">
        <v>0</v>
      </c>
      <c r="M194" s="217"/>
      <c r="N194" s="219">
        <f>ROUND($L$194*$K$194,2)</f>
        <v>0</v>
      </c>
      <c r="O194" s="217"/>
      <c r="P194" s="217"/>
      <c r="Q194" s="217"/>
      <c r="R194" s="25"/>
      <c r="T194" s="147"/>
      <c r="U194" s="31" t="s">
        <v>45</v>
      </c>
      <c r="V194" s="24"/>
      <c r="W194" s="148">
        <f>$V$194*$K$194</f>
        <v>0</v>
      </c>
      <c r="X194" s="148">
        <v>0</v>
      </c>
      <c r="Y194" s="148">
        <f>$X$194*$K$194</f>
        <v>0</v>
      </c>
      <c r="Z194" s="148">
        <v>0</v>
      </c>
      <c r="AA194" s="149">
        <f>$Z$194*$K$194</f>
        <v>0</v>
      </c>
      <c r="AR194" s="6" t="s">
        <v>172</v>
      </c>
      <c r="AT194" s="6" t="s">
        <v>168</v>
      </c>
      <c r="AU194" s="6" t="s">
        <v>110</v>
      </c>
      <c r="AY194" s="6" t="s">
        <v>167</v>
      </c>
      <c r="BE194" s="93">
        <f>IF($U$194="základní",$N$194,0)</f>
        <v>0</v>
      </c>
      <c r="BF194" s="93">
        <f>IF($U$194="snížená",$N$194,0)</f>
        <v>0</v>
      </c>
      <c r="BG194" s="93">
        <f>IF($U$194="zákl. přenesená",$N$194,0)</f>
        <v>0</v>
      </c>
      <c r="BH194" s="93">
        <f>IF($U$194="sníž. přenesená",$N$194,0)</f>
        <v>0</v>
      </c>
      <c r="BI194" s="93">
        <f>IF($U$194="nulová",$N$194,0)</f>
        <v>0</v>
      </c>
      <c r="BJ194" s="6" t="s">
        <v>22</v>
      </c>
      <c r="BK194" s="93">
        <f>ROUND($L$194*$K$194,2)</f>
        <v>0</v>
      </c>
      <c r="BL194" s="6" t="s">
        <v>172</v>
      </c>
      <c r="BM194" s="6" t="s">
        <v>370</v>
      </c>
    </row>
    <row r="195" spans="2:65" s="6" customFormat="1" ht="27" customHeight="1">
      <c r="B195" s="23"/>
      <c r="C195" s="143" t="s">
        <v>371</v>
      </c>
      <c r="D195" s="143" t="s">
        <v>168</v>
      </c>
      <c r="E195" s="144" t="s">
        <v>372</v>
      </c>
      <c r="F195" s="216" t="s">
        <v>373</v>
      </c>
      <c r="G195" s="217"/>
      <c r="H195" s="217"/>
      <c r="I195" s="217"/>
      <c r="J195" s="145" t="s">
        <v>200</v>
      </c>
      <c r="K195" s="146">
        <v>349.818</v>
      </c>
      <c r="L195" s="218">
        <v>0</v>
      </c>
      <c r="M195" s="217"/>
      <c r="N195" s="219">
        <f>ROUND($L$195*$K$195,2)</f>
        <v>0</v>
      </c>
      <c r="O195" s="217"/>
      <c r="P195" s="217"/>
      <c r="Q195" s="217"/>
      <c r="R195" s="25"/>
      <c r="T195" s="147"/>
      <c r="U195" s="31" t="s">
        <v>45</v>
      </c>
      <c r="V195" s="24"/>
      <c r="W195" s="148">
        <f>$V$195*$K$195</f>
        <v>0</v>
      </c>
      <c r="X195" s="148">
        <v>0</v>
      </c>
      <c r="Y195" s="148">
        <f>$X$195*$K$195</f>
        <v>0</v>
      </c>
      <c r="Z195" s="148">
        <v>0</v>
      </c>
      <c r="AA195" s="149">
        <f>$Z$195*$K$195</f>
        <v>0</v>
      </c>
      <c r="AR195" s="6" t="s">
        <v>172</v>
      </c>
      <c r="AT195" s="6" t="s">
        <v>168</v>
      </c>
      <c r="AU195" s="6" t="s">
        <v>110</v>
      </c>
      <c r="AY195" s="6" t="s">
        <v>167</v>
      </c>
      <c r="BE195" s="93">
        <f>IF($U$195="základní",$N$195,0)</f>
        <v>0</v>
      </c>
      <c r="BF195" s="93">
        <f>IF($U$195="snížená",$N$195,0)</f>
        <v>0</v>
      </c>
      <c r="BG195" s="93">
        <f>IF($U$195="zákl. přenesená",$N$195,0)</f>
        <v>0</v>
      </c>
      <c r="BH195" s="93">
        <f>IF($U$195="sníž. přenesená",$N$195,0)</f>
        <v>0</v>
      </c>
      <c r="BI195" s="93">
        <f>IF($U$195="nulová",$N$195,0)</f>
        <v>0</v>
      </c>
      <c r="BJ195" s="6" t="s">
        <v>22</v>
      </c>
      <c r="BK195" s="93">
        <f>ROUND($L$195*$K$195,2)</f>
        <v>0</v>
      </c>
      <c r="BL195" s="6" t="s">
        <v>172</v>
      </c>
      <c r="BM195" s="6" t="s">
        <v>374</v>
      </c>
    </row>
    <row r="196" spans="2:65" s="6" customFormat="1" ht="27" customHeight="1">
      <c r="B196" s="23"/>
      <c r="C196" s="143" t="s">
        <v>375</v>
      </c>
      <c r="D196" s="143" t="s">
        <v>168</v>
      </c>
      <c r="E196" s="144" t="s">
        <v>376</v>
      </c>
      <c r="F196" s="216" t="s">
        <v>377</v>
      </c>
      <c r="G196" s="217"/>
      <c r="H196" s="217"/>
      <c r="I196" s="217"/>
      <c r="J196" s="145" t="s">
        <v>200</v>
      </c>
      <c r="K196" s="146">
        <v>116.606</v>
      </c>
      <c r="L196" s="218">
        <v>0</v>
      </c>
      <c r="M196" s="217"/>
      <c r="N196" s="219">
        <f>ROUND($L$196*$K$196,2)</f>
        <v>0</v>
      </c>
      <c r="O196" s="217"/>
      <c r="P196" s="217"/>
      <c r="Q196" s="217"/>
      <c r="R196" s="25"/>
      <c r="T196" s="147"/>
      <c r="U196" s="31" t="s">
        <v>45</v>
      </c>
      <c r="V196" s="24"/>
      <c r="W196" s="148">
        <f>$V$196*$K$196</f>
        <v>0</v>
      </c>
      <c r="X196" s="148">
        <v>0</v>
      </c>
      <c r="Y196" s="148">
        <f>$X$196*$K$196</f>
        <v>0</v>
      </c>
      <c r="Z196" s="148">
        <v>0</v>
      </c>
      <c r="AA196" s="149">
        <f>$Z$196*$K$196</f>
        <v>0</v>
      </c>
      <c r="AR196" s="6" t="s">
        <v>172</v>
      </c>
      <c r="AT196" s="6" t="s">
        <v>168</v>
      </c>
      <c r="AU196" s="6" t="s">
        <v>110</v>
      </c>
      <c r="AY196" s="6" t="s">
        <v>167</v>
      </c>
      <c r="BE196" s="93">
        <f>IF($U$196="základní",$N$196,0)</f>
        <v>0</v>
      </c>
      <c r="BF196" s="93">
        <f>IF($U$196="snížená",$N$196,0)</f>
        <v>0</v>
      </c>
      <c r="BG196" s="93">
        <f>IF($U$196="zákl. přenesená",$N$196,0)</f>
        <v>0</v>
      </c>
      <c r="BH196" s="93">
        <f>IF($U$196="sníž. přenesená",$N$196,0)</f>
        <v>0</v>
      </c>
      <c r="BI196" s="93">
        <f>IF($U$196="nulová",$N$196,0)</f>
        <v>0</v>
      </c>
      <c r="BJ196" s="6" t="s">
        <v>22</v>
      </c>
      <c r="BK196" s="93">
        <f>ROUND($L$196*$K$196,2)</f>
        <v>0</v>
      </c>
      <c r="BL196" s="6" t="s">
        <v>172</v>
      </c>
      <c r="BM196" s="6" t="s">
        <v>378</v>
      </c>
    </row>
    <row r="197" spans="2:65" s="6" customFormat="1" ht="27" customHeight="1">
      <c r="B197" s="23"/>
      <c r="C197" s="143" t="s">
        <v>379</v>
      </c>
      <c r="D197" s="143" t="s">
        <v>168</v>
      </c>
      <c r="E197" s="144" t="s">
        <v>380</v>
      </c>
      <c r="F197" s="216" t="s">
        <v>381</v>
      </c>
      <c r="G197" s="217"/>
      <c r="H197" s="217"/>
      <c r="I197" s="217"/>
      <c r="J197" s="145" t="s">
        <v>200</v>
      </c>
      <c r="K197" s="146">
        <v>583.03</v>
      </c>
      <c r="L197" s="218">
        <v>0</v>
      </c>
      <c r="M197" s="217"/>
      <c r="N197" s="219">
        <f>ROUND($L$197*$K$197,2)</f>
        <v>0</v>
      </c>
      <c r="O197" s="217"/>
      <c r="P197" s="217"/>
      <c r="Q197" s="217"/>
      <c r="R197" s="25"/>
      <c r="T197" s="147"/>
      <c r="U197" s="31" t="s">
        <v>45</v>
      </c>
      <c r="V197" s="24"/>
      <c r="W197" s="148">
        <f>$V$197*$K$197</f>
        <v>0</v>
      </c>
      <c r="X197" s="148">
        <v>0</v>
      </c>
      <c r="Y197" s="148">
        <f>$X$197*$K$197</f>
        <v>0</v>
      </c>
      <c r="Z197" s="148">
        <v>0</v>
      </c>
      <c r="AA197" s="149">
        <f>$Z$197*$K$197</f>
        <v>0</v>
      </c>
      <c r="AR197" s="6" t="s">
        <v>172</v>
      </c>
      <c r="AT197" s="6" t="s">
        <v>168</v>
      </c>
      <c r="AU197" s="6" t="s">
        <v>110</v>
      </c>
      <c r="AY197" s="6" t="s">
        <v>167</v>
      </c>
      <c r="BE197" s="93">
        <f>IF($U$197="základní",$N$197,0)</f>
        <v>0</v>
      </c>
      <c r="BF197" s="93">
        <f>IF($U$197="snížená",$N$197,0)</f>
        <v>0</v>
      </c>
      <c r="BG197" s="93">
        <f>IF($U$197="zákl. přenesená",$N$197,0)</f>
        <v>0</v>
      </c>
      <c r="BH197" s="93">
        <f>IF($U$197="sníž. přenesená",$N$197,0)</f>
        <v>0</v>
      </c>
      <c r="BI197" s="93">
        <f>IF($U$197="nulová",$N$197,0)</f>
        <v>0</v>
      </c>
      <c r="BJ197" s="6" t="s">
        <v>22</v>
      </c>
      <c r="BK197" s="93">
        <f>ROUND($L$197*$K$197,2)</f>
        <v>0</v>
      </c>
      <c r="BL197" s="6" t="s">
        <v>172</v>
      </c>
      <c r="BM197" s="6" t="s">
        <v>382</v>
      </c>
    </row>
    <row r="198" spans="2:65" s="6" customFormat="1" ht="27" customHeight="1">
      <c r="B198" s="23"/>
      <c r="C198" s="143" t="s">
        <v>383</v>
      </c>
      <c r="D198" s="143" t="s">
        <v>168</v>
      </c>
      <c r="E198" s="144" t="s">
        <v>384</v>
      </c>
      <c r="F198" s="216" t="s">
        <v>385</v>
      </c>
      <c r="G198" s="217"/>
      <c r="H198" s="217"/>
      <c r="I198" s="217"/>
      <c r="J198" s="145" t="s">
        <v>200</v>
      </c>
      <c r="K198" s="146">
        <v>116.606</v>
      </c>
      <c r="L198" s="218">
        <v>0</v>
      </c>
      <c r="M198" s="217"/>
      <c r="N198" s="219">
        <f>ROUND($L$198*$K$198,2)</f>
        <v>0</v>
      </c>
      <c r="O198" s="217"/>
      <c r="P198" s="217"/>
      <c r="Q198" s="217"/>
      <c r="R198" s="25"/>
      <c r="T198" s="147"/>
      <c r="U198" s="31" t="s">
        <v>45</v>
      </c>
      <c r="V198" s="24"/>
      <c r="W198" s="148">
        <f>$V$198*$K$198</f>
        <v>0</v>
      </c>
      <c r="X198" s="148">
        <v>0</v>
      </c>
      <c r="Y198" s="148">
        <f>$X$198*$K$198</f>
        <v>0</v>
      </c>
      <c r="Z198" s="148">
        <v>0</v>
      </c>
      <c r="AA198" s="149">
        <f>$Z$198*$K$198</f>
        <v>0</v>
      </c>
      <c r="AR198" s="6" t="s">
        <v>172</v>
      </c>
      <c r="AT198" s="6" t="s">
        <v>168</v>
      </c>
      <c r="AU198" s="6" t="s">
        <v>110</v>
      </c>
      <c r="AY198" s="6" t="s">
        <v>167</v>
      </c>
      <c r="BE198" s="93">
        <f>IF($U$198="základní",$N$198,0)</f>
        <v>0</v>
      </c>
      <c r="BF198" s="93">
        <f>IF($U$198="snížená",$N$198,0)</f>
        <v>0</v>
      </c>
      <c r="BG198" s="93">
        <f>IF($U$198="zákl. přenesená",$N$198,0)</f>
        <v>0</v>
      </c>
      <c r="BH198" s="93">
        <f>IF($U$198="sníž. přenesená",$N$198,0)</f>
        <v>0</v>
      </c>
      <c r="BI198" s="93">
        <f>IF($U$198="nulová",$N$198,0)</f>
        <v>0</v>
      </c>
      <c r="BJ198" s="6" t="s">
        <v>22</v>
      </c>
      <c r="BK198" s="93">
        <f>ROUND($L$198*$K$198,2)</f>
        <v>0</v>
      </c>
      <c r="BL198" s="6" t="s">
        <v>172</v>
      </c>
      <c r="BM198" s="6" t="s">
        <v>386</v>
      </c>
    </row>
    <row r="199" spans="2:65" s="6" customFormat="1" ht="27" customHeight="1">
      <c r="B199" s="23"/>
      <c r="C199" s="143" t="s">
        <v>387</v>
      </c>
      <c r="D199" s="143" t="s">
        <v>168</v>
      </c>
      <c r="E199" s="144" t="s">
        <v>388</v>
      </c>
      <c r="F199" s="216" t="s">
        <v>389</v>
      </c>
      <c r="G199" s="217"/>
      <c r="H199" s="217"/>
      <c r="I199" s="217"/>
      <c r="J199" s="145" t="s">
        <v>200</v>
      </c>
      <c r="K199" s="146">
        <v>1166.06</v>
      </c>
      <c r="L199" s="218">
        <v>0</v>
      </c>
      <c r="M199" s="217"/>
      <c r="N199" s="219">
        <f>ROUND($L$199*$K$199,2)</f>
        <v>0</v>
      </c>
      <c r="O199" s="217"/>
      <c r="P199" s="217"/>
      <c r="Q199" s="217"/>
      <c r="R199" s="25"/>
      <c r="T199" s="147"/>
      <c r="U199" s="31" t="s">
        <v>45</v>
      </c>
      <c r="V199" s="24"/>
      <c r="W199" s="148">
        <f>$V$199*$K$199</f>
        <v>0</v>
      </c>
      <c r="X199" s="148">
        <v>0</v>
      </c>
      <c r="Y199" s="148">
        <f>$X$199*$K$199</f>
        <v>0</v>
      </c>
      <c r="Z199" s="148">
        <v>0</v>
      </c>
      <c r="AA199" s="149">
        <f>$Z$199*$K$199</f>
        <v>0</v>
      </c>
      <c r="AR199" s="6" t="s">
        <v>172</v>
      </c>
      <c r="AT199" s="6" t="s">
        <v>168</v>
      </c>
      <c r="AU199" s="6" t="s">
        <v>110</v>
      </c>
      <c r="AY199" s="6" t="s">
        <v>167</v>
      </c>
      <c r="BE199" s="93">
        <f>IF($U$199="základní",$N$199,0)</f>
        <v>0</v>
      </c>
      <c r="BF199" s="93">
        <f>IF($U$199="snížená",$N$199,0)</f>
        <v>0</v>
      </c>
      <c r="BG199" s="93">
        <f>IF($U$199="zákl. přenesená",$N$199,0)</f>
        <v>0</v>
      </c>
      <c r="BH199" s="93">
        <f>IF($U$199="sníž. přenesená",$N$199,0)</f>
        <v>0</v>
      </c>
      <c r="BI199" s="93">
        <f>IF($U$199="nulová",$N$199,0)</f>
        <v>0</v>
      </c>
      <c r="BJ199" s="6" t="s">
        <v>22</v>
      </c>
      <c r="BK199" s="93">
        <f>ROUND($L$199*$K$199,2)</f>
        <v>0</v>
      </c>
      <c r="BL199" s="6" t="s">
        <v>172</v>
      </c>
      <c r="BM199" s="6" t="s">
        <v>390</v>
      </c>
    </row>
    <row r="200" spans="2:65" s="6" customFormat="1" ht="27" customHeight="1">
      <c r="B200" s="23"/>
      <c r="C200" s="143" t="s">
        <v>391</v>
      </c>
      <c r="D200" s="143" t="s">
        <v>168</v>
      </c>
      <c r="E200" s="144" t="s">
        <v>392</v>
      </c>
      <c r="F200" s="216" t="s">
        <v>393</v>
      </c>
      <c r="G200" s="217"/>
      <c r="H200" s="217"/>
      <c r="I200" s="217"/>
      <c r="J200" s="145" t="s">
        <v>200</v>
      </c>
      <c r="K200" s="146">
        <v>116.606</v>
      </c>
      <c r="L200" s="218">
        <v>0</v>
      </c>
      <c r="M200" s="217"/>
      <c r="N200" s="219">
        <f>ROUND($L$200*$K$200,2)</f>
        <v>0</v>
      </c>
      <c r="O200" s="217"/>
      <c r="P200" s="217"/>
      <c r="Q200" s="217"/>
      <c r="R200" s="25"/>
      <c r="T200" s="147"/>
      <c r="U200" s="31" t="s">
        <v>45</v>
      </c>
      <c r="V200" s="24"/>
      <c r="W200" s="148">
        <f>$V$200*$K$200</f>
        <v>0</v>
      </c>
      <c r="X200" s="148">
        <v>0</v>
      </c>
      <c r="Y200" s="148">
        <f>$X$200*$K$200</f>
        <v>0</v>
      </c>
      <c r="Z200" s="148">
        <v>0</v>
      </c>
      <c r="AA200" s="149">
        <f>$Z$200*$K$200</f>
        <v>0</v>
      </c>
      <c r="AR200" s="6" t="s">
        <v>172</v>
      </c>
      <c r="AT200" s="6" t="s">
        <v>168</v>
      </c>
      <c r="AU200" s="6" t="s">
        <v>110</v>
      </c>
      <c r="AY200" s="6" t="s">
        <v>167</v>
      </c>
      <c r="BE200" s="93">
        <f>IF($U$200="základní",$N$200,0)</f>
        <v>0</v>
      </c>
      <c r="BF200" s="93">
        <f>IF($U$200="snížená",$N$200,0)</f>
        <v>0</v>
      </c>
      <c r="BG200" s="93">
        <f>IF($U$200="zákl. přenesená",$N$200,0)</f>
        <v>0</v>
      </c>
      <c r="BH200" s="93">
        <f>IF($U$200="sníž. přenesená",$N$200,0)</f>
        <v>0</v>
      </c>
      <c r="BI200" s="93">
        <f>IF($U$200="nulová",$N$200,0)</f>
        <v>0</v>
      </c>
      <c r="BJ200" s="6" t="s">
        <v>22</v>
      </c>
      <c r="BK200" s="93">
        <f>ROUND($L$200*$K$200,2)</f>
        <v>0</v>
      </c>
      <c r="BL200" s="6" t="s">
        <v>172</v>
      </c>
      <c r="BM200" s="6" t="s">
        <v>394</v>
      </c>
    </row>
    <row r="201" spans="2:65" s="6" customFormat="1" ht="27" customHeight="1">
      <c r="B201" s="23"/>
      <c r="C201" s="143" t="s">
        <v>395</v>
      </c>
      <c r="D201" s="143" t="s">
        <v>168</v>
      </c>
      <c r="E201" s="144" t="s">
        <v>396</v>
      </c>
      <c r="F201" s="216" t="s">
        <v>397</v>
      </c>
      <c r="G201" s="217"/>
      <c r="H201" s="217"/>
      <c r="I201" s="217"/>
      <c r="J201" s="145" t="s">
        <v>200</v>
      </c>
      <c r="K201" s="146">
        <v>116.606</v>
      </c>
      <c r="L201" s="218">
        <v>0</v>
      </c>
      <c r="M201" s="217"/>
      <c r="N201" s="219">
        <f>ROUND($L$201*$K$201,2)</f>
        <v>0</v>
      </c>
      <c r="O201" s="217"/>
      <c r="P201" s="217"/>
      <c r="Q201" s="217"/>
      <c r="R201" s="25"/>
      <c r="T201" s="147"/>
      <c r="U201" s="31" t="s">
        <v>45</v>
      </c>
      <c r="V201" s="24"/>
      <c r="W201" s="148">
        <f>$V$201*$K$201</f>
        <v>0</v>
      </c>
      <c r="X201" s="148">
        <v>0</v>
      </c>
      <c r="Y201" s="148">
        <f>$X$201*$K$201</f>
        <v>0</v>
      </c>
      <c r="Z201" s="148">
        <v>0</v>
      </c>
      <c r="AA201" s="149">
        <f>$Z$201*$K$201</f>
        <v>0</v>
      </c>
      <c r="AR201" s="6" t="s">
        <v>172</v>
      </c>
      <c r="AT201" s="6" t="s">
        <v>168</v>
      </c>
      <c r="AU201" s="6" t="s">
        <v>110</v>
      </c>
      <c r="AY201" s="6" t="s">
        <v>167</v>
      </c>
      <c r="BE201" s="93">
        <f>IF($U$201="základní",$N$201,0)</f>
        <v>0</v>
      </c>
      <c r="BF201" s="93">
        <f>IF($U$201="snížená",$N$201,0)</f>
        <v>0</v>
      </c>
      <c r="BG201" s="93">
        <f>IF($U$201="zákl. přenesená",$N$201,0)</f>
        <v>0</v>
      </c>
      <c r="BH201" s="93">
        <f>IF($U$201="sníž. přenesená",$N$201,0)</f>
        <v>0</v>
      </c>
      <c r="BI201" s="93">
        <f>IF($U$201="nulová",$N$201,0)</f>
        <v>0</v>
      </c>
      <c r="BJ201" s="6" t="s">
        <v>22</v>
      </c>
      <c r="BK201" s="93">
        <f>ROUND($L$201*$K$201,2)</f>
        <v>0</v>
      </c>
      <c r="BL201" s="6" t="s">
        <v>172</v>
      </c>
      <c r="BM201" s="6" t="s">
        <v>398</v>
      </c>
    </row>
    <row r="202" spans="2:65" s="6" customFormat="1" ht="27" customHeight="1">
      <c r="B202" s="23"/>
      <c r="C202" s="143" t="s">
        <v>399</v>
      </c>
      <c r="D202" s="143" t="s">
        <v>168</v>
      </c>
      <c r="E202" s="144" t="s">
        <v>400</v>
      </c>
      <c r="F202" s="216" t="s">
        <v>401</v>
      </c>
      <c r="G202" s="217"/>
      <c r="H202" s="217"/>
      <c r="I202" s="217"/>
      <c r="J202" s="145" t="s">
        <v>205</v>
      </c>
      <c r="K202" s="146">
        <v>953</v>
      </c>
      <c r="L202" s="218">
        <v>0</v>
      </c>
      <c r="M202" s="217"/>
      <c r="N202" s="219">
        <f>ROUND($L$202*$K$202,2)</f>
        <v>0</v>
      </c>
      <c r="O202" s="217"/>
      <c r="P202" s="217"/>
      <c r="Q202" s="217"/>
      <c r="R202" s="25"/>
      <c r="T202" s="147"/>
      <c r="U202" s="31" t="s">
        <v>45</v>
      </c>
      <c r="V202" s="24"/>
      <c r="W202" s="148">
        <f>$V$202*$K$202</f>
        <v>0</v>
      </c>
      <c r="X202" s="148">
        <v>0</v>
      </c>
      <c r="Y202" s="148">
        <f>$X$202*$K$202</f>
        <v>0</v>
      </c>
      <c r="Z202" s="148">
        <v>0</v>
      </c>
      <c r="AA202" s="149">
        <f>$Z$202*$K$202</f>
        <v>0</v>
      </c>
      <c r="AR202" s="6" t="s">
        <v>172</v>
      </c>
      <c r="AT202" s="6" t="s">
        <v>168</v>
      </c>
      <c r="AU202" s="6" t="s">
        <v>110</v>
      </c>
      <c r="AY202" s="6" t="s">
        <v>167</v>
      </c>
      <c r="BE202" s="93">
        <f>IF($U$202="základní",$N$202,0)</f>
        <v>0</v>
      </c>
      <c r="BF202" s="93">
        <f>IF($U$202="snížená",$N$202,0)</f>
        <v>0</v>
      </c>
      <c r="BG202" s="93">
        <f>IF($U$202="zákl. přenesená",$N$202,0)</f>
        <v>0</v>
      </c>
      <c r="BH202" s="93">
        <f>IF($U$202="sníž. přenesená",$N$202,0)</f>
        <v>0</v>
      </c>
      <c r="BI202" s="93">
        <f>IF($U$202="nulová",$N$202,0)</f>
        <v>0</v>
      </c>
      <c r="BJ202" s="6" t="s">
        <v>22</v>
      </c>
      <c r="BK202" s="93">
        <f>ROUND($L$202*$K$202,2)</f>
        <v>0</v>
      </c>
      <c r="BL202" s="6" t="s">
        <v>172</v>
      </c>
      <c r="BM202" s="6" t="s">
        <v>402</v>
      </c>
    </row>
    <row r="203" spans="2:63" s="132" customFormat="1" ht="23.25" customHeight="1">
      <c r="B203" s="133"/>
      <c r="C203" s="134"/>
      <c r="D203" s="142" t="s">
        <v>128</v>
      </c>
      <c r="E203" s="142"/>
      <c r="F203" s="142"/>
      <c r="G203" s="142"/>
      <c r="H203" s="142"/>
      <c r="I203" s="142"/>
      <c r="J203" s="142"/>
      <c r="K203" s="142"/>
      <c r="L203" s="142"/>
      <c r="M203" s="142"/>
      <c r="N203" s="228">
        <f>$BK$203</f>
        <v>0</v>
      </c>
      <c r="O203" s="227"/>
      <c r="P203" s="227"/>
      <c r="Q203" s="227"/>
      <c r="R203" s="136"/>
      <c r="T203" s="137"/>
      <c r="U203" s="134"/>
      <c r="V203" s="134"/>
      <c r="W203" s="138">
        <f>$W$204</f>
        <v>0</v>
      </c>
      <c r="X203" s="134"/>
      <c r="Y203" s="138">
        <f>$Y$204</f>
        <v>0</v>
      </c>
      <c r="Z203" s="134"/>
      <c r="AA203" s="139">
        <f>$AA$204</f>
        <v>0</v>
      </c>
      <c r="AR203" s="140" t="s">
        <v>22</v>
      </c>
      <c r="AT203" s="140" t="s">
        <v>79</v>
      </c>
      <c r="AU203" s="140" t="s">
        <v>110</v>
      </c>
      <c r="AY203" s="140" t="s">
        <v>167</v>
      </c>
      <c r="BK203" s="141">
        <f>$BK$204</f>
        <v>0</v>
      </c>
    </row>
    <row r="204" spans="2:65" s="6" customFormat="1" ht="15.75" customHeight="1">
      <c r="B204" s="23"/>
      <c r="C204" s="143" t="s">
        <v>403</v>
      </c>
      <c r="D204" s="143" t="s">
        <v>168</v>
      </c>
      <c r="E204" s="144" t="s">
        <v>404</v>
      </c>
      <c r="F204" s="216" t="s">
        <v>405</v>
      </c>
      <c r="G204" s="217"/>
      <c r="H204" s="217"/>
      <c r="I204" s="217"/>
      <c r="J204" s="145" t="s">
        <v>200</v>
      </c>
      <c r="K204" s="146">
        <v>406.904</v>
      </c>
      <c r="L204" s="218">
        <v>0</v>
      </c>
      <c r="M204" s="217"/>
      <c r="N204" s="219">
        <f>ROUND($L$204*$K$204,2)</f>
        <v>0</v>
      </c>
      <c r="O204" s="217"/>
      <c r="P204" s="217"/>
      <c r="Q204" s="217"/>
      <c r="R204" s="25"/>
      <c r="T204" s="147"/>
      <c r="U204" s="31" t="s">
        <v>45</v>
      </c>
      <c r="V204" s="24"/>
      <c r="W204" s="148">
        <f>$V$204*$K$204</f>
        <v>0</v>
      </c>
      <c r="X204" s="148">
        <v>0</v>
      </c>
      <c r="Y204" s="148">
        <f>$X$204*$K$204</f>
        <v>0</v>
      </c>
      <c r="Z204" s="148">
        <v>0</v>
      </c>
      <c r="AA204" s="149">
        <f>$Z$204*$K$204</f>
        <v>0</v>
      </c>
      <c r="AR204" s="6" t="s">
        <v>172</v>
      </c>
      <c r="AT204" s="6" t="s">
        <v>168</v>
      </c>
      <c r="AU204" s="6" t="s">
        <v>177</v>
      </c>
      <c r="AY204" s="6" t="s">
        <v>167</v>
      </c>
      <c r="BE204" s="93">
        <f>IF($U$204="základní",$N$204,0)</f>
        <v>0</v>
      </c>
      <c r="BF204" s="93">
        <f>IF($U$204="snížená",$N$204,0)</f>
        <v>0</v>
      </c>
      <c r="BG204" s="93">
        <f>IF($U$204="zákl. přenesená",$N$204,0)</f>
        <v>0</v>
      </c>
      <c r="BH204" s="93">
        <f>IF($U$204="sníž. přenesená",$N$204,0)</f>
        <v>0</v>
      </c>
      <c r="BI204" s="93">
        <f>IF($U$204="nulová",$N$204,0)</f>
        <v>0</v>
      </c>
      <c r="BJ204" s="6" t="s">
        <v>22</v>
      </c>
      <c r="BK204" s="93">
        <f>ROUND($L$204*$K$204,2)</f>
        <v>0</v>
      </c>
      <c r="BL204" s="6" t="s">
        <v>172</v>
      </c>
      <c r="BM204" s="6" t="s">
        <v>406</v>
      </c>
    </row>
    <row r="205" spans="2:63" s="132" customFormat="1" ht="37.5" customHeight="1">
      <c r="B205" s="133"/>
      <c r="C205" s="134"/>
      <c r="D205" s="135" t="s">
        <v>129</v>
      </c>
      <c r="E205" s="135"/>
      <c r="F205" s="135"/>
      <c r="G205" s="135"/>
      <c r="H205" s="135"/>
      <c r="I205" s="135"/>
      <c r="J205" s="135"/>
      <c r="K205" s="135"/>
      <c r="L205" s="135"/>
      <c r="M205" s="135"/>
      <c r="N205" s="212">
        <f>$BK$205</f>
        <v>0</v>
      </c>
      <c r="O205" s="227"/>
      <c r="P205" s="227"/>
      <c r="Q205" s="227"/>
      <c r="R205" s="136"/>
      <c r="T205" s="137"/>
      <c r="U205" s="134"/>
      <c r="V205" s="134"/>
      <c r="W205" s="138">
        <f>$W$206+$W$208+$W$210+$W$212+$W$214+$W$225+$W$236</f>
        <v>0</v>
      </c>
      <c r="X205" s="134"/>
      <c r="Y205" s="138">
        <f>$Y$206+$Y$208+$Y$210+$Y$212+$Y$214+$Y$225+$Y$236</f>
        <v>0.76039</v>
      </c>
      <c r="Z205" s="134"/>
      <c r="AA205" s="139">
        <f>$AA$206+$AA$208+$AA$210+$AA$212+$AA$214+$AA$225+$AA$236</f>
        <v>0.87382</v>
      </c>
      <c r="AR205" s="140" t="s">
        <v>110</v>
      </c>
      <c r="AT205" s="140" t="s">
        <v>79</v>
      </c>
      <c r="AU205" s="140" t="s">
        <v>80</v>
      </c>
      <c r="AY205" s="140" t="s">
        <v>167</v>
      </c>
      <c r="BK205" s="141">
        <f>$BK$206+$BK$208+$BK$210+$BK$212+$BK$214+$BK$225+$BK$236</f>
        <v>0</v>
      </c>
    </row>
    <row r="206" spans="2:63" s="132" customFormat="1" ht="21" customHeight="1">
      <c r="B206" s="133"/>
      <c r="C206" s="134"/>
      <c r="D206" s="142" t="s">
        <v>130</v>
      </c>
      <c r="E206" s="142"/>
      <c r="F206" s="142"/>
      <c r="G206" s="142"/>
      <c r="H206" s="142"/>
      <c r="I206" s="142"/>
      <c r="J206" s="142"/>
      <c r="K206" s="142"/>
      <c r="L206" s="142"/>
      <c r="M206" s="142"/>
      <c r="N206" s="228">
        <f>$BK$206</f>
        <v>0</v>
      </c>
      <c r="O206" s="227"/>
      <c r="P206" s="227"/>
      <c r="Q206" s="227"/>
      <c r="R206" s="136"/>
      <c r="T206" s="137"/>
      <c r="U206" s="134"/>
      <c r="V206" s="134"/>
      <c r="W206" s="138">
        <f>$W$207</f>
        <v>0</v>
      </c>
      <c r="X206" s="134"/>
      <c r="Y206" s="138">
        <f>$Y$207</f>
        <v>0.01144</v>
      </c>
      <c r="Z206" s="134"/>
      <c r="AA206" s="139">
        <f>$AA$207</f>
        <v>0</v>
      </c>
      <c r="AR206" s="140" t="s">
        <v>110</v>
      </c>
      <c r="AT206" s="140" t="s">
        <v>79</v>
      </c>
      <c r="AU206" s="140" t="s">
        <v>22</v>
      </c>
      <c r="AY206" s="140" t="s">
        <v>167</v>
      </c>
      <c r="BK206" s="141">
        <f>$BK$207</f>
        <v>0</v>
      </c>
    </row>
    <row r="207" spans="2:65" s="6" customFormat="1" ht="51" customHeight="1">
      <c r="B207" s="23"/>
      <c r="C207" s="143" t="s">
        <v>407</v>
      </c>
      <c r="D207" s="143" t="s">
        <v>168</v>
      </c>
      <c r="E207" s="144" t="s">
        <v>408</v>
      </c>
      <c r="F207" s="216" t="s">
        <v>409</v>
      </c>
      <c r="G207" s="217"/>
      <c r="H207" s="217"/>
      <c r="I207" s="217"/>
      <c r="J207" s="145" t="s">
        <v>233</v>
      </c>
      <c r="K207" s="146">
        <v>8</v>
      </c>
      <c r="L207" s="218">
        <v>0</v>
      </c>
      <c r="M207" s="217"/>
      <c r="N207" s="219">
        <f>ROUND($L$207*$K$207,2)</f>
        <v>0</v>
      </c>
      <c r="O207" s="217"/>
      <c r="P207" s="217"/>
      <c r="Q207" s="217"/>
      <c r="R207" s="25"/>
      <c r="T207" s="147"/>
      <c r="U207" s="31" t="s">
        <v>45</v>
      </c>
      <c r="V207" s="24"/>
      <c r="W207" s="148">
        <f>$V$207*$K$207</f>
        <v>0</v>
      </c>
      <c r="X207" s="148">
        <v>0.00143</v>
      </c>
      <c r="Y207" s="148">
        <f>$X$207*$K$207</f>
        <v>0.01144</v>
      </c>
      <c r="Z207" s="148">
        <v>0</v>
      </c>
      <c r="AA207" s="149">
        <f>$Z$207*$K$207</f>
        <v>0</v>
      </c>
      <c r="AR207" s="6" t="s">
        <v>230</v>
      </c>
      <c r="AT207" s="6" t="s">
        <v>168</v>
      </c>
      <c r="AU207" s="6" t="s">
        <v>110</v>
      </c>
      <c r="AY207" s="6" t="s">
        <v>167</v>
      </c>
      <c r="BE207" s="93">
        <f>IF($U$207="základní",$N$207,0)</f>
        <v>0</v>
      </c>
      <c r="BF207" s="93">
        <f>IF($U$207="snížená",$N$207,0)</f>
        <v>0</v>
      </c>
      <c r="BG207" s="93">
        <f>IF($U$207="zákl. přenesená",$N$207,0)</f>
        <v>0</v>
      </c>
      <c r="BH207" s="93">
        <f>IF($U$207="sníž. přenesená",$N$207,0)</f>
        <v>0</v>
      </c>
      <c r="BI207" s="93">
        <f>IF($U$207="nulová",$N$207,0)</f>
        <v>0</v>
      </c>
      <c r="BJ207" s="6" t="s">
        <v>22</v>
      </c>
      <c r="BK207" s="93">
        <f>ROUND($L$207*$K$207,2)</f>
        <v>0</v>
      </c>
      <c r="BL207" s="6" t="s">
        <v>230</v>
      </c>
      <c r="BM207" s="6" t="s">
        <v>410</v>
      </c>
    </row>
    <row r="208" spans="2:63" s="132" customFormat="1" ht="30.75" customHeight="1">
      <c r="B208" s="133"/>
      <c r="C208" s="134"/>
      <c r="D208" s="142" t="s">
        <v>131</v>
      </c>
      <c r="E208" s="142"/>
      <c r="F208" s="142"/>
      <c r="G208" s="142"/>
      <c r="H208" s="142"/>
      <c r="I208" s="142"/>
      <c r="J208" s="142"/>
      <c r="K208" s="142"/>
      <c r="L208" s="142"/>
      <c r="M208" s="142"/>
      <c r="N208" s="228">
        <f>$BK$208</f>
        <v>0</v>
      </c>
      <c r="O208" s="227"/>
      <c r="P208" s="227"/>
      <c r="Q208" s="227"/>
      <c r="R208" s="136"/>
      <c r="T208" s="137"/>
      <c r="U208" s="134"/>
      <c r="V208" s="134"/>
      <c r="W208" s="138">
        <f>$W$209</f>
        <v>0</v>
      </c>
      <c r="X208" s="134"/>
      <c r="Y208" s="138">
        <f>$Y$209</f>
        <v>0.00179</v>
      </c>
      <c r="Z208" s="134"/>
      <c r="AA208" s="139">
        <f>$AA$209</f>
        <v>0</v>
      </c>
      <c r="AR208" s="140" t="s">
        <v>110</v>
      </c>
      <c r="AT208" s="140" t="s">
        <v>79</v>
      </c>
      <c r="AU208" s="140" t="s">
        <v>22</v>
      </c>
      <c r="AY208" s="140" t="s">
        <v>167</v>
      </c>
      <c r="BK208" s="141">
        <f>$BK$209</f>
        <v>0</v>
      </c>
    </row>
    <row r="209" spans="2:65" s="6" customFormat="1" ht="39" customHeight="1">
      <c r="B209" s="23"/>
      <c r="C209" s="143" t="s">
        <v>411</v>
      </c>
      <c r="D209" s="143" t="s">
        <v>168</v>
      </c>
      <c r="E209" s="144" t="s">
        <v>412</v>
      </c>
      <c r="F209" s="216" t="s">
        <v>413</v>
      </c>
      <c r="G209" s="217"/>
      <c r="H209" s="217"/>
      <c r="I209" s="217"/>
      <c r="J209" s="145" t="s">
        <v>257</v>
      </c>
      <c r="K209" s="146">
        <v>1</v>
      </c>
      <c r="L209" s="218">
        <v>0</v>
      </c>
      <c r="M209" s="217"/>
      <c r="N209" s="219">
        <f>ROUND($L$209*$K$209,2)</f>
        <v>0</v>
      </c>
      <c r="O209" s="217"/>
      <c r="P209" s="217"/>
      <c r="Q209" s="217"/>
      <c r="R209" s="25"/>
      <c r="T209" s="147"/>
      <c r="U209" s="31" t="s">
        <v>45</v>
      </c>
      <c r="V209" s="24"/>
      <c r="W209" s="148">
        <f>$V$209*$K$209</f>
        <v>0</v>
      </c>
      <c r="X209" s="148">
        <v>0.00179</v>
      </c>
      <c r="Y209" s="148">
        <f>$X$209*$K$209</f>
        <v>0.00179</v>
      </c>
      <c r="Z209" s="148">
        <v>0</v>
      </c>
      <c r="AA209" s="149">
        <f>$Z$209*$K$209</f>
        <v>0</v>
      </c>
      <c r="AR209" s="6" t="s">
        <v>230</v>
      </c>
      <c r="AT209" s="6" t="s">
        <v>168</v>
      </c>
      <c r="AU209" s="6" t="s">
        <v>110</v>
      </c>
      <c r="AY209" s="6" t="s">
        <v>167</v>
      </c>
      <c r="BE209" s="93">
        <f>IF($U$209="základní",$N$209,0)</f>
        <v>0</v>
      </c>
      <c r="BF209" s="93">
        <f>IF($U$209="snížená",$N$209,0)</f>
        <v>0</v>
      </c>
      <c r="BG209" s="93">
        <f>IF($U$209="zákl. přenesená",$N$209,0)</f>
        <v>0</v>
      </c>
      <c r="BH209" s="93">
        <f>IF($U$209="sníž. přenesená",$N$209,0)</f>
        <v>0</v>
      </c>
      <c r="BI209" s="93">
        <f>IF($U$209="nulová",$N$209,0)</f>
        <v>0</v>
      </c>
      <c r="BJ209" s="6" t="s">
        <v>22</v>
      </c>
      <c r="BK209" s="93">
        <f>ROUND($L$209*$K$209,2)</f>
        <v>0</v>
      </c>
      <c r="BL209" s="6" t="s">
        <v>230</v>
      </c>
      <c r="BM209" s="6" t="s">
        <v>414</v>
      </c>
    </row>
    <row r="210" spans="2:63" s="132" customFormat="1" ht="30.75" customHeight="1">
      <c r="B210" s="133"/>
      <c r="C210" s="134"/>
      <c r="D210" s="142" t="s">
        <v>132</v>
      </c>
      <c r="E210" s="142"/>
      <c r="F210" s="142"/>
      <c r="G210" s="142"/>
      <c r="H210" s="142"/>
      <c r="I210" s="142"/>
      <c r="J210" s="142"/>
      <c r="K210" s="142"/>
      <c r="L210" s="142"/>
      <c r="M210" s="142"/>
      <c r="N210" s="228">
        <f>$BK$210</f>
        <v>0</v>
      </c>
      <c r="O210" s="227"/>
      <c r="P210" s="227"/>
      <c r="Q210" s="227"/>
      <c r="R210" s="136"/>
      <c r="T210" s="137"/>
      <c r="U210" s="134"/>
      <c r="V210" s="134"/>
      <c r="W210" s="138">
        <f>$W$211</f>
        <v>0</v>
      </c>
      <c r="X210" s="134"/>
      <c r="Y210" s="138">
        <f>$Y$211</f>
        <v>0.03856</v>
      </c>
      <c r="Z210" s="134"/>
      <c r="AA210" s="139">
        <f>$AA$211</f>
        <v>0</v>
      </c>
      <c r="AR210" s="140" t="s">
        <v>110</v>
      </c>
      <c r="AT210" s="140" t="s">
        <v>79</v>
      </c>
      <c r="AU210" s="140" t="s">
        <v>22</v>
      </c>
      <c r="AY210" s="140" t="s">
        <v>167</v>
      </c>
      <c r="BK210" s="141">
        <f>$BK$211</f>
        <v>0</v>
      </c>
    </row>
    <row r="211" spans="2:65" s="6" customFormat="1" ht="27" customHeight="1">
      <c r="B211" s="23"/>
      <c r="C211" s="143" t="s">
        <v>415</v>
      </c>
      <c r="D211" s="143" t="s">
        <v>168</v>
      </c>
      <c r="E211" s="144" t="s">
        <v>416</v>
      </c>
      <c r="F211" s="216" t="s">
        <v>417</v>
      </c>
      <c r="G211" s="217"/>
      <c r="H211" s="217"/>
      <c r="I211" s="217"/>
      <c r="J211" s="145" t="s">
        <v>257</v>
      </c>
      <c r="K211" s="146">
        <v>1</v>
      </c>
      <c r="L211" s="218">
        <v>0</v>
      </c>
      <c r="M211" s="217"/>
      <c r="N211" s="219">
        <f>ROUND($L$211*$K$211,2)</f>
        <v>0</v>
      </c>
      <c r="O211" s="217"/>
      <c r="P211" s="217"/>
      <c r="Q211" s="217"/>
      <c r="R211" s="25"/>
      <c r="T211" s="147"/>
      <c r="U211" s="31" t="s">
        <v>45</v>
      </c>
      <c r="V211" s="24"/>
      <c r="W211" s="148">
        <f>$V$211*$K$211</f>
        <v>0</v>
      </c>
      <c r="X211" s="148">
        <v>0.03856</v>
      </c>
      <c r="Y211" s="148">
        <f>$X$211*$K$211</f>
        <v>0.03856</v>
      </c>
      <c r="Z211" s="148">
        <v>0</v>
      </c>
      <c r="AA211" s="149">
        <f>$Z$211*$K$211</f>
        <v>0</v>
      </c>
      <c r="AR211" s="6" t="s">
        <v>230</v>
      </c>
      <c r="AT211" s="6" t="s">
        <v>168</v>
      </c>
      <c r="AU211" s="6" t="s">
        <v>110</v>
      </c>
      <c r="AY211" s="6" t="s">
        <v>167</v>
      </c>
      <c r="BE211" s="93">
        <f>IF($U$211="základní",$N$211,0)</f>
        <v>0</v>
      </c>
      <c r="BF211" s="93">
        <f>IF($U$211="snížená",$N$211,0)</f>
        <v>0</v>
      </c>
      <c r="BG211" s="93">
        <f>IF($U$211="zákl. přenesená",$N$211,0)</f>
        <v>0</v>
      </c>
      <c r="BH211" s="93">
        <f>IF($U$211="sníž. přenesená",$N$211,0)</f>
        <v>0</v>
      </c>
      <c r="BI211" s="93">
        <f>IF($U$211="nulová",$N$211,0)</f>
        <v>0</v>
      </c>
      <c r="BJ211" s="6" t="s">
        <v>22</v>
      </c>
      <c r="BK211" s="93">
        <f>ROUND($L$211*$K$211,2)</f>
        <v>0</v>
      </c>
      <c r="BL211" s="6" t="s">
        <v>230</v>
      </c>
      <c r="BM211" s="6" t="s">
        <v>418</v>
      </c>
    </row>
    <row r="212" spans="2:63" s="132" customFormat="1" ht="30.75" customHeight="1">
      <c r="B212" s="133"/>
      <c r="C212" s="134"/>
      <c r="D212" s="142" t="s">
        <v>133</v>
      </c>
      <c r="E212" s="142"/>
      <c r="F212" s="142"/>
      <c r="G212" s="142"/>
      <c r="H212" s="142"/>
      <c r="I212" s="142"/>
      <c r="J212" s="142"/>
      <c r="K212" s="142"/>
      <c r="L212" s="142"/>
      <c r="M212" s="142"/>
      <c r="N212" s="228">
        <f>$BK$212</f>
        <v>0</v>
      </c>
      <c r="O212" s="227"/>
      <c r="P212" s="227"/>
      <c r="Q212" s="227"/>
      <c r="R212" s="136"/>
      <c r="T212" s="137"/>
      <c r="U212" s="134"/>
      <c r="V212" s="134"/>
      <c r="W212" s="138">
        <f>$W$213</f>
        <v>0</v>
      </c>
      <c r="X212" s="134"/>
      <c r="Y212" s="138">
        <f>$Y$213</f>
        <v>0</v>
      </c>
      <c r="Z212" s="134"/>
      <c r="AA212" s="139">
        <f>$AA$213</f>
        <v>0.079</v>
      </c>
      <c r="AR212" s="140" t="s">
        <v>110</v>
      </c>
      <c r="AT212" s="140" t="s">
        <v>79</v>
      </c>
      <c r="AU212" s="140" t="s">
        <v>22</v>
      </c>
      <c r="AY212" s="140" t="s">
        <v>167</v>
      </c>
      <c r="BK212" s="141">
        <f>$BK$213</f>
        <v>0</v>
      </c>
    </row>
    <row r="213" spans="2:65" s="6" customFormat="1" ht="27" customHeight="1">
      <c r="B213" s="23"/>
      <c r="C213" s="143" t="s">
        <v>419</v>
      </c>
      <c r="D213" s="143" t="s">
        <v>168</v>
      </c>
      <c r="E213" s="144" t="s">
        <v>420</v>
      </c>
      <c r="F213" s="216" t="s">
        <v>421</v>
      </c>
      <c r="G213" s="217"/>
      <c r="H213" s="217"/>
      <c r="I213" s="217"/>
      <c r="J213" s="145" t="s">
        <v>257</v>
      </c>
      <c r="K213" s="146">
        <v>1</v>
      </c>
      <c r="L213" s="218">
        <v>0</v>
      </c>
      <c r="M213" s="217"/>
      <c r="N213" s="219">
        <f>ROUND($L$213*$K$213,2)</f>
        <v>0</v>
      </c>
      <c r="O213" s="217"/>
      <c r="P213" s="217"/>
      <c r="Q213" s="217"/>
      <c r="R213" s="25"/>
      <c r="T213" s="147"/>
      <c r="U213" s="31" t="s">
        <v>45</v>
      </c>
      <c r="V213" s="24"/>
      <c r="W213" s="148">
        <f>$V$213*$K$213</f>
        <v>0</v>
      </c>
      <c r="X213" s="148">
        <v>0</v>
      </c>
      <c r="Y213" s="148">
        <f>$X$213*$K$213</f>
        <v>0</v>
      </c>
      <c r="Z213" s="148">
        <v>0.079</v>
      </c>
      <c r="AA213" s="149">
        <f>$Z$213*$K$213</f>
        <v>0.079</v>
      </c>
      <c r="AR213" s="6" t="s">
        <v>230</v>
      </c>
      <c r="AT213" s="6" t="s">
        <v>168</v>
      </c>
      <c r="AU213" s="6" t="s">
        <v>110</v>
      </c>
      <c r="AY213" s="6" t="s">
        <v>167</v>
      </c>
      <c r="BE213" s="93">
        <f>IF($U$213="základní",$N$213,0)</f>
        <v>0</v>
      </c>
      <c r="BF213" s="93">
        <f>IF($U$213="snížená",$N$213,0)</f>
        <v>0</v>
      </c>
      <c r="BG213" s="93">
        <f>IF($U$213="zákl. přenesená",$N$213,0)</f>
        <v>0</v>
      </c>
      <c r="BH213" s="93">
        <f>IF($U$213="sníž. přenesená",$N$213,0)</f>
        <v>0</v>
      </c>
      <c r="BI213" s="93">
        <f>IF($U$213="nulová",$N$213,0)</f>
        <v>0</v>
      </c>
      <c r="BJ213" s="6" t="s">
        <v>22</v>
      </c>
      <c r="BK213" s="93">
        <f>ROUND($L$213*$K$213,2)</f>
        <v>0</v>
      </c>
      <c r="BL213" s="6" t="s">
        <v>230</v>
      </c>
      <c r="BM213" s="6" t="s">
        <v>422</v>
      </c>
    </row>
    <row r="214" spans="2:63" s="132" customFormat="1" ht="30.75" customHeight="1">
      <c r="B214" s="133"/>
      <c r="C214" s="134"/>
      <c r="D214" s="142" t="s">
        <v>134</v>
      </c>
      <c r="E214" s="142"/>
      <c r="F214" s="142"/>
      <c r="G214" s="142"/>
      <c r="H214" s="142"/>
      <c r="I214" s="142"/>
      <c r="J214" s="142"/>
      <c r="K214" s="142"/>
      <c r="L214" s="142"/>
      <c r="M214" s="142"/>
      <c r="N214" s="228">
        <f>$BK$214</f>
        <v>0</v>
      </c>
      <c r="O214" s="227"/>
      <c r="P214" s="227"/>
      <c r="Q214" s="227"/>
      <c r="R214" s="136"/>
      <c r="T214" s="137"/>
      <c r="U214" s="134"/>
      <c r="V214" s="134"/>
      <c r="W214" s="138">
        <f>SUM($W$215:$W$224)</f>
        <v>0</v>
      </c>
      <c r="X214" s="134"/>
      <c r="Y214" s="138">
        <f>SUM($Y$215:$Y$224)</f>
        <v>0.66488</v>
      </c>
      <c r="Z214" s="134"/>
      <c r="AA214" s="139">
        <f>SUM($AA$215:$AA$224)</f>
        <v>0.7948200000000001</v>
      </c>
      <c r="AR214" s="140" t="s">
        <v>110</v>
      </c>
      <c r="AT214" s="140" t="s">
        <v>79</v>
      </c>
      <c r="AU214" s="140" t="s">
        <v>22</v>
      </c>
      <c r="AY214" s="140" t="s">
        <v>167</v>
      </c>
      <c r="BK214" s="141">
        <f>SUM($BK$215:$BK$224)</f>
        <v>0</v>
      </c>
    </row>
    <row r="215" spans="2:65" s="6" customFormat="1" ht="15.75" customHeight="1">
      <c r="B215" s="23"/>
      <c r="C215" s="143" t="s">
        <v>423</v>
      </c>
      <c r="D215" s="143" t="s">
        <v>168</v>
      </c>
      <c r="E215" s="144" t="s">
        <v>424</v>
      </c>
      <c r="F215" s="216" t="s">
        <v>425</v>
      </c>
      <c r="G215" s="217"/>
      <c r="H215" s="217"/>
      <c r="I215" s="217"/>
      <c r="J215" s="145" t="s">
        <v>225</v>
      </c>
      <c r="K215" s="146">
        <v>126</v>
      </c>
      <c r="L215" s="218">
        <v>0</v>
      </c>
      <c r="M215" s="217"/>
      <c r="N215" s="219">
        <f>ROUND($L$215*$K$215,2)</f>
        <v>0</v>
      </c>
      <c r="O215" s="217"/>
      <c r="P215" s="217"/>
      <c r="Q215" s="217"/>
      <c r="R215" s="25"/>
      <c r="T215" s="147"/>
      <c r="U215" s="31" t="s">
        <v>45</v>
      </c>
      <c r="V215" s="24"/>
      <c r="W215" s="148">
        <f>$V$215*$K$215</f>
        <v>0</v>
      </c>
      <c r="X215" s="148">
        <v>0</v>
      </c>
      <c r="Y215" s="148">
        <f>$X$215*$K$215</f>
        <v>0</v>
      </c>
      <c r="Z215" s="148">
        <v>0.00394</v>
      </c>
      <c r="AA215" s="149">
        <f>$Z$215*$K$215</f>
        <v>0.49644</v>
      </c>
      <c r="AR215" s="6" t="s">
        <v>230</v>
      </c>
      <c r="AT215" s="6" t="s">
        <v>168</v>
      </c>
      <c r="AU215" s="6" t="s">
        <v>110</v>
      </c>
      <c r="AY215" s="6" t="s">
        <v>167</v>
      </c>
      <c r="BE215" s="93">
        <f>IF($U$215="základní",$N$215,0)</f>
        <v>0</v>
      </c>
      <c r="BF215" s="93">
        <f>IF($U$215="snížená",$N$215,0)</f>
        <v>0</v>
      </c>
      <c r="BG215" s="93">
        <f>IF($U$215="zákl. přenesená",$N$215,0)</f>
        <v>0</v>
      </c>
      <c r="BH215" s="93">
        <f>IF($U$215="sníž. přenesená",$N$215,0)</f>
        <v>0</v>
      </c>
      <c r="BI215" s="93">
        <f>IF($U$215="nulová",$N$215,0)</f>
        <v>0</v>
      </c>
      <c r="BJ215" s="6" t="s">
        <v>22</v>
      </c>
      <c r="BK215" s="93">
        <f>ROUND($L$215*$K$215,2)</f>
        <v>0</v>
      </c>
      <c r="BL215" s="6" t="s">
        <v>230</v>
      </c>
      <c r="BM215" s="6" t="s">
        <v>426</v>
      </c>
    </row>
    <row r="216" spans="2:65" s="6" customFormat="1" ht="15.75" customHeight="1">
      <c r="B216" s="23"/>
      <c r="C216" s="143" t="s">
        <v>427</v>
      </c>
      <c r="D216" s="143" t="s">
        <v>168</v>
      </c>
      <c r="E216" s="144" t="s">
        <v>428</v>
      </c>
      <c r="F216" s="216" t="s">
        <v>429</v>
      </c>
      <c r="G216" s="217"/>
      <c r="H216" s="217"/>
      <c r="I216" s="217"/>
      <c r="J216" s="145" t="s">
        <v>225</v>
      </c>
      <c r="K216" s="146">
        <v>130</v>
      </c>
      <c r="L216" s="218">
        <v>0</v>
      </c>
      <c r="M216" s="217"/>
      <c r="N216" s="219">
        <f>ROUND($L$216*$K$216,2)</f>
        <v>0</v>
      </c>
      <c r="O216" s="217"/>
      <c r="P216" s="217"/>
      <c r="Q216" s="217"/>
      <c r="R216" s="25"/>
      <c r="T216" s="147"/>
      <c r="U216" s="31" t="s">
        <v>45</v>
      </c>
      <c r="V216" s="24"/>
      <c r="W216" s="148">
        <f>$V$216*$K$216</f>
        <v>0</v>
      </c>
      <c r="X216" s="148">
        <v>0</v>
      </c>
      <c r="Y216" s="148">
        <f>$X$216*$K$216</f>
        <v>0</v>
      </c>
      <c r="Z216" s="148">
        <v>0.00175</v>
      </c>
      <c r="AA216" s="149">
        <f>$Z$216*$K$216</f>
        <v>0.2275</v>
      </c>
      <c r="AR216" s="6" t="s">
        <v>230</v>
      </c>
      <c r="AT216" s="6" t="s">
        <v>168</v>
      </c>
      <c r="AU216" s="6" t="s">
        <v>110</v>
      </c>
      <c r="AY216" s="6" t="s">
        <v>167</v>
      </c>
      <c r="BE216" s="93">
        <f>IF($U$216="základní",$N$216,0)</f>
        <v>0</v>
      </c>
      <c r="BF216" s="93">
        <f>IF($U$216="snížená",$N$216,0)</f>
        <v>0</v>
      </c>
      <c r="BG216" s="93">
        <f>IF($U$216="zákl. přenesená",$N$216,0)</f>
        <v>0</v>
      </c>
      <c r="BH216" s="93">
        <f>IF($U$216="sníž. přenesená",$N$216,0)</f>
        <v>0</v>
      </c>
      <c r="BI216" s="93">
        <f>IF($U$216="nulová",$N$216,0)</f>
        <v>0</v>
      </c>
      <c r="BJ216" s="6" t="s">
        <v>22</v>
      </c>
      <c r="BK216" s="93">
        <f>ROUND($L$216*$K$216,2)</f>
        <v>0</v>
      </c>
      <c r="BL216" s="6" t="s">
        <v>230</v>
      </c>
      <c r="BM216" s="6" t="s">
        <v>430</v>
      </c>
    </row>
    <row r="217" spans="2:65" s="6" customFormat="1" ht="15.75" customHeight="1">
      <c r="B217" s="23"/>
      <c r="C217" s="143" t="s">
        <v>431</v>
      </c>
      <c r="D217" s="143" t="s">
        <v>168</v>
      </c>
      <c r="E217" s="144" t="s">
        <v>432</v>
      </c>
      <c r="F217" s="216" t="s">
        <v>433</v>
      </c>
      <c r="G217" s="217"/>
      <c r="H217" s="217"/>
      <c r="I217" s="217"/>
      <c r="J217" s="145" t="s">
        <v>225</v>
      </c>
      <c r="K217" s="146">
        <v>19</v>
      </c>
      <c r="L217" s="218">
        <v>0</v>
      </c>
      <c r="M217" s="217"/>
      <c r="N217" s="219">
        <f>ROUND($L$217*$K$217,2)</f>
        <v>0</v>
      </c>
      <c r="O217" s="217"/>
      <c r="P217" s="217"/>
      <c r="Q217" s="217"/>
      <c r="R217" s="25"/>
      <c r="T217" s="147"/>
      <c r="U217" s="31" t="s">
        <v>45</v>
      </c>
      <c r="V217" s="24"/>
      <c r="W217" s="148">
        <f>$V$217*$K$217</f>
        <v>0</v>
      </c>
      <c r="X217" s="148">
        <v>0</v>
      </c>
      <c r="Y217" s="148">
        <f>$X$217*$K$217</f>
        <v>0</v>
      </c>
      <c r="Z217" s="148">
        <v>0.00252</v>
      </c>
      <c r="AA217" s="149">
        <f>$Z$217*$K$217</f>
        <v>0.04788</v>
      </c>
      <c r="AR217" s="6" t="s">
        <v>230</v>
      </c>
      <c r="AT217" s="6" t="s">
        <v>168</v>
      </c>
      <c r="AU217" s="6" t="s">
        <v>110</v>
      </c>
      <c r="AY217" s="6" t="s">
        <v>167</v>
      </c>
      <c r="BE217" s="93">
        <f>IF($U$217="základní",$N$217,0)</f>
        <v>0</v>
      </c>
      <c r="BF217" s="93">
        <f>IF($U$217="snížená",$N$217,0)</f>
        <v>0</v>
      </c>
      <c r="BG217" s="93">
        <f>IF($U$217="zákl. přenesená",$N$217,0)</f>
        <v>0</v>
      </c>
      <c r="BH217" s="93">
        <f>IF($U$217="sníž. přenesená",$N$217,0)</f>
        <v>0</v>
      </c>
      <c r="BI217" s="93">
        <f>IF($U$217="nulová",$N$217,0)</f>
        <v>0</v>
      </c>
      <c r="BJ217" s="6" t="s">
        <v>22</v>
      </c>
      <c r="BK217" s="93">
        <f>ROUND($L$217*$K$217,2)</f>
        <v>0</v>
      </c>
      <c r="BL217" s="6" t="s">
        <v>230</v>
      </c>
      <c r="BM217" s="6" t="s">
        <v>434</v>
      </c>
    </row>
    <row r="218" spans="2:65" s="6" customFormat="1" ht="15.75" customHeight="1">
      <c r="B218" s="23"/>
      <c r="C218" s="143" t="s">
        <v>435</v>
      </c>
      <c r="D218" s="143" t="s">
        <v>168</v>
      </c>
      <c r="E218" s="144" t="s">
        <v>436</v>
      </c>
      <c r="F218" s="216" t="s">
        <v>437</v>
      </c>
      <c r="G218" s="217"/>
      <c r="H218" s="217"/>
      <c r="I218" s="217"/>
      <c r="J218" s="145" t="s">
        <v>225</v>
      </c>
      <c r="K218" s="146">
        <v>10</v>
      </c>
      <c r="L218" s="218">
        <v>0</v>
      </c>
      <c r="M218" s="217"/>
      <c r="N218" s="219">
        <f>ROUND($L$218*$K$218,2)</f>
        <v>0</v>
      </c>
      <c r="O218" s="217"/>
      <c r="P218" s="217"/>
      <c r="Q218" s="217"/>
      <c r="R218" s="25"/>
      <c r="T218" s="147"/>
      <c r="U218" s="31" t="s">
        <v>45</v>
      </c>
      <c r="V218" s="24"/>
      <c r="W218" s="148">
        <f>$V$218*$K$218</f>
        <v>0</v>
      </c>
      <c r="X218" s="148">
        <v>0</v>
      </c>
      <c r="Y218" s="148">
        <f>$X$218*$K$218</f>
        <v>0</v>
      </c>
      <c r="Z218" s="148">
        <v>0.0023</v>
      </c>
      <c r="AA218" s="149">
        <f>$Z$218*$K$218</f>
        <v>0.023</v>
      </c>
      <c r="AR218" s="6" t="s">
        <v>230</v>
      </c>
      <c r="AT218" s="6" t="s">
        <v>168</v>
      </c>
      <c r="AU218" s="6" t="s">
        <v>110</v>
      </c>
      <c r="AY218" s="6" t="s">
        <v>167</v>
      </c>
      <c r="BE218" s="93">
        <f>IF($U$218="základní",$N$218,0)</f>
        <v>0</v>
      </c>
      <c r="BF218" s="93">
        <f>IF($U$218="snížená",$N$218,0)</f>
        <v>0</v>
      </c>
      <c r="BG218" s="93">
        <f>IF($U$218="zákl. přenesená",$N$218,0)</f>
        <v>0</v>
      </c>
      <c r="BH218" s="93">
        <f>IF($U$218="sníž. přenesená",$N$218,0)</f>
        <v>0</v>
      </c>
      <c r="BI218" s="93">
        <f>IF($U$218="nulová",$N$218,0)</f>
        <v>0</v>
      </c>
      <c r="BJ218" s="6" t="s">
        <v>22</v>
      </c>
      <c r="BK218" s="93">
        <f>ROUND($L$218*$K$218,2)</f>
        <v>0</v>
      </c>
      <c r="BL218" s="6" t="s">
        <v>230</v>
      </c>
      <c r="BM218" s="6" t="s">
        <v>438</v>
      </c>
    </row>
    <row r="219" spans="2:65" s="6" customFormat="1" ht="27" customHeight="1">
      <c r="B219" s="23"/>
      <c r="C219" s="143" t="s">
        <v>439</v>
      </c>
      <c r="D219" s="143" t="s">
        <v>168</v>
      </c>
      <c r="E219" s="144" t="s">
        <v>440</v>
      </c>
      <c r="F219" s="216" t="s">
        <v>441</v>
      </c>
      <c r="G219" s="217"/>
      <c r="H219" s="217"/>
      <c r="I219" s="217"/>
      <c r="J219" s="145" t="s">
        <v>225</v>
      </c>
      <c r="K219" s="146">
        <v>220</v>
      </c>
      <c r="L219" s="218">
        <v>0</v>
      </c>
      <c r="M219" s="217"/>
      <c r="N219" s="219">
        <f>ROUND($L$219*$K$219,2)</f>
        <v>0</v>
      </c>
      <c r="O219" s="217"/>
      <c r="P219" s="217"/>
      <c r="Q219" s="217"/>
      <c r="R219" s="25"/>
      <c r="T219" s="147"/>
      <c r="U219" s="31" t="s">
        <v>45</v>
      </c>
      <c r="V219" s="24"/>
      <c r="W219" s="148">
        <f>$V$219*$K$219</f>
        <v>0</v>
      </c>
      <c r="X219" s="148">
        <v>0.0017</v>
      </c>
      <c r="Y219" s="148">
        <f>$X$219*$K$219</f>
        <v>0.374</v>
      </c>
      <c r="Z219" s="148">
        <v>0</v>
      </c>
      <c r="AA219" s="149">
        <f>$Z$219*$K$219</f>
        <v>0</v>
      </c>
      <c r="AR219" s="6" t="s">
        <v>230</v>
      </c>
      <c r="AT219" s="6" t="s">
        <v>168</v>
      </c>
      <c r="AU219" s="6" t="s">
        <v>110</v>
      </c>
      <c r="AY219" s="6" t="s">
        <v>167</v>
      </c>
      <c r="BE219" s="93">
        <f>IF($U$219="základní",$N$219,0)</f>
        <v>0</v>
      </c>
      <c r="BF219" s="93">
        <f>IF($U$219="snížená",$N$219,0)</f>
        <v>0</v>
      </c>
      <c r="BG219" s="93">
        <f>IF($U$219="zákl. přenesená",$N$219,0)</f>
        <v>0</v>
      </c>
      <c r="BH219" s="93">
        <f>IF($U$219="sníž. přenesená",$N$219,0)</f>
        <v>0</v>
      </c>
      <c r="BI219" s="93">
        <f>IF($U$219="nulová",$N$219,0)</f>
        <v>0</v>
      </c>
      <c r="BJ219" s="6" t="s">
        <v>22</v>
      </c>
      <c r="BK219" s="93">
        <f>ROUND($L$219*$K$219,2)</f>
        <v>0</v>
      </c>
      <c r="BL219" s="6" t="s">
        <v>230</v>
      </c>
      <c r="BM219" s="6" t="s">
        <v>442</v>
      </c>
    </row>
    <row r="220" spans="2:65" s="6" customFormat="1" ht="15.75" customHeight="1">
      <c r="B220" s="23"/>
      <c r="C220" s="143" t="s">
        <v>443</v>
      </c>
      <c r="D220" s="143" t="s">
        <v>168</v>
      </c>
      <c r="E220" s="144" t="s">
        <v>444</v>
      </c>
      <c r="F220" s="216" t="s">
        <v>445</v>
      </c>
      <c r="G220" s="217"/>
      <c r="H220" s="217"/>
      <c r="I220" s="217"/>
      <c r="J220" s="145" t="s">
        <v>257</v>
      </c>
      <c r="K220" s="146">
        <v>1</v>
      </c>
      <c r="L220" s="218">
        <v>0</v>
      </c>
      <c r="M220" s="217"/>
      <c r="N220" s="219">
        <f>ROUND($L$220*$K$220,2)</f>
        <v>0</v>
      </c>
      <c r="O220" s="217"/>
      <c r="P220" s="217"/>
      <c r="Q220" s="217"/>
      <c r="R220" s="25"/>
      <c r="T220" s="147"/>
      <c r="U220" s="31" t="s">
        <v>45</v>
      </c>
      <c r="V220" s="24"/>
      <c r="W220" s="148">
        <f>$V$220*$K$220</f>
        <v>0</v>
      </c>
      <c r="X220" s="148">
        <v>0.00012</v>
      </c>
      <c r="Y220" s="148">
        <f>$X$220*$K$220</f>
        <v>0.00012</v>
      </c>
      <c r="Z220" s="148">
        <v>0</v>
      </c>
      <c r="AA220" s="149">
        <f>$Z$220*$K$220</f>
        <v>0</v>
      </c>
      <c r="AR220" s="6" t="s">
        <v>230</v>
      </c>
      <c r="AT220" s="6" t="s">
        <v>168</v>
      </c>
      <c r="AU220" s="6" t="s">
        <v>110</v>
      </c>
      <c r="AY220" s="6" t="s">
        <v>167</v>
      </c>
      <c r="BE220" s="93">
        <f>IF($U$220="základní",$N$220,0)</f>
        <v>0</v>
      </c>
      <c r="BF220" s="93">
        <f>IF($U$220="snížená",$N$220,0)</f>
        <v>0</v>
      </c>
      <c r="BG220" s="93">
        <f>IF($U$220="zákl. přenesená",$N$220,0)</f>
        <v>0</v>
      </c>
      <c r="BH220" s="93">
        <f>IF($U$220="sníž. přenesená",$N$220,0)</f>
        <v>0</v>
      </c>
      <c r="BI220" s="93">
        <f>IF($U$220="nulová",$N$220,0)</f>
        <v>0</v>
      </c>
      <c r="BJ220" s="6" t="s">
        <v>22</v>
      </c>
      <c r="BK220" s="93">
        <f>ROUND($L$220*$K$220,2)</f>
        <v>0</v>
      </c>
      <c r="BL220" s="6" t="s">
        <v>230</v>
      </c>
      <c r="BM220" s="6" t="s">
        <v>446</v>
      </c>
    </row>
    <row r="221" spans="2:65" s="6" customFormat="1" ht="27" customHeight="1">
      <c r="B221" s="23"/>
      <c r="C221" s="143" t="s">
        <v>447</v>
      </c>
      <c r="D221" s="143" t="s">
        <v>168</v>
      </c>
      <c r="E221" s="144" t="s">
        <v>448</v>
      </c>
      <c r="F221" s="216" t="s">
        <v>449</v>
      </c>
      <c r="G221" s="217"/>
      <c r="H221" s="217"/>
      <c r="I221" s="217"/>
      <c r="J221" s="145" t="s">
        <v>225</v>
      </c>
      <c r="K221" s="146">
        <v>130</v>
      </c>
      <c r="L221" s="218">
        <v>0</v>
      </c>
      <c r="M221" s="217"/>
      <c r="N221" s="219">
        <f>ROUND($L$221*$K$221,2)</f>
        <v>0</v>
      </c>
      <c r="O221" s="217"/>
      <c r="P221" s="217"/>
      <c r="Q221" s="217"/>
      <c r="R221" s="25"/>
      <c r="T221" s="147"/>
      <c r="U221" s="31" t="s">
        <v>45</v>
      </c>
      <c r="V221" s="24"/>
      <c r="W221" s="148">
        <f>$V$221*$K$221</f>
        <v>0</v>
      </c>
      <c r="X221" s="148">
        <v>0.00167</v>
      </c>
      <c r="Y221" s="148">
        <f>$X$221*$K$221</f>
        <v>0.21710000000000002</v>
      </c>
      <c r="Z221" s="148">
        <v>0</v>
      </c>
      <c r="AA221" s="149">
        <f>$Z$221*$K$221</f>
        <v>0</v>
      </c>
      <c r="AR221" s="6" t="s">
        <v>230</v>
      </c>
      <c r="AT221" s="6" t="s">
        <v>168</v>
      </c>
      <c r="AU221" s="6" t="s">
        <v>110</v>
      </c>
      <c r="AY221" s="6" t="s">
        <v>167</v>
      </c>
      <c r="BE221" s="93">
        <f>IF($U$221="základní",$N$221,0)</f>
        <v>0</v>
      </c>
      <c r="BF221" s="93">
        <f>IF($U$221="snížená",$N$221,0)</f>
        <v>0</v>
      </c>
      <c r="BG221" s="93">
        <f>IF($U$221="zákl. přenesená",$N$221,0)</f>
        <v>0</v>
      </c>
      <c r="BH221" s="93">
        <f>IF($U$221="sníž. přenesená",$N$221,0)</f>
        <v>0</v>
      </c>
      <c r="BI221" s="93">
        <f>IF($U$221="nulová",$N$221,0)</f>
        <v>0</v>
      </c>
      <c r="BJ221" s="6" t="s">
        <v>22</v>
      </c>
      <c r="BK221" s="93">
        <f>ROUND($L$221*$K$221,2)</f>
        <v>0</v>
      </c>
      <c r="BL221" s="6" t="s">
        <v>230</v>
      </c>
      <c r="BM221" s="6" t="s">
        <v>450</v>
      </c>
    </row>
    <row r="222" spans="2:65" s="6" customFormat="1" ht="27" customHeight="1">
      <c r="B222" s="23"/>
      <c r="C222" s="143" t="s">
        <v>451</v>
      </c>
      <c r="D222" s="143" t="s">
        <v>168</v>
      </c>
      <c r="E222" s="144" t="s">
        <v>452</v>
      </c>
      <c r="F222" s="216" t="s">
        <v>453</v>
      </c>
      <c r="G222" s="217"/>
      <c r="H222" s="217"/>
      <c r="I222" s="217"/>
      <c r="J222" s="145" t="s">
        <v>233</v>
      </c>
      <c r="K222" s="146">
        <v>19</v>
      </c>
      <c r="L222" s="218">
        <v>0</v>
      </c>
      <c r="M222" s="217"/>
      <c r="N222" s="219">
        <f>ROUND($L$222*$K$222,2)</f>
        <v>0</v>
      </c>
      <c r="O222" s="217"/>
      <c r="P222" s="217"/>
      <c r="Q222" s="217"/>
      <c r="R222" s="25"/>
      <c r="T222" s="147"/>
      <c r="U222" s="31" t="s">
        <v>45</v>
      </c>
      <c r="V222" s="24"/>
      <c r="W222" s="148">
        <f>$V$222*$K$222</f>
        <v>0</v>
      </c>
      <c r="X222" s="148">
        <v>0.00254</v>
      </c>
      <c r="Y222" s="148">
        <f>$X$222*$K$222</f>
        <v>0.048260000000000004</v>
      </c>
      <c r="Z222" s="148">
        <v>0</v>
      </c>
      <c r="AA222" s="149">
        <f>$Z$222*$K$222</f>
        <v>0</v>
      </c>
      <c r="AR222" s="6" t="s">
        <v>230</v>
      </c>
      <c r="AT222" s="6" t="s">
        <v>168</v>
      </c>
      <c r="AU222" s="6" t="s">
        <v>110</v>
      </c>
      <c r="AY222" s="6" t="s">
        <v>167</v>
      </c>
      <c r="BE222" s="93">
        <f>IF($U$222="základní",$N$222,0)</f>
        <v>0</v>
      </c>
      <c r="BF222" s="93">
        <f>IF($U$222="snížená",$N$222,0)</f>
        <v>0</v>
      </c>
      <c r="BG222" s="93">
        <f>IF($U$222="zákl. přenesená",$N$222,0)</f>
        <v>0</v>
      </c>
      <c r="BH222" s="93">
        <f>IF($U$222="sníž. přenesená",$N$222,0)</f>
        <v>0</v>
      </c>
      <c r="BI222" s="93">
        <f>IF($U$222="nulová",$N$222,0)</f>
        <v>0</v>
      </c>
      <c r="BJ222" s="6" t="s">
        <v>22</v>
      </c>
      <c r="BK222" s="93">
        <f>ROUND($L$222*$K$222,2)</f>
        <v>0</v>
      </c>
      <c r="BL222" s="6" t="s">
        <v>230</v>
      </c>
      <c r="BM222" s="6" t="s">
        <v>454</v>
      </c>
    </row>
    <row r="223" spans="2:65" s="6" customFormat="1" ht="27" customHeight="1">
      <c r="B223" s="23"/>
      <c r="C223" s="143" t="s">
        <v>455</v>
      </c>
      <c r="D223" s="143" t="s">
        <v>168</v>
      </c>
      <c r="E223" s="144" t="s">
        <v>456</v>
      </c>
      <c r="F223" s="216" t="s">
        <v>457</v>
      </c>
      <c r="G223" s="217"/>
      <c r="H223" s="217"/>
      <c r="I223" s="217"/>
      <c r="J223" s="145" t="s">
        <v>225</v>
      </c>
      <c r="K223" s="146">
        <v>10</v>
      </c>
      <c r="L223" s="218">
        <v>0</v>
      </c>
      <c r="M223" s="217"/>
      <c r="N223" s="219">
        <f>ROUND($L$223*$K$223,2)</f>
        <v>0</v>
      </c>
      <c r="O223" s="217"/>
      <c r="P223" s="217"/>
      <c r="Q223" s="217"/>
      <c r="R223" s="25"/>
      <c r="T223" s="147"/>
      <c r="U223" s="31" t="s">
        <v>45</v>
      </c>
      <c r="V223" s="24"/>
      <c r="W223" s="148">
        <f>$V$223*$K$223</f>
        <v>0</v>
      </c>
      <c r="X223" s="148">
        <v>0.00254</v>
      </c>
      <c r="Y223" s="148">
        <f>$X$223*$K$223</f>
        <v>0.025400000000000002</v>
      </c>
      <c r="Z223" s="148">
        <v>0</v>
      </c>
      <c r="AA223" s="149">
        <f>$Z$223*$K$223</f>
        <v>0</v>
      </c>
      <c r="AR223" s="6" t="s">
        <v>230</v>
      </c>
      <c r="AT223" s="6" t="s">
        <v>168</v>
      </c>
      <c r="AU223" s="6" t="s">
        <v>110</v>
      </c>
      <c r="AY223" s="6" t="s">
        <v>167</v>
      </c>
      <c r="BE223" s="93">
        <f>IF($U$223="základní",$N$223,0)</f>
        <v>0</v>
      </c>
      <c r="BF223" s="93">
        <f>IF($U$223="snížená",$N$223,0)</f>
        <v>0</v>
      </c>
      <c r="BG223" s="93">
        <f>IF($U$223="zákl. přenesená",$N$223,0)</f>
        <v>0</v>
      </c>
      <c r="BH223" s="93">
        <f>IF($U$223="sníž. přenesená",$N$223,0)</f>
        <v>0</v>
      </c>
      <c r="BI223" s="93">
        <f>IF($U$223="nulová",$N$223,0)</f>
        <v>0</v>
      </c>
      <c r="BJ223" s="6" t="s">
        <v>22</v>
      </c>
      <c r="BK223" s="93">
        <f>ROUND($L$223*$K$223,2)</f>
        <v>0</v>
      </c>
      <c r="BL223" s="6" t="s">
        <v>230</v>
      </c>
      <c r="BM223" s="6" t="s">
        <v>458</v>
      </c>
    </row>
    <row r="224" spans="2:65" s="6" customFormat="1" ht="27" customHeight="1">
      <c r="B224" s="23"/>
      <c r="C224" s="143" t="s">
        <v>459</v>
      </c>
      <c r="D224" s="143" t="s">
        <v>168</v>
      </c>
      <c r="E224" s="144" t="s">
        <v>460</v>
      </c>
      <c r="F224" s="216" t="s">
        <v>461</v>
      </c>
      <c r="G224" s="217"/>
      <c r="H224" s="217"/>
      <c r="I224" s="217"/>
      <c r="J224" s="145" t="s">
        <v>200</v>
      </c>
      <c r="K224" s="146">
        <v>0.665</v>
      </c>
      <c r="L224" s="218">
        <v>0</v>
      </c>
      <c r="M224" s="217"/>
      <c r="N224" s="219">
        <f>ROUND($L$224*$K$224,2)</f>
        <v>0</v>
      </c>
      <c r="O224" s="217"/>
      <c r="P224" s="217"/>
      <c r="Q224" s="217"/>
      <c r="R224" s="25"/>
      <c r="T224" s="147"/>
      <c r="U224" s="31" t="s">
        <v>45</v>
      </c>
      <c r="V224" s="24"/>
      <c r="W224" s="148">
        <f>$V$224*$K$224</f>
        <v>0</v>
      </c>
      <c r="X224" s="148">
        <v>0</v>
      </c>
      <c r="Y224" s="148">
        <f>$X$224*$K$224</f>
        <v>0</v>
      </c>
      <c r="Z224" s="148">
        <v>0</v>
      </c>
      <c r="AA224" s="149">
        <f>$Z$224*$K$224</f>
        <v>0</v>
      </c>
      <c r="AR224" s="6" t="s">
        <v>230</v>
      </c>
      <c r="AT224" s="6" t="s">
        <v>168</v>
      </c>
      <c r="AU224" s="6" t="s">
        <v>110</v>
      </c>
      <c r="AY224" s="6" t="s">
        <v>167</v>
      </c>
      <c r="BE224" s="93">
        <f>IF($U$224="základní",$N$224,0)</f>
        <v>0</v>
      </c>
      <c r="BF224" s="93">
        <f>IF($U$224="snížená",$N$224,0)</f>
        <v>0</v>
      </c>
      <c r="BG224" s="93">
        <f>IF($U$224="zákl. přenesená",$N$224,0)</f>
        <v>0</v>
      </c>
      <c r="BH224" s="93">
        <f>IF($U$224="sníž. přenesená",$N$224,0)</f>
        <v>0</v>
      </c>
      <c r="BI224" s="93">
        <f>IF($U$224="nulová",$N$224,0)</f>
        <v>0</v>
      </c>
      <c r="BJ224" s="6" t="s">
        <v>22</v>
      </c>
      <c r="BK224" s="93">
        <f>ROUND($L$224*$K$224,2)</f>
        <v>0</v>
      </c>
      <c r="BL224" s="6" t="s">
        <v>230</v>
      </c>
      <c r="BM224" s="6" t="s">
        <v>462</v>
      </c>
    </row>
    <row r="225" spans="2:63" s="132" customFormat="1" ht="30.75" customHeight="1">
      <c r="B225" s="133"/>
      <c r="C225" s="134"/>
      <c r="D225" s="142" t="s">
        <v>135</v>
      </c>
      <c r="E225" s="142"/>
      <c r="F225" s="142"/>
      <c r="G225" s="142"/>
      <c r="H225" s="142"/>
      <c r="I225" s="142"/>
      <c r="J225" s="142"/>
      <c r="K225" s="142"/>
      <c r="L225" s="142"/>
      <c r="M225" s="142"/>
      <c r="N225" s="228">
        <f>$BK$225</f>
        <v>0</v>
      </c>
      <c r="O225" s="227"/>
      <c r="P225" s="227"/>
      <c r="Q225" s="227"/>
      <c r="R225" s="136"/>
      <c r="T225" s="137"/>
      <c r="U225" s="134"/>
      <c r="V225" s="134"/>
      <c r="W225" s="138">
        <f>SUM($W$226:$W$235)</f>
        <v>0</v>
      </c>
      <c r="X225" s="134"/>
      <c r="Y225" s="138">
        <f>SUM($Y$226:$Y$235)</f>
        <v>0.0008799999999999999</v>
      </c>
      <c r="Z225" s="134"/>
      <c r="AA225" s="139">
        <f>SUM($AA$226:$AA$235)</f>
        <v>0</v>
      </c>
      <c r="AR225" s="140" t="s">
        <v>110</v>
      </c>
      <c r="AT225" s="140" t="s">
        <v>79</v>
      </c>
      <c r="AU225" s="140" t="s">
        <v>22</v>
      </c>
      <c r="AY225" s="140" t="s">
        <v>167</v>
      </c>
      <c r="BK225" s="141">
        <f>SUM($BK$226:$BK$235)</f>
        <v>0</v>
      </c>
    </row>
    <row r="226" spans="2:65" s="6" customFormat="1" ht="27" customHeight="1">
      <c r="B226" s="23"/>
      <c r="C226" s="143" t="s">
        <v>463</v>
      </c>
      <c r="D226" s="143" t="s">
        <v>168</v>
      </c>
      <c r="E226" s="144" t="s">
        <v>464</v>
      </c>
      <c r="F226" s="216" t="s">
        <v>465</v>
      </c>
      <c r="G226" s="217"/>
      <c r="H226" s="217"/>
      <c r="I226" s="217"/>
      <c r="J226" s="145" t="s">
        <v>257</v>
      </c>
      <c r="K226" s="146">
        <v>1</v>
      </c>
      <c r="L226" s="218">
        <v>0</v>
      </c>
      <c r="M226" s="217"/>
      <c r="N226" s="219">
        <f>ROUND($L$226*$K$226,2)</f>
        <v>0</v>
      </c>
      <c r="O226" s="217"/>
      <c r="P226" s="217"/>
      <c r="Q226" s="217"/>
      <c r="R226" s="25"/>
      <c r="T226" s="147"/>
      <c r="U226" s="31" t="s">
        <v>45</v>
      </c>
      <c r="V226" s="24"/>
      <c r="W226" s="148">
        <f>$V$226*$K$226</f>
        <v>0</v>
      </c>
      <c r="X226" s="148">
        <v>0.00011</v>
      </c>
      <c r="Y226" s="148">
        <f>$X$226*$K$226</f>
        <v>0.00011</v>
      </c>
      <c r="Z226" s="148">
        <v>0</v>
      </c>
      <c r="AA226" s="149">
        <f>$Z$226*$K$226</f>
        <v>0</v>
      </c>
      <c r="AR226" s="6" t="s">
        <v>230</v>
      </c>
      <c r="AT226" s="6" t="s">
        <v>168</v>
      </c>
      <c r="AU226" s="6" t="s">
        <v>110</v>
      </c>
      <c r="AY226" s="6" t="s">
        <v>167</v>
      </c>
      <c r="BE226" s="93">
        <f>IF($U$226="základní",$N$226,0)</f>
        <v>0</v>
      </c>
      <c r="BF226" s="93">
        <f>IF($U$226="snížená",$N$226,0)</f>
        <v>0</v>
      </c>
      <c r="BG226" s="93">
        <f>IF($U$226="zákl. přenesená",$N$226,0)</f>
        <v>0</v>
      </c>
      <c r="BH226" s="93">
        <f>IF($U$226="sníž. přenesená",$N$226,0)</f>
        <v>0</v>
      </c>
      <c r="BI226" s="93">
        <f>IF($U$226="nulová",$N$226,0)</f>
        <v>0</v>
      </c>
      <c r="BJ226" s="6" t="s">
        <v>22</v>
      </c>
      <c r="BK226" s="93">
        <f>ROUND($L$226*$K$226,2)</f>
        <v>0</v>
      </c>
      <c r="BL226" s="6" t="s">
        <v>230</v>
      </c>
      <c r="BM226" s="6" t="s">
        <v>466</v>
      </c>
    </row>
    <row r="227" spans="2:65" s="6" customFormat="1" ht="27" customHeight="1">
      <c r="B227" s="23"/>
      <c r="C227" s="143" t="s">
        <v>467</v>
      </c>
      <c r="D227" s="143" t="s">
        <v>168</v>
      </c>
      <c r="E227" s="144" t="s">
        <v>468</v>
      </c>
      <c r="F227" s="216" t="s">
        <v>469</v>
      </c>
      <c r="G227" s="217"/>
      <c r="H227" s="217"/>
      <c r="I227" s="217"/>
      <c r="J227" s="145" t="s">
        <v>257</v>
      </c>
      <c r="K227" s="146">
        <v>1</v>
      </c>
      <c r="L227" s="218">
        <v>0</v>
      </c>
      <c r="M227" s="217"/>
      <c r="N227" s="219">
        <f>ROUND($L$227*$K$227,2)</f>
        <v>0</v>
      </c>
      <c r="O227" s="217"/>
      <c r="P227" s="217"/>
      <c r="Q227" s="217"/>
      <c r="R227" s="25"/>
      <c r="T227" s="147"/>
      <c r="U227" s="31" t="s">
        <v>45</v>
      </c>
      <c r="V227" s="24"/>
      <c r="W227" s="148">
        <f>$V$227*$K$227</f>
        <v>0</v>
      </c>
      <c r="X227" s="148">
        <v>0.00011</v>
      </c>
      <c r="Y227" s="148">
        <f>$X$227*$K$227</f>
        <v>0.00011</v>
      </c>
      <c r="Z227" s="148">
        <v>0</v>
      </c>
      <c r="AA227" s="149">
        <f>$Z$227*$K$227</f>
        <v>0</v>
      </c>
      <c r="AR227" s="6" t="s">
        <v>230</v>
      </c>
      <c r="AT227" s="6" t="s">
        <v>168</v>
      </c>
      <c r="AU227" s="6" t="s">
        <v>110</v>
      </c>
      <c r="AY227" s="6" t="s">
        <v>167</v>
      </c>
      <c r="BE227" s="93">
        <f>IF($U$227="základní",$N$227,0)</f>
        <v>0</v>
      </c>
      <c r="BF227" s="93">
        <f>IF($U$227="snížená",$N$227,0)</f>
        <v>0</v>
      </c>
      <c r="BG227" s="93">
        <f>IF($U$227="zákl. přenesená",$N$227,0)</f>
        <v>0</v>
      </c>
      <c r="BH227" s="93">
        <f>IF($U$227="sníž. přenesená",$N$227,0)</f>
        <v>0</v>
      </c>
      <c r="BI227" s="93">
        <f>IF($U$227="nulová",$N$227,0)</f>
        <v>0</v>
      </c>
      <c r="BJ227" s="6" t="s">
        <v>22</v>
      </c>
      <c r="BK227" s="93">
        <f>ROUND($L$227*$K$227,2)</f>
        <v>0</v>
      </c>
      <c r="BL227" s="6" t="s">
        <v>230</v>
      </c>
      <c r="BM227" s="6" t="s">
        <v>470</v>
      </c>
    </row>
    <row r="228" spans="2:65" s="6" customFormat="1" ht="15.75" customHeight="1">
      <c r="B228" s="23"/>
      <c r="C228" s="143" t="s">
        <v>471</v>
      </c>
      <c r="D228" s="143" t="s">
        <v>168</v>
      </c>
      <c r="E228" s="144" t="s">
        <v>472</v>
      </c>
      <c r="F228" s="216" t="s">
        <v>473</v>
      </c>
      <c r="G228" s="217"/>
      <c r="H228" s="217"/>
      <c r="I228" s="217"/>
      <c r="J228" s="145" t="s">
        <v>257</v>
      </c>
      <c r="K228" s="146">
        <v>1</v>
      </c>
      <c r="L228" s="218">
        <v>0</v>
      </c>
      <c r="M228" s="217"/>
      <c r="N228" s="219">
        <f>ROUND($L$228*$K$228,2)</f>
        <v>0</v>
      </c>
      <c r="O228" s="217"/>
      <c r="P228" s="217"/>
      <c r="Q228" s="217"/>
      <c r="R228" s="25"/>
      <c r="T228" s="147"/>
      <c r="U228" s="31" t="s">
        <v>45</v>
      </c>
      <c r="V228" s="24"/>
      <c r="W228" s="148">
        <f>$V$228*$K$228</f>
        <v>0</v>
      </c>
      <c r="X228" s="148">
        <v>0.00011</v>
      </c>
      <c r="Y228" s="148">
        <f>$X$228*$K$228</f>
        <v>0.00011</v>
      </c>
      <c r="Z228" s="148">
        <v>0</v>
      </c>
      <c r="AA228" s="149">
        <f>$Z$228*$K$228</f>
        <v>0</v>
      </c>
      <c r="AR228" s="6" t="s">
        <v>230</v>
      </c>
      <c r="AT228" s="6" t="s">
        <v>168</v>
      </c>
      <c r="AU228" s="6" t="s">
        <v>110</v>
      </c>
      <c r="AY228" s="6" t="s">
        <v>167</v>
      </c>
      <c r="BE228" s="93">
        <f>IF($U$228="základní",$N$228,0)</f>
        <v>0</v>
      </c>
      <c r="BF228" s="93">
        <f>IF($U$228="snížená",$N$228,0)</f>
        <v>0</v>
      </c>
      <c r="BG228" s="93">
        <f>IF($U$228="zákl. přenesená",$N$228,0)</f>
        <v>0</v>
      </c>
      <c r="BH228" s="93">
        <f>IF($U$228="sníž. přenesená",$N$228,0)</f>
        <v>0</v>
      </c>
      <c r="BI228" s="93">
        <f>IF($U$228="nulová",$N$228,0)</f>
        <v>0</v>
      </c>
      <c r="BJ228" s="6" t="s">
        <v>22</v>
      </c>
      <c r="BK228" s="93">
        <f>ROUND($L$228*$K$228,2)</f>
        <v>0</v>
      </c>
      <c r="BL228" s="6" t="s">
        <v>230</v>
      </c>
      <c r="BM228" s="6" t="s">
        <v>474</v>
      </c>
    </row>
    <row r="229" spans="2:65" s="6" customFormat="1" ht="27" customHeight="1">
      <c r="B229" s="23"/>
      <c r="C229" s="143" t="s">
        <v>475</v>
      </c>
      <c r="D229" s="143" t="s">
        <v>168</v>
      </c>
      <c r="E229" s="144" t="s">
        <v>476</v>
      </c>
      <c r="F229" s="216" t="s">
        <v>477</v>
      </c>
      <c r="G229" s="217"/>
      <c r="H229" s="217"/>
      <c r="I229" s="217"/>
      <c r="J229" s="145" t="s">
        <v>257</v>
      </c>
      <c r="K229" s="146">
        <v>1</v>
      </c>
      <c r="L229" s="218">
        <v>0</v>
      </c>
      <c r="M229" s="217"/>
      <c r="N229" s="219">
        <f>ROUND($L$229*$K$229,2)</f>
        <v>0</v>
      </c>
      <c r="O229" s="217"/>
      <c r="P229" s="217"/>
      <c r="Q229" s="217"/>
      <c r="R229" s="25"/>
      <c r="T229" s="147"/>
      <c r="U229" s="31" t="s">
        <v>45</v>
      </c>
      <c r="V229" s="24"/>
      <c r="W229" s="148">
        <f>$V$229*$K$229</f>
        <v>0</v>
      </c>
      <c r="X229" s="148">
        <v>0.00011</v>
      </c>
      <c r="Y229" s="148">
        <f>$X$229*$K$229</f>
        <v>0.00011</v>
      </c>
      <c r="Z229" s="148">
        <v>0</v>
      </c>
      <c r="AA229" s="149">
        <f>$Z$229*$K$229</f>
        <v>0</v>
      </c>
      <c r="AR229" s="6" t="s">
        <v>230</v>
      </c>
      <c r="AT229" s="6" t="s">
        <v>168</v>
      </c>
      <c r="AU229" s="6" t="s">
        <v>110</v>
      </c>
      <c r="AY229" s="6" t="s">
        <v>167</v>
      </c>
      <c r="BE229" s="93">
        <f>IF($U$229="základní",$N$229,0)</f>
        <v>0</v>
      </c>
      <c r="BF229" s="93">
        <f>IF($U$229="snížená",$N$229,0)</f>
        <v>0</v>
      </c>
      <c r="BG229" s="93">
        <f>IF($U$229="zákl. přenesená",$N$229,0)</f>
        <v>0</v>
      </c>
      <c r="BH229" s="93">
        <f>IF($U$229="sníž. přenesená",$N$229,0)</f>
        <v>0</v>
      </c>
      <c r="BI229" s="93">
        <f>IF($U$229="nulová",$N$229,0)</f>
        <v>0</v>
      </c>
      <c r="BJ229" s="6" t="s">
        <v>22</v>
      </c>
      <c r="BK229" s="93">
        <f>ROUND($L$229*$K$229,2)</f>
        <v>0</v>
      </c>
      <c r="BL229" s="6" t="s">
        <v>230</v>
      </c>
      <c r="BM229" s="6" t="s">
        <v>478</v>
      </c>
    </row>
    <row r="230" spans="2:65" s="6" customFormat="1" ht="27" customHeight="1">
      <c r="B230" s="23"/>
      <c r="C230" s="143" t="s">
        <v>479</v>
      </c>
      <c r="D230" s="143" t="s">
        <v>168</v>
      </c>
      <c r="E230" s="144" t="s">
        <v>480</v>
      </c>
      <c r="F230" s="216" t="s">
        <v>481</v>
      </c>
      <c r="G230" s="217"/>
      <c r="H230" s="217"/>
      <c r="I230" s="217"/>
      <c r="J230" s="145" t="s">
        <v>257</v>
      </c>
      <c r="K230" s="146">
        <v>1</v>
      </c>
      <c r="L230" s="218">
        <v>0</v>
      </c>
      <c r="M230" s="217"/>
      <c r="N230" s="219">
        <f>ROUND($L$230*$K$230,2)</f>
        <v>0</v>
      </c>
      <c r="O230" s="217"/>
      <c r="P230" s="217"/>
      <c r="Q230" s="217"/>
      <c r="R230" s="25"/>
      <c r="T230" s="147"/>
      <c r="U230" s="31" t="s">
        <v>45</v>
      </c>
      <c r="V230" s="24"/>
      <c r="W230" s="148">
        <f>$V$230*$K$230</f>
        <v>0</v>
      </c>
      <c r="X230" s="148">
        <v>0.00011</v>
      </c>
      <c r="Y230" s="148">
        <f>$X$230*$K$230</f>
        <v>0.00011</v>
      </c>
      <c r="Z230" s="148">
        <v>0</v>
      </c>
      <c r="AA230" s="149">
        <f>$Z$230*$K$230</f>
        <v>0</v>
      </c>
      <c r="AR230" s="6" t="s">
        <v>230</v>
      </c>
      <c r="AT230" s="6" t="s">
        <v>168</v>
      </c>
      <c r="AU230" s="6" t="s">
        <v>110</v>
      </c>
      <c r="AY230" s="6" t="s">
        <v>167</v>
      </c>
      <c r="BE230" s="93">
        <f>IF($U$230="základní",$N$230,0)</f>
        <v>0</v>
      </c>
      <c r="BF230" s="93">
        <f>IF($U$230="snížená",$N$230,0)</f>
        <v>0</v>
      </c>
      <c r="BG230" s="93">
        <f>IF($U$230="zákl. přenesená",$N$230,0)</f>
        <v>0</v>
      </c>
      <c r="BH230" s="93">
        <f>IF($U$230="sníž. přenesená",$N$230,0)</f>
        <v>0</v>
      </c>
      <c r="BI230" s="93">
        <f>IF($U$230="nulová",$N$230,0)</f>
        <v>0</v>
      </c>
      <c r="BJ230" s="6" t="s">
        <v>22</v>
      </c>
      <c r="BK230" s="93">
        <f>ROUND($L$230*$K$230,2)</f>
        <v>0</v>
      </c>
      <c r="BL230" s="6" t="s">
        <v>230</v>
      </c>
      <c r="BM230" s="6" t="s">
        <v>482</v>
      </c>
    </row>
    <row r="231" spans="2:65" s="6" customFormat="1" ht="27" customHeight="1">
      <c r="B231" s="23"/>
      <c r="C231" s="143" t="s">
        <v>483</v>
      </c>
      <c r="D231" s="143" t="s">
        <v>168</v>
      </c>
      <c r="E231" s="144" t="s">
        <v>484</v>
      </c>
      <c r="F231" s="216" t="s">
        <v>485</v>
      </c>
      <c r="G231" s="217"/>
      <c r="H231" s="217"/>
      <c r="I231" s="217"/>
      <c r="J231" s="145" t="s">
        <v>257</v>
      </c>
      <c r="K231" s="146">
        <v>1</v>
      </c>
      <c r="L231" s="218">
        <v>0</v>
      </c>
      <c r="M231" s="217"/>
      <c r="N231" s="219">
        <f>ROUND($L$231*$K$231,2)</f>
        <v>0</v>
      </c>
      <c r="O231" s="217"/>
      <c r="P231" s="217"/>
      <c r="Q231" s="217"/>
      <c r="R231" s="25"/>
      <c r="T231" s="147"/>
      <c r="U231" s="31" t="s">
        <v>45</v>
      </c>
      <c r="V231" s="24"/>
      <c r="W231" s="148">
        <f>$V$231*$K$231</f>
        <v>0</v>
      </c>
      <c r="X231" s="148">
        <v>0.00011</v>
      </c>
      <c r="Y231" s="148">
        <f>$X$231*$K$231</f>
        <v>0.00011</v>
      </c>
      <c r="Z231" s="148">
        <v>0</v>
      </c>
      <c r="AA231" s="149">
        <f>$Z$231*$K$231</f>
        <v>0</v>
      </c>
      <c r="AR231" s="6" t="s">
        <v>230</v>
      </c>
      <c r="AT231" s="6" t="s">
        <v>168</v>
      </c>
      <c r="AU231" s="6" t="s">
        <v>110</v>
      </c>
      <c r="AY231" s="6" t="s">
        <v>167</v>
      </c>
      <c r="BE231" s="93">
        <f>IF($U$231="základní",$N$231,0)</f>
        <v>0</v>
      </c>
      <c r="BF231" s="93">
        <f>IF($U$231="snížená",$N$231,0)</f>
        <v>0</v>
      </c>
      <c r="BG231" s="93">
        <f>IF($U$231="zákl. přenesená",$N$231,0)</f>
        <v>0</v>
      </c>
      <c r="BH231" s="93">
        <f>IF($U$231="sníž. přenesená",$N$231,0)</f>
        <v>0</v>
      </c>
      <c r="BI231" s="93">
        <f>IF($U$231="nulová",$N$231,0)</f>
        <v>0</v>
      </c>
      <c r="BJ231" s="6" t="s">
        <v>22</v>
      </c>
      <c r="BK231" s="93">
        <f>ROUND($L$231*$K$231,2)</f>
        <v>0</v>
      </c>
      <c r="BL231" s="6" t="s">
        <v>230</v>
      </c>
      <c r="BM231" s="6" t="s">
        <v>486</v>
      </c>
    </row>
    <row r="232" spans="2:65" s="6" customFormat="1" ht="27" customHeight="1">
      <c r="B232" s="23"/>
      <c r="C232" s="143" t="s">
        <v>487</v>
      </c>
      <c r="D232" s="143" t="s">
        <v>168</v>
      </c>
      <c r="E232" s="144" t="s">
        <v>488</v>
      </c>
      <c r="F232" s="216" t="s">
        <v>489</v>
      </c>
      <c r="G232" s="217"/>
      <c r="H232" s="217"/>
      <c r="I232" s="217"/>
      <c r="J232" s="145" t="s">
        <v>257</v>
      </c>
      <c r="K232" s="146">
        <v>1</v>
      </c>
      <c r="L232" s="218">
        <v>0</v>
      </c>
      <c r="M232" s="217"/>
      <c r="N232" s="219">
        <f>ROUND($L$232*$K$232,2)</f>
        <v>0</v>
      </c>
      <c r="O232" s="217"/>
      <c r="P232" s="217"/>
      <c r="Q232" s="217"/>
      <c r="R232" s="25"/>
      <c r="T232" s="147"/>
      <c r="U232" s="31" t="s">
        <v>45</v>
      </c>
      <c r="V232" s="24"/>
      <c r="W232" s="148">
        <f>$V$232*$K$232</f>
        <v>0</v>
      </c>
      <c r="X232" s="148">
        <v>0.00011</v>
      </c>
      <c r="Y232" s="148">
        <f>$X$232*$K$232</f>
        <v>0.00011</v>
      </c>
      <c r="Z232" s="148">
        <v>0</v>
      </c>
      <c r="AA232" s="149">
        <f>$Z$232*$K$232</f>
        <v>0</v>
      </c>
      <c r="AR232" s="6" t="s">
        <v>230</v>
      </c>
      <c r="AT232" s="6" t="s">
        <v>168</v>
      </c>
      <c r="AU232" s="6" t="s">
        <v>110</v>
      </c>
      <c r="AY232" s="6" t="s">
        <v>167</v>
      </c>
      <c r="BE232" s="93">
        <f>IF($U$232="základní",$N$232,0)</f>
        <v>0</v>
      </c>
      <c r="BF232" s="93">
        <f>IF($U$232="snížená",$N$232,0)</f>
        <v>0</v>
      </c>
      <c r="BG232" s="93">
        <f>IF($U$232="zákl. přenesená",$N$232,0)</f>
        <v>0</v>
      </c>
      <c r="BH232" s="93">
        <f>IF($U$232="sníž. přenesená",$N$232,0)</f>
        <v>0</v>
      </c>
      <c r="BI232" s="93">
        <f>IF($U$232="nulová",$N$232,0)</f>
        <v>0</v>
      </c>
      <c r="BJ232" s="6" t="s">
        <v>22</v>
      </c>
      <c r="BK232" s="93">
        <f>ROUND($L$232*$K$232,2)</f>
        <v>0</v>
      </c>
      <c r="BL232" s="6" t="s">
        <v>230</v>
      </c>
      <c r="BM232" s="6" t="s">
        <v>490</v>
      </c>
    </row>
    <row r="233" spans="2:65" s="6" customFormat="1" ht="15.75" customHeight="1">
      <c r="B233" s="23"/>
      <c r="C233" s="143" t="s">
        <v>491</v>
      </c>
      <c r="D233" s="143" t="s">
        <v>168</v>
      </c>
      <c r="E233" s="144" t="s">
        <v>492</v>
      </c>
      <c r="F233" s="216" t="s">
        <v>493</v>
      </c>
      <c r="G233" s="217"/>
      <c r="H233" s="217"/>
      <c r="I233" s="217"/>
      <c r="J233" s="145" t="s">
        <v>257</v>
      </c>
      <c r="K233" s="146">
        <v>1</v>
      </c>
      <c r="L233" s="218">
        <v>0</v>
      </c>
      <c r="M233" s="217"/>
      <c r="N233" s="219">
        <f>ROUND($L$233*$K$233,2)</f>
        <v>0</v>
      </c>
      <c r="O233" s="217"/>
      <c r="P233" s="217"/>
      <c r="Q233" s="217"/>
      <c r="R233" s="25"/>
      <c r="T233" s="147"/>
      <c r="U233" s="31" t="s">
        <v>45</v>
      </c>
      <c r="V233" s="24"/>
      <c r="W233" s="148">
        <f>$V$233*$K$233</f>
        <v>0</v>
      </c>
      <c r="X233" s="148">
        <v>0.00011</v>
      </c>
      <c r="Y233" s="148">
        <f>$X$233*$K$233</f>
        <v>0.00011</v>
      </c>
      <c r="Z233" s="148">
        <v>0</v>
      </c>
      <c r="AA233" s="149">
        <f>$Z$233*$K$233</f>
        <v>0</v>
      </c>
      <c r="AR233" s="6" t="s">
        <v>230</v>
      </c>
      <c r="AT233" s="6" t="s">
        <v>168</v>
      </c>
      <c r="AU233" s="6" t="s">
        <v>110</v>
      </c>
      <c r="AY233" s="6" t="s">
        <v>167</v>
      </c>
      <c r="BE233" s="93">
        <f>IF($U$233="základní",$N$233,0)</f>
        <v>0</v>
      </c>
      <c r="BF233" s="93">
        <f>IF($U$233="snížená",$N$233,0)</f>
        <v>0</v>
      </c>
      <c r="BG233" s="93">
        <f>IF($U$233="zákl. přenesená",$N$233,0)</f>
        <v>0</v>
      </c>
      <c r="BH233" s="93">
        <f>IF($U$233="sníž. přenesená",$N$233,0)</f>
        <v>0</v>
      </c>
      <c r="BI233" s="93">
        <f>IF($U$233="nulová",$N$233,0)</f>
        <v>0</v>
      </c>
      <c r="BJ233" s="6" t="s">
        <v>22</v>
      </c>
      <c r="BK233" s="93">
        <f>ROUND($L$233*$K$233,2)</f>
        <v>0</v>
      </c>
      <c r="BL233" s="6" t="s">
        <v>230</v>
      </c>
      <c r="BM233" s="6" t="s">
        <v>494</v>
      </c>
    </row>
    <row r="234" spans="2:65" s="6" customFormat="1" ht="39" customHeight="1">
      <c r="B234" s="23"/>
      <c r="C234" s="143" t="s">
        <v>495</v>
      </c>
      <c r="D234" s="143" t="s">
        <v>168</v>
      </c>
      <c r="E234" s="144" t="s">
        <v>496</v>
      </c>
      <c r="F234" s="216" t="s">
        <v>497</v>
      </c>
      <c r="G234" s="217"/>
      <c r="H234" s="217"/>
      <c r="I234" s="217"/>
      <c r="J234" s="145" t="s">
        <v>257</v>
      </c>
      <c r="K234" s="146">
        <v>1</v>
      </c>
      <c r="L234" s="218">
        <v>0</v>
      </c>
      <c r="M234" s="217"/>
      <c r="N234" s="219">
        <f>ROUND($L$234*$K$234,2)</f>
        <v>0</v>
      </c>
      <c r="O234" s="217"/>
      <c r="P234" s="217"/>
      <c r="Q234" s="217"/>
      <c r="R234" s="25"/>
      <c r="T234" s="147"/>
      <c r="U234" s="31" t="s">
        <v>45</v>
      </c>
      <c r="V234" s="24"/>
      <c r="W234" s="148">
        <f>$V$234*$K$234</f>
        <v>0</v>
      </c>
      <c r="X234" s="148">
        <v>0</v>
      </c>
      <c r="Y234" s="148">
        <f>$X$234*$K$234</f>
        <v>0</v>
      </c>
      <c r="Z234" s="148">
        <v>0</v>
      </c>
      <c r="AA234" s="149">
        <f>$Z$234*$K$234</f>
        <v>0</v>
      </c>
      <c r="AR234" s="6" t="s">
        <v>230</v>
      </c>
      <c r="AT234" s="6" t="s">
        <v>168</v>
      </c>
      <c r="AU234" s="6" t="s">
        <v>110</v>
      </c>
      <c r="AY234" s="6" t="s">
        <v>167</v>
      </c>
      <c r="BE234" s="93">
        <f>IF($U$234="základní",$N$234,0)</f>
        <v>0</v>
      </c>
      <c r="BF234" s="93">
        <f>IF($U$234="snížená",$N$234,0)</f>
        <v>0</v>
      </c>
      <c r="BG234" s="93">
        <f>IF($U$234="zákl. přenesená",$N$234,0)</f>
        <v>0</v>
      </c>
      <c r="BH234" s="93">
        <f>IF($U$234="sníž. přenesená",$N$234,0)</f>
        <v>0</v>
      </c>
      <c r="BI234" s="93">
        <f>IF($U$234="nulová",$N$234,0)</f>
        <v>0</v>
      </c>
      <c r="BJ234" s="6" t="s">
        <v>22</v>
      </c>
      <c r="BK234" s="93">
        <f>ROUND($L$234*$K$234,2)</f>
        <v>0</v>
      </c>
      <c r="BL234" s="6" t="s">
        <v>230</v>
      </c>
      <c r="BM234" s="6" t="s">
        <v>498</v>
      </c>
    </row>
    <row r="235" spans="2:65" s="6" customFormat="1" ht="27" customHeight="1">
      <c r="B235" s="23"/>
      <c r="C235" s="143" t="s">
        <v>499</v>
      </c>
      <c r="D235" s="143" t="s">
        <v>168</v>
      </c>
      <c r="E235" s="144" t="s">
        <v>500</v>
      </c>
      <c r="F235" s="216" t="s">
        <v>501</v>
      </c>
      <c r="G235" s="217"/>
      <c r="H235" s="217"/>
      <c r="I235" s="217"/>
      <c r="J235" s="145" t="s">
        <v>200</v>
      </c>
      <c r="K235" s="146">
        <v>0.001</v>
      </c>
      <c r="L235" s="218">
        <v>0</v>
      </c>
      <c r="M235" s="217"/>
      <c r="N235" s="219">
        <f>ROUND($L$235*$K$235,2)</f>
        <v>0</v>
      </c>
      <c r="O235" s="217"/>
      <c r="P235" s="217"/>
      <c r="Q235" s="217"/>
      <c r="R235" s="25"/>
      <c r="T235" s="147"/>
      <c r="U235" s="31" t="s">
        <v>45</v>
      </c>
      <c r="V235" s="24"/>
      <c r="W235" s="148">
        <f>$V$235*$K$235</f>
        <v>0</v>
      </c>
      <c r="X235" s="148">
        <v>0</v>
      </c>
      <c r="Y235" s="148">
        <f>$X$235*$K$235</f>
        <v>0</v>
      </c>
      <c r="Z235" s="148">
        <v>0</v>
      </c>
      <c r="AA235" s="149">
        <f>$Z$235*$K$235</f>
        <v>0</v>
      </c>
      <c r="AR235" s="6" t="s">
        <v>230</v>
      </c>
      <c r="AT235" s="6" t="s">
        <v>168</v>
      </c>
      <c r="AU235" s="6" t="s">
        <v>110</v>
      </c>
      <c r="AY235" s="6" t="s">
        <v>167</v>
      </c>
      <c r="BE235" s="93">
        <f>IF($U$235="základní",$N$235,0)</f>
        <v>0</v>
      </c>
      <c r="BF235" s="93">
        <f>IF($U$235="snížená",$N$235,0)</f>
        <v>0</v>
      </c>
      <c r="BG235" s="93">
        <f>IF($U$235="zákl. přenesená",$N$235,0)</f>
        <v>0</v>
      </c>
      <c r="BH235" s="93">
        <f>IF($U$235="sníž. přenesená",$N$235,0)</f>
        <v>0</v>
      </c>
      <c r="BI235" s="93">
        <f>IF($U$235="nulová",$N$235,0)</f>
        <v>0</v>
      </c>
      <c r="BJ235" s="6" t="s">
        <v>22</v>
      </c>
      <c r="BK235" s="93">
        <f>ROUND($L$235*$K$235,2)</f>
        <v>0</v>
      </c>
      <c r="BL235" s="6" t="s">
        <v>230</v>
      </c>
      <c r="BM235" s="6" t="s">
        <v>502</v>
      </c>
    </row>
    <row r="236" spans="2:63" s="132" customFormat="1" ht="30.75" customHeight="1">
      <c r="B236" s="133"/>
      <c r="C236" s="134"/>
      <c r="D236" s="142" t="s">
        <v>136</v>
      </c>
      <c r="E236" s="142"/>
      <c r="F236" s="142"/>
      <c r="G236" s="142"/>
      <c r="H236" s="142"/>
      <c r="I236" s="142"/>
      <c r="J236" s="142"/>
      <c r="K236" s="142"/>
      <c r="L236" s="142"/>
      <c r="M236" s="142"/>
      <c r="N236" s="228">
        <f>$BK$236</f>
        <v>0</v>
      </c>
      <c r="O236" s="227"/>
      <c r="P236" s="227"/>
      <c r="Q236" s="227"/>
      <c r="R236" s="136"/>
      <c r="T236" s="137"/>
      <c r="U236" s="134"/>
      <c r="V236" s="134"/>
      <c r="W236" s="138">
        <f>$W$237</f>
        <v>0</v>
      </c>
      <c r="X236" s="134"/>
      <c r="Y236" s="138">
        <f>$Y$237</f>
        <v>0.04284</v>
      </c>
      <c r="Z236" s="134"/>
      <c r="AA236" s="139">
        <f>$AA$237</f>
        <v>0</v>
      </c>
      <c r="AR236" s="140" t="s">
        <v>110</v>
      </c>
      <c r="AT236" s="140" t="s">
        <v>79</v>
      </c>
      <c r="AU236" s="140" t="s">
        <v>22</v>
      </c>
      <c r="AY236" s="140" t="s">
        <v>167</v>
      </c>
      <c r="BK236" s="141">
        <f>$BK$237</f>
        <v>0</v>
      </c>
    </row>
    <row r="237" spans="2:65" s="6" customFormat="1" ht="15.75" customHeight="1">
      <c r="B237" s="23"/>
      <c r="C237" s="143" t="s">
        <v>503</v>
      </c>
      <c r="D237" s="143" t="s">
        <v>168</v>
      </c>
      <c r="E237" s="144" t="s">
        <v>504</v>
      </c>
      <c r="F237" s="216" t="s">
        <v>505</v>
      </c>
      <c r="G237" s="217"/>
      <c r="H237" s="217"/>
      <c r="I237" s="217"/>
      <c r="J237" s="145" t="s">
        <v>205</v>
      </c>
      <c r="K237" s="146">
        <v>119</v>
      </c>
      <c r="L237" s="218">
        <v>0</v>
      </c>
      <c r="M237" s="217"/>
      <c r="N237" s="219">
        <f>ROUND($L$237*$K$237,2)</f>
        <v>0</v>
      </c>
      <c r="O237" s="217"/>
      <c r="P237" s="217"/>
      <c r="Q237" s="217"/>
      <c r="R237" s="25"/>
      <c r="T237" s="147"/>
      <c r="U237" s="31" t="s">
        <v>45</v>
      </c>
      <c r="V237" s="24"/>
      <c r="W237" s="148">
        <f>$V$237*$K$237</f>
        <v>0</v>
      </c>
      <c r="X237" s="148">
        <v>0.00036</v>
      </c>
      <c r="Y237" s="148">
        <f>$X$237*$K$237</f>
        <v>0.04284</v>
      </c>
      <c r="Z237" s="148">
        <v>0</v>
      </c>
      <c r="AA237" s="149">
        <f>$Z$237*$K$237</f>
        <v>0</v>
      </c>
      <c r="AR237" s="6" t="s">
        <v>230</v>
      </c>
      <c r="AT237" s="6" t="s">
        <v>168</v>
      </c>
      <c r="AU237" s="6" t="s">
        <v>110</v>
      </c>
      <c r="AY237" s="6" t="s">
        <v>167</v>
      </c>
      <c r="BE237" s="93">
        <f>IF($U$237="základní",$N$237,0)</f>
        <v>0</v>
      </c>
      <c r="BF237" s="93">
        <f>IF($U$237="snížená",$N$237,0)</f>
        <v>0</v>
      </c>
      <c r="BG237" s="93">
        <f>IF($U$237="zákl. přenesená",$N$237,0)</f>
        <v>0</v>
      </c>
      <c r="BH237" s="93">
        <f>IF($U$237="sníž. přenesená",$N$237,0)</f>
        <v>0</v>
      </c>
      <c r="BI237" s="93">
        <f>IF($U$237="nulová",$N$237,0)</f>
        <v>0</v>
      </c>
      <c r="BJ237" s="6" t="s">
        <v>22</v>
      </c>
      <c r="BK237" s="93">
        <f>ROUND($L$237*$K$237,2)</f>
        <v>0</v>
      </c>
      <c r="BL237" s="6" t="s">
        <v>230</v>
      </c>
      <c r="BM237" s="6" t="s">
        <v>506</v>
      </c>
    </row>
    <row r="238" spans="2:63" s="132" customFormat="1" ht="37.5" customHeight="1">
      <c r="B238" s="133"/>
      <c r="C238" s="134"/>
      <c r="D238" s="135" t="s">
        <v>137</v>
      </c>
      <c r="E238" s="135"/>
      <c r="F238" s="135"/>
      <c r="G238" s="135"/>
      <c r="H238" s="135"/>
      <c r="I238" s="135"/>
      <c r="J238" s="135"/>
      <c r="K238" s="135"/>
      <c r="L238" s="135"/>
      <c r="M238" s="135"/>
      <c r="N238" s="212">
        <f>$BK$238</f>
        <v>0</v>
      </c>
      <c r="O238" s="227"/>
      <c r="P238" s="227"/>
      <c r="Q238" s="227"/>
      <c r="R238" s="136"/>
      <c r="T238" s="137"/>
      <c r="U238" s="134"/>
      <c r="V238" s="134"/>
      <c r="W238" s="138">
        <f>$W$239+$W$244</f>
        <v>0</v>
      </c>
      <c r="X238" s="134"/>
      <c r="Y238" s="138">
        <f>$Y$239+$Y$244</f>
        <v>0</v>
      </c>
      <c r="Z238" s="134"/>
      <c r="AA238" s="139">
        <f>$AA$239+$AA$244</f>
        <v>0</v>
      </c>
      <c r="AR238" s="140" t="s">
        <v>177</v>
      </c>
      <c r="AT238" s="140" t="s">
        <v>79</v>
      </c>
      <c r="AU238" s="140" t="s">
        <v>80</v>
      </c>
      <c r="AY238" s="140" t="s">
        <v>167</v>
      </c>
      <c r="BK238" s="141">
        <f>$BK$239+$BK$244</f>
        <v>0</v>
      </c>
    </row>
    <row r="239" spans="2:63" s="132" customFormat="1" ht="21" customHeight="1">
      <c r="B239" s="133"/>
      <c r="C239" s="134"/>
      <c r="D239" s="142" t="s">
        <v>138</v>
      </c>
      <c r="E239" s="142"/>
      <c r="F239" s="142"/>
      <c r="G239" s="142"/>
      <c r="H239" s="142"/>
      <c r="I239" s="142"/>
      <c r="J239" s="142"/>
      <c r="K239" s="142"/>
      <c r="L239" s="142"/>
      <c r="M239" s="142"/>
      <c r="N239" s="228">
        <f>$BK$239</f>
        <v>0</v>
      </c>
      <c r="O239" s="227"/>
      <c r="P239" s="227"/>
      <c r="Q239" s="227"/>
      <c r="R239" s="136"/>
      <c r="T239" s="137"/>
      <c r="U239" s="134"/>
      <c r="V239" s="134"/>
      <c r="W239" s="138">
        <f>SUM($W$240:$W$243)</f>
        <v>0</v>
      </c>
      <c r="X239" s="134"/>
      <c r="Y239" s="138">
        <f>SUM($Y$240:$Y$243)</f>
        <v>0</v>
      </c>
      <c r="Z239" s="134"/>
      <c r="AA239" s="139">
        <f>SUM($AA$240:$AA$243)</f>
        <v>0</v>
      </c>
      <c r="AR239" s="140" t="s">
        <v>177</v>
      </c>
      <c r="AT239" s="140" t="s">
        <v>79</v>
      </c>
      <c r="AU239" s="140" t="s">
        <v>22</v>
      </c>
      <c r="AY239" s="140" t="s">
        <v>167</v>
      </c>
      <c r="BK239" s="141">
        <f>SUM($BK$240:$BK$243)</f>
        <v>0</v>
      </c>
    </row>
    <row r="240" spans="2:65" s="6" customFormat="1" ht="27" customHeight="1">
      <c r="B240" s="23"/>
      <c r="C240" s="143" t="s">
        <v>507</v>
      </c>
      <c r="D240" s="143" t="s">
        <v>168</v>
      </c>
      <c r="E240" s="144" t="s">
        <v>508</v>
      </c>
      <c r="F240" s="216" t="s">
        <v>509</v>
      </c>
      <c r="G240" s="217"/>
      <c r="H240" s="217"/>
      <c r="I240" s="217"/>
      <c r="J240" s="145" t="s">
        <v>257</v>
      </c>
      <c r="K240" s="146">
        <v>1</v>
      </c>
      <c r="L240" s="218">
        <v>0</v>
      </c>
      <c r="M240" s="217"/>
      <c r="N240" s="219">
        <f>ROUND($L$240*$K$240,2)</f>
        <v>0</v>
      </c>
      <c r="O240" s="217"/>
      <c r="P240" s="217"/>
      <c r="Q240" s="217"/>
      <c r="R240" s="25"/>
      <c r="T240" s="147"/>
      <c r="U240" s="31" t="s">
        <v>45</v>
      </c>
      <c r="V240" s="24"/>
      <c r="W240" s="148">
        <f>$V$240*$K$240</f>
        <v>0</v>
      </c>
      <c r="X240" s="148">
        <v>0</v>
      </c>
      <c r="Y240" s="148">
        <f>$X$240*$K$240</f>
        <v>0</v>
      </c>
      <c r="Z240" s="148">
        <v>0</v>
      </c>
      <c r="AA240" s="149">
        <f>$Z$240*$K$240</f>
        <v>0</v>
      </c>
      <c r="AR240" s="6" t="s">
        <v>423</v>
      </c>
      <c r="AT240" s="6" t="s">
        <v>168</v>
      </c>
      <c r="AU240" s="6" t="s">
        <v>110</v>
      </c>
      <c r="AY240" s="6" t="s">
        <v>167</v>
      </c>
      <c r="BE240" s="93">
        <f>IF($U$240="základní",$N$240,0)</f>
        <v>0</v>
      </c>
      <c r="BF240" s="93">
        <f>IF($U$240="snížená",$N$240,0)</f>
        <v>0</v>
      </c>
      <c r="BG240" s="93">
        <f>IF($U$240="zákl. přenesená",$N$240,0)</f>
        <v>0</v>
      </c>
      <c r="BH240" s="93">
        <f>IF($U$240="sníž. přenesená",$N$240,0)</f>
        <v>0</v>
      </c>
      <c r="BI240" s="93">
        <f>IF($U$240="nulová",$N$240,0)</f>
        <v>0</v>
      </c>
      <c r="BJ240" s="6" t="s">
        <v>22</v>
      </c>
      <c r="BK240" s="93">
        <f>ROUND($L$240*$K$240,2)</f>
        <v>0</v>
      </c>
      <c r="BL240" s="6" t="s">
        <v>423</v>
      </c>
      <c r="BM240" s="6" t="s">
        <v>510</v>
      </c>
    </row>
    <row r="241" spans="2:65" s="6" customFormat="1" ht="51" customHeight="1">
      <c r="B241" s="23"/>
      <c r="C241" s="143" t="s">
        <v>511</v>
      </c>
      <c r="D241" s="143" t="s">
        <v>168</v>
      </c>
      <c r="E241" s="144" t="s">
        <v>512</v>
      </c>
      <c r="F241" s="216" t="s">
        <v>513</v>
      </c>
      <c r="G241" s="217"/>
      <c r="H241" s="217"/>
      <c r="I241" s="217"/>
      <c r="J241" s="145" t="s">
        <v>257</v>
      </c>
      <c r="K241" s="146">
        <v>1</v>
      </c>
      <c r="L241" s="218">
        <v>0</v>
      </c>
      <c r="M241" s="217"/>
      <c r="N241" s="219">
        <f>ROUND($L$241*$K$241,2)</f>
        <v>0</v>
      </c>
      <c r="O241" s="217"/>
      <c r="P241" s="217"/>
      <c r="Q241" s="217"/>
      <c r="R241" s="25"/>
      <c r="T241" s="147"/>
      <c r="U241" s="31" t="s">
        <v>45</v>
      </c>
      <c r="V241" s="24"/>
      <c r="W241" s="148">
        <f>$V$241*$K$241</f>
        <v>0</v>
      </c>
      <c r="X241" s="148">
        <v>0</v>
      </c>
      <c r="Y241" s="148">
        <f>$X$241*$K$241</f>
        <v>0</v>
      </c>
      <c r="Z241" s="148">
        <v>0</v>
      </c>
      <c r="AA241" s="149">
        <f>$Z$241*$K$241</f>
        <v>0</v>
      </c>
      <c r="AR241" s="6" t="s">
        <v>423</v>
      </c>
      <c r="AT241" s="6" t="s">
        <v>168</v>
      </c>
      <c r="AU241" s="6" t="s">
        <v>110</v>
      </c>
      <c r="AY241" s="6" t="s">
        <v>167</v>
      </c>
      <c r="BE241" s="93">
        <f>IF($U$241="základní",$N$241,0)</f>
        <v>0</v>
      </c>
      <c r="BF241" s="93">
        <f>IF($U$241="snížená",$N$241,0)</f>
        <v>0</v>
      </c>
      <c r="BG241" s="93">
        <f>IF($U$241="zákl. přenesená",$N$241,0)</f>
        <v>0</v>
      </c>
      <c r="BH241" s="93">
        <f>IF($U$241="sníž. přenesená",$N$241,0)</f>
        <v>0</v>
      </c>
      <c r="BI241" s="93">
        <f>IF($U$241="nulová",$N$241,0)</f>
        <v>0</v>
      </c>
      <c r="BJ241" s="6" t="s">
        <v>22</v>
      </c>
      <c r="BK241" s="93">
        <f>ROUND($L$241*$K$241,2)</f>
        <v>0</v>
      </c>
      <c r="BL241" s="6" t="s">
        <v>423</v>
      </c>
      <c r="BM241" s="6" t="s">
        <v>514</v>
      </c>
    </row>
    <row r="242" spans="2:65" s="6" customFormat="1" ht="27" customHeight="1">
      <c r="B242" s="23"/>
      <c r="C242" s="143" t="s">
        <v>515</v>
      </c>
      <c r="D242" s="143" t="s">
        <v>168</v>
      </c>
      <c r="E242" s="144" t="s">
        <v>516</v>
      </c>
      <c r="F242" s="216" t="s">
        <v>517</v>
      </c>
      <c r="G242" s="217"/>
      <c r="H242" s="217"/>
      <c r="I242" s="217"/>
      <c r="J242" s="145" t="s">
        <v>257</v>
      </c>
      <c r="K242" s="146">
        <v>1</v>
      </c>
      <c r="L242" s="218">
        <v>0</v>
      </c>
      <c r="M242" s="217"/>
      <c r="N242" s="219">
        <f>ROUND($L$242*$K$242,2)</f>
        <v>0</v>
      </c>
      <c r="O242" s="217"/>
      <c r="P242" s="217"/>
      <c r="Q242" s="217"/>
      <c r="R242" s="25"/>
      <c r="T242" s="147"/>
      <c r="U242" s="31" t="s">
        <v>45</v>
      </c>
      <c r="V242" s="24"/>
      <c r="W242" s="148">
        <f>$V$242*$K$242</f>
        <v>0</v>
      </c>
      <c r="X242" s="148">
        <v>0</v>
      </c>
      <c r="Y242" s="148">
        <f>$X$242*$K$242</f>
        <v>0</v>
      </c>
      <c r="Z242" s="148">
        <v>0</v>
      </c>
      <c r="AA242" s="149">
        <f>$Z$242*$K$242</f>
        <v>0</v>
      </c>
      <c r="AR242" s="6" t="s">
        <v>423</v>
      </c>
      <c r="AT242" s="6" t="s">
        <v>168</v>
      </c>
      <c r="AU242" s="6" t="s">
        <v>110</v>
      </c>
      <c r="AY242" s="6" t="s">
        <v>167</v>
      </c>
      <c r="BE242" s="93">
        <f>IF($U$242="základní",$N$242,0)</f>
        <v>0</v>
      </c>
      <c r="BF242" s="93">
        <f>IF($U$242="snížená",$N$242,0)</f>
        <v>0</v>
      </c>
      <c r="BG242" s="93">
        <f>IF($U$242="zákl. přenesená",$N$242,0)</f>
        <v>0</v>
      </c>
      <c r="BH242" s="93">
        <f>IF($U$242="sníž. přenesená",$N$242,0)</f>
        <v>0</v>
      </c>
      <c r="BI242" s="93">
        <f>IF($U$242="nulová",$N$242,0)</f>
        <v>0</v>
      </c>
      <c r="BJ242" s="6" t="s">
        <v>22</v>
      </c>
      <c r="BK242" s="93">
        <f>ROUND($L$242*$K$242,2)</f>
        <v>0</v>
      </c>
      <c r="BL242" s="6" t="s">
        <v>423</v>
      </c>
      <c r="BM242" s="6" t="s">
        <v>518</v>
      </c>
    </row>
    <row r="243" spans="2:65" s="6" customFormat="1" ht="27" customHeight="1">
      <c r="B243" s="23"/>
      <c r="C243" s="143" t="s">
        <v>519</v>
      </c>
      <c r="D243" s="143" t="s">
        <v>168</v>
      </c>
      <c r="E243" s="144" t="s">
        <v>520</v>
      </c>
      <c r="F243" s="216" t="s">
        <v>521</v>
      </c>
      <c r="G243" s="217"/>
      <c r="H243" s="217"/>
      <c r="I243" s="217"/>
      <c r="J243" s="145" t="s">
        <v>257</v>
      </c>
      <c r="K243" s="146">
        <v>1</v>
      </c>
      <c r="L243" s="218">
        <v>0</v>
      </c>
      <c r="M243" s="217"/>
      <c r="N243" s="219">
        <f>ROUND($L$243*$K$243,2)</f>
        <v>0</v>
      </c>
      <c r="O243" s="217"/>
      <c r="P243" s="217"/>
      <c r="Q243" s="217"/>
      <c r="R243" s="25"/>
      <c r="T243" s="147"/>
      <c r="U243" s="31" t="s">
        <v>45</v>
      </c>
      <c r="V243" s="24"/>
      <c r="W243" s="148">
        <f>$V$243*$K$243</f>
        <v>0</v>
      </c>
      <c r="X243" s="148">
        <v>0</v>
      </c>
      <c r="Y243" s="148">
        <f>$X$243*$K$243</f>
        <v>0</v>
      </c>
      <c r="Z243" s="148">
        <v>0</v>
      </c>
      <c r="AA243" s="149">
        <f>$Z$243*$K$243</f>
        <v>0</v>
      </c>
      <c r="AR243" s="6" t="s">
        <v>423</v>
      </c>
      <c r="AT243" s="6" t="s">
        <v>168</v>
      </c>
      <c r="AU243" s="6" t="s">
        <v>110</v>
      </c>
      <c r="AY243" s="6" t="s">
        <v>167</v>
      </c>
      <c r="BE243" s="93">
        <f>IF($U$243="základní",$N$243,0)</f>
        <v>0</v>
      </c>
      <c r="BF243" s="93">
        <f>IF($U$243="snížená",$N$243,0)</f>
        <v>0</v>
      </c>
      <c r="BG243" s="93">
        <f>IF($U$243="zákl. přenesená",$N$243,0)</f>
        <v>0</v>
      </c>
      <c r="BH243" s="93">
        <f>IF($U$243="sníž. přenesená",$N$243,0)</f>
        <v>0</v>
      </c>
      <c r="BI243" s="93">
        <f>IF($U$243="nulová",$N$243,0)</f>
        <v>0</v>
      </c>
      <c r="BJ243" s="6" t="s">
        <v>22</v>
      </c>
      <c r="BK243" s="93">
        <f>ROUND($L$243*$K$243,2)</f>
        <v>0</v>
      </c>
      <c r="BL243" s="6" t="s">
        <v>423</v>
      </c>
      <c r="BM243" s="6" t="s">
        <v>522</v>
      </c>
    </row>
    <row r="244" spans="2:63" s="132" customFormat="1" ht="30.75" customHeight="1">
      <c r="B244" s="133"/>
      <c r="C244" s="134"/>
      <c r="D244" s="142" t="s">
        <v>139</v>
      </c>
      <c r="E244" s="142"/>
      <c r="F244" s="142"/>
      <c r="G244" s="142"/>
      <c r="H244" s="142"/>
      <c r="I244" s="142"/>
      <c r="J244" s="142"/>
      <c r="K244" s="142"/>
      <c r="L244" s="142"/>
      <c r="M244" s="142"/>
      <c r="N244" s="228">
        <f>$BK$244</f>
        <v>0</v>
      </c>
      <c r="O244" s="227"/>
      <c r="P244" s="227"/>
      <c r="Q244" s="227"/>
      <c r="R244" s="136"/>
      <c r="T244" s="137"/>
      <c r="U244" s="134"/>
      <c r="V244" s="134"/>
      <c r="W244" s="138">
        <f>SUM($W$245:$W$246)</f>
        <v>0</v>
      </c>
      <c r="X244" s="134"/>
      <c r="Y244" s="138">
        <f>SUM($Y$245:$Y$246)</f>
        <v>0</v>
      </c>
      <c r="Z244" s="134"/>
      <c r="AA244" s="139">
        <f>SUM($AA$245:$AA$246)</f>
        <v>0</v>
      </c>
      <c r="AR244" s="140" t="s">
        <v>177</v>
      </c>
      <c r="AT244" s="140" t="s">
        <v>79</v>
      </c>
      <c r="AU244" s="140" t="s">
        <v>22</v>
      </c>
      <c r="AY244" s="140" t="s">
        <v>167</v>
      </c>
      <c r="BK244" s="141">
        <f>SUM($BK$245:$BK$246)</f>
        <v>0</v>
      </c>
    </row>
    <row r="245" spans="2:65" s="6" customFormat="1" ht="15.75" customHeight="1">
      <c r="B245" s="23"/>
      <c r="C245" s="143" t="s">
        <v>523</v>
      </c>
      <c r="D245" s="143" t="s">
        <v>168</v>
      </c>
      <c r="E245" s="144" t="s">
        <v>524</v>
      </c>
      <c r="F245" s="216" t="s">
        <v>525</v>
      </c>
      <c r="G245" s="217"/>
      <c r="H245" s="217"/>
      <c r="I245" s="217"/>
      <c r="J245" s="145" t="s">
        <v>257</v>
      </c>
      <c r="K245" s="146">
        <v>1</v>
      </c>
      <c r="L245" s="218">
        <v>0</v>
      </c>
      <c r="M245" s="217"/>
      <c r="N245" s="219">
        <f>ROUND($L$245*$K$245,2)</f>
        <v>0</v>
      </c>
      <c r="O245" s="217"/>
      <c r="P245" s="217"/>
      <c r="Q245" s="217"/>
      <c r="R245" s="25"/>
      <c r="T245" s="147"/>
      <c r="U245" s="31" t="s">
        <v>45</v>
      </c>
      <c r="V245" s="24"/>
      <c r="W245" s="148">
        <f>$V$245*$K$245</f>
        <v>0</v>
      </c>
      <c r="X245" s="148">
        <v>0</v>
      </c>
      <c r="Y245" s="148">
        <f>$X$245*$K$245</f>
        <v>0</v>
      </c>
      <c r="Z245" s="148">
        <v>0</v>
      </c>
      <c r="AA245" s="149">
        <f>$Z$245*$K$245</f>
        <v>0</v>
      </c>
      <c r="AR245" s="6" t="s">
        <v>423</v>
      </c>
      <c r="AT245" s="6" t="s">
        <v>168</v>
      </c>
      <c r="AU245" s="6" t="s">
        <v>110</v>
      </c>
      <c r="AY245" s="6" t="s">
        <v>167</v>
      </c>
      <c r="BE245" s="93">
        <f>IF($U$245="základní",$N$245,0)</f>
        <v>0</v>
      </c>
      <c r="BF245" s="93">
        <f>IF($U$245="snížená",$N$245,0)</f>
        <v>0</v>
      </c>
      <c r="BG245" s="93">
        <f>IF($U$245="zákl. přenesená",$N$245,0)</f>
        <v>0</v>
      </c>
      <c r="BH245" s="93">
        <f>IF($U$245="sníž. přenesená",$N$245,0)</f>
        <v>0</v>
      </c>
      <c r="BI245" s="93">
        <f>IF($U$245="nulová",$N$245,0)</f>
        <v>0</v>
      </c>
      <c r="BJ245" s="6" t="s">
        <v>22</v>
      </c>
      <c r="BK245" s="93">
        <f>ROUND($L$245*$K$245,2)</f>
        <v>0</v>
      </c>
      <c r="BL245" s="6" t="s">
        <v>423</v>
      </c>
      <c r="BM245" s="6" t="s">
        <v>526</v>
      </c>
    </row>
    <row r="246" spans="2:65" s="6" customFormat="1" ht="63" customHeight="1">
      <c r="B246" s="23"/>
      <c r="C246" s="143" t="s">
        <v>527</v>
      </c>
      <c r="D246" s="143" t="s">
        <v>168</v>
      </c>
      <c r="E246" s="144" t="s">
        <v>528</v>
      </c>
      <c r="F246" s="216" t="s">
        <v>529</v>
      </c>
      <c r="G246" s="217"/>
      <c r="H246" s="217"/>
      <c r="I246" s="217"/>
      <c r="J246" s="145" t="s">
        <v>257</v>
      </c>
      <c r="K246" s="146">
        <v>1</v>
      </c>
      <c r="L246" s="218">
        <v>0</v>
      </c>
      <c r="M246" s="217"/>
      <c r="N246" s="219">
        <f>ROUND($L$246*$K$246,2)</f>
        <v>0</v>
      </c>
      <c r="O246" s="217"/>
      <c r="P246" s="217"/>
      <c r="Q246" s="217"/>
      <c r="R246" s="25"/>
      <c r="T246" s="147"/>
      <c r="U246" s="31" t="s">
        <v>45</v>
      </c>
      <c r="V246" s="24"/>
      <c r="W246" s="148">
        <f>$V$246*$K$246</f>
        <v>0</v>
      </c>
      <c r="X246" s="148">
        <v>0</v>
      </c>
      <c r="Y246" s="148">
        <f>$X$246*$K$246</f>
        <v>0</v>
      </c>
      <c r="Z246" s="148">
        <v>0</v>
      </c>
      <c r="AA246" s="149">
        <f>$Z$246*$K$246</f>
        <v>0</v>
      </c>
      <c r="AR246" s="6" t="s">
        <v>423</v>
      </c>
      <c r="AT246" s="6" t="s">
        <v>168</v>
      </c>
      <c r="AU246" s="6" t="s">
        <v>110</v>
      </c>
      <c r="AY246" s="6" t="s">
        <v>167</v>
      </c>
      <c r="BE246" s="93">
        <f>IF($U$246="základní",$N$246,0)</f>
        <v>0</v>
      </c>
      <c r="BF246" s="93">
        <f>IF($U$246="snížená",$N$246,0)</f>
        <v>0</v>
      </c>
      <c r="BG246" s="93">
        <f>IF($U$246="zákl. přenesená",$N$246,0)</f>
        <v>0</v>
      </c>
      <c r="BH246" s="93">
        <f>IF($U$246="sníž. přenesená",$N$246,0)</f>
        <v>0</v>
      </c>
      <c r="BI246" s="93">
        <f>IF($U$246="nulová",$N$246,0)</f>
        <v>0</v>
      </c>
      <c r="BJ246" s="6" t="s">
        <v>22</v>
      </c>
      <c r="BK246" s="93">
        <f>ROUND($L$246*$K$246,2)</f>
        <v>0</v>
      </c>
      <c r="BL246" s="6" t="s">
        <v>423</v>
      </c>
      <c r="BM246" s="6" t="s">
        <v>530</v>
      </c>
    </row>
    <row r="247" spans="2:63" s="132" customFormat="1" ht="37.5" customHeight="1">
      <c r="B247" s="133"/>
      <c r="C247" s="134"/>
      <c r="D247" s="135" t="s">
        <v>140</v>
      </c>
      <c r="E247" s="135"/>
      <c r="F247" s="135"/>
      <c r="G247" s="135"/>
      <c r="H247" s="135"/>
      <c r="I247" s="135"/>
      <c r="J247" s="135"/>
      <c r="K247" s="135"/>
      <c r="L247" s="135"/>
      <c r="M247" s="135"/>
      <c r="N247" s="212">
        <f>$BK$247</f>
        <v>0</v>
      </c>
      <c r="O247" s="227"/>
      <c r="P247" s="227"/>
      <c r="Q247" s="227"/>
      <c r="R247" s="136"/>
      <c r="T247" s="137"/>
      <c r="U247" s="134"/>
      <c r="V247" s="134"/>
      <c r="W247" s="138">
        <f>$W$248</f>
        <v>0</v>
      </c>
      <c r="X247" s="134"/>
      <c r="Y247" s="138">
        <f>$Y$248</f>
        <v>0</v>
      </c>
      <c r="Z247" s="134"/>
      <c r="AA247" s="139">
        <f>$AA$248</f>
        <v>0</v>
      </c>
      <c r="AR247" s="140" t="s">
        <v>184</v>
      </c>
      <c r="AT247" s="140" t="s">
        <v>79</v>
      </c>
      <c r="AU247" s="140" t="s">
        <v>80</v>
      </c>
      <c r="AY247" s="140" t="s">
        <v>167</v>
      </c>
      <c r="BK247" s="141">
        <f>$BK$248</f>
        <v>0</v>
      </c>
    </row>
    <row r="248" spans="2:63" s="132" customFormat="1" ht="21" customHeight="1">
      <c r="B248" s="133"/>
      <c r="C248" s="134"/>
      <c r="D248" s="142" t="s">
        <v>141</v>
      </c>
      <c r="E248" s="142"/>
      <c r="F248" s="142"/>
      <c r="G248" s="142"/>
      <c r="H248" s="142"/>
      <c r="I248" s="142"/>
      <c r="J248" s="142"/>
      <c r="K248" s="142"/>
      <c r="L248" s="142"/>
      <c r="M248" s="142"/>
      <c r="N248" s="228">
        <f>$BK$248</f>
        <v>0</v>
      </c>
      <c r="O248" s="227"/>
      <c r="P248" s="227"/>
      <c r="Q248" s="227"/>
      <c r="R248" s="136"/>
      <c r="T248" s="137"/>
      <c r="U248" s="134"/>
      <c r="V248" s="134"/>
      <c r="W248" s="138">
        <f>$W$249</f>
        <v>0</v>
      </c>
      <c r="X248" s="134"/>
      <c r="Y248" s="138">
        <f>$Y$249</f>
        <v>0</v>
      </c>
      <c r="Z248" s="134"/>
      <c r="AA248" s="139">
        <f>$AA$249</f>
        <v>0</v>
      </c>
      <c r="AR248" s="140" t="s">
        <v>184</v>
      </c>
      <c r="AT248" s="140" t="s">
        <v>79</v>
      </c>
      <c r="AU248" s="140" t="s">
        <v>22</v>
      </c>
      <c r="AY248" s="140" t="s">
        <v>167</v>
      </c>
      <c r="BK248" s="141">
        <f>$BK$249</f>
        <v>0</v>
      </c>
    </row>
    <row r="249" spans="2:65" s="6" customFormat="1" ht="15.75" customHeight="1">
      <c r="B249" s="23"/>
      <c r="C249" s="143" t="s">
        <v>531</v>
      </c>
      <c r="D249" s="143" t="s">
        <v>168</v>
      </c>
      <c r="E249" s="144" t="s">
        <v>532</v>
      </c>
      <c r="F249" s="216" t="s">
        <v>533</v>
      </c>
      <c r="G249" s="217"/>
      <c r="H249" s="217"/>
      <c r="I249" s="217"/>
      <c r="J249" s="145" t="s">
        <v>257</v>
      </c>
      <c r="K249" s="146">
        <v>1</v>
      </c>
      <c r="L249" s="218">
        <v>0</v>
      </c>
      <c r="M249" s="217"/>
      <c r="N249" s="219">
        <f>ROUND($L$249*$K$249,2)</f>
        <v>0</v>
      </c>
      <c r="O249" s="217"/>
      <c r="P249" s="217"/>
      <c r="Q249" s="217"/>
      <c r="R249" s="25"/>
      <c r="T249" s="147"/>
      <c r="U249" s="31" t="s">
        <v>45</v>
      </c>
      <c r="V249" s="24"/>
      <c r="W249" s="148">
        <f>$V$249*$K$249</f>
        <v>0</v>
      </c>
      <c r="X249" s="148">
        <v>0</v>
      </c>
      <c r="Y249" s="148">
        <f>$X$249*$K$249</f>
        <v>0</v>
      </c>
      <c r="Z249" s="148">
        <v>0</v>
      </c>
      <c r="AA249" s="149">
        <f>$Z$249*$K$249</f>
        <v>0</v>
      </c>
      <c r="AR249" s="6" t="s">
        <v>534</v>
      </c>
      <c r="AT249" s="6" t="s">
        <v>168</v>
      </c>
      <c r="AU249" s="6" t="s">
        <v>110</v>
      </c>
      <c r="AY249" s="6" t="s">
        <v>167</v>
      </c>
      <c r="BE249" s="93">
        <f>IF($U$249="základní",$N$249,0)</f>
        <v>0</v>
      </c>
      <c r="BF249" s="93">
        <f>IF($U$249="snížená",$N$249,0)</f>
        <v>0</v>
      </c>
      <c r="BG249" s="93">
        <f>IF($U$249="zákl. přenesená",$N$249,0)</f>
        <v>0</v>
      </c>
      <c r="BH249" s="93">
        <f>IF($U$249="sníž. přenesená",$N$249,0)</f>
        <v>0</v>
      </c>
      <c r="BI249" s="93">
        <f>IF($U$249="nulová",$N$249,0)</f>
        <v>0</v>
      </c>
      <c r="BJ249" s="6" t="s">
        <v>22</v>
      </c>
      <c r="BK249" s="93">
        <f>ROUND($L$249*$K$249,2)</f>
        <v>0</v>
      </c>
      <c r="BL249" s="6" t="s">
        <v>534</v>
      </c>
      <c r="BM249" s="6" t="s">
        <v>535</v>
      </c>
    </row>
    <row r="250" spans="2:63" s="6" customFormat="1" ht="51" customHeight="1">
      <c r="B250" s="23"/>
      <c r="C250" s="24"/>
      <c r="D250" s="135" t="s">
        <v>536</v>
      </c>
      <c r="E250" s="24"/>
      <c r="F250" s="24"/>
      <c r="G250" s="24"/>
      <c r="H250" s="24"/>
      <c r="I250" s="24"/>
      <c r="J250" s="24"/>
      <c r="K250" s="24"/>
      <c r="L250" s="24"/>
      <c r="M250" s="24"/>
      <c r="N250" s="212">
        <f>$BK$250</f>
        <v>0</v>
      </c>
      <c r="O250" s="180"/>
      <c r="P250" s="180"/>
      <c r="Q250" s="180"/>
      <c r="R250" s="25"/>
      <c r="T250" s="64"/>
      <c r="U250" s="24"/>
      <c r="V250" s="24"/>
      <c r="W250" s="24"/>
      <c r="X250" s="24"/>
      <c r="Y250" s="24"/>
      <c r="Z250" s="24"/>
      <c r="AA250" s="65"/>
      <c r="AT250" s="6" t="s">
        <v>79</v>
      </c>
      <c r="AU250" s="6" t="s">
        <v>80</v>
      </c>
      <c r="AY250" s="6" t="s">
        <v>537</v>
      </c>
      <c r="BK250" s="93">
        <f>SUM($BK$251:$BK$255)</f>
        <v>0</v>
      </c>
    </row>
    <row r="251" spans="2:63" s="6" customFormat="1" ht="23.25" customHeight="1">
      <c r="B251" s="23"/>
      <c r="C251" s="154"/>
      <c r="D251" s="154" t="s">
        <v>168</v>
      </c>
      <c r="E251" s="155"/>
      <c r="F251" s="224"/>
      <c r="G251" s="225"/>
      <c r="H251" s="225"/>
      <c r="I251" s="225"/>
      <c r="J251" s="156"/>
      <c r="K251" s="157"/>
      <c r="L251" s="218"/>
      <c r="M251" s="217"/>
      <c r="N251" s="219">
        <f>$BK$251</f>
        <v>0</v>
      </c>
      <c r="O251" s="217"/>
      <c r="P251" s="217"/>
      <c r="Q251" s="217"/>
      <c r="R251" s="25"/>
      <c r="T251" s="147"/>
      <c r="U251" s="158" t="s">
        <v>45</v>
      </c>
      <c r="V251" s="24"/>
      <c r="W251" s="24"/>
      <c r="X251" s="24"/>
      <c r="Y251" s="24"/>
      <c r="Z251" s="24"/>
      <c r="AA251" s="65"/>
      <c r="AT251" s="6" t="s">
        <v>537</v>
      </c>
      <c r="AU251" s="6" t="s">
        <v>22</v>
      </c>
      <c r="AY251" s="6" t="s">
        <v>537</v>
      </c>
      <c r="BE251" s="93">
        <f>IF($U$251="základní",$N$251,0)</f>
        <v>0</v>
      </c>
      <c r="BF251" s="93">
        <f>IF($U$251="snížená",$N$251,0)</f>
        <v>0</v>
      </c>
      <c r="BG251" s="93">
        <f>IF($U$251="zákl. přenesená",$N$251,0)</f>
        <v>0</v>
      </c>
      <c r="BH251" s="93">
        <f>IF($U$251="sníž. přenesená",$N$251,0)</f>
        <v>0</v>
      </c>
      <c r="BI251" s="93">
        <f>IF($U$251="nulová",$N$251,0)</f>
        <v>0</v>
      </c>
      <c r="BJ251" s="6" t="s">
        <v>22</v>
      </c>
      <c r="BK251" s="93">
        <f>$L$251*$K$251</f>
        <v>0</v>
      </c>
    </row>
    <row r="252" spans="2:63" s="6" customFormat="1" ht="23.25" customHeight="1">
      <c r="B252" s="23"/>
      <c r="C252" s="154"/>
      <c r="D252" s="154" t="s">
        <v>168</v>
      </c>
      <c r="E252" s="155"/>
      <c r="F252" s="224"/>
      <c r="G252" s="225"/>
      <c r="H252" s="225"/>
      <c r="I252" s="225"/>
      <c r="J252" s="156"/>
      <c r="K252" s="157"/>
      <c r="L252" s="218"/>
      <c r="M252" s="217"/>
      <c r="N252" s="219">
        <f>$BK$252</f>
        <v>0</v>
      </c>
      <c r="O252" s="217"/>
      <c r="P252" s="217"/>
      <c r="Q252" s="217"/>
      <c r="R252" s="25"/>
      <c r="T252" s="147"/>
      <c r="U252" s="158" t="s">
        <v>45</v>
      </c>
      <c r="V252" s="24"/>
      <c r="W252" s="24"/>
      <c r="X252" s="24"/>
      <c r="Y252" s="24"/>
      <c r="Z252" s="24"/>
      <c r="AA252" s="65"/>
      <c r="AT252" s="6" t="s">
        <v>537</v>
      </c>
      <c r="AU252" s="6" t="s">
        <v>22</v>
      </c>
      <c r="AY252" s="6" t="s">
        <v>537</v>
      </c>
      <c r="BE252" s="93">
        <f>IF($U$252="základní",$N$252,0)</f>
        <v>0</v>
      </c>
      <c r="BF252" s="93">
        <f>IF($U$252="snížená",$N$252,0)</f>
        <v>0</v>
      </c>
      <c r="BG252" s="93">
        <f>IF($U$252="zákl. přenesená",$N$252,0)</f>
        <v>0</v>
      </c>
      <c r="BH252" s="93">
        <f>IF($U$252="sníž. přenesená",$N$252,0)</f>
        <v>0</v>
      </c>
      <c r="BI252" s="93">
        <f>IF($U$252="nulová",$N$252,0)</f>
        <v>0</v>
      </c>
      <c r="BJ252" s="6" t="s">
        <v>22</v>
      </c>
      <c r="BK252" s="93">
        <f>$L$252*$K$252</f>
        <v>0</v>
      </c>
    </row>
    <row r="253" spans="2:63" s="6" customFormat="1" ht="23.25" customHeight="1">
      <c r="B253" s="23"/>
      <c r="C253" s="154"/>
      <c r="D253" s="154" t="s">
        <v>168</v>
      </c>
      <c r="E253" s="155"/>
      <c r="F253" s="224"/>
      <c r="G253" s="225"/>
      <c r="H253" s="225"/>
      <c r="I253" s="225"/>
      <c r="J253" s="156"/>
      <c r="K253" s="157"/>
      <c r="L253" s="218"/>
      <c r="M253" s="217"/>
      <c r="N253" s="219">
        <f>$BK$253</f>
        <v>0</v>
      </c>
      <c r="O253" s="217"/>
      <c r="P253" s="217"/>
      <c r="Q253" s="217"/>
      <c r="R253" s="25"/>
      <c r="T253" s="147"/>
      <c r="U253" s="158" t="s">
        <v>45</v>
      </c>
      <c r="V253" s="24"/>
      <c r="W253" s="24"/>
      <c r="X253" s="24"/>
      <c r="Y253" s="24"/>
      <c r="Z253" s="24"/>
      <c r="AA253" s="65"/>
      <c r="AT253" s="6" t="s">
        <v>537</v>
      </c>
      <c r="AU253" s="6" t="s">
        <v>22</v>
      </c>
      <c r="AY253" s="6" t="s">
        <v>537</v>
      </c>
      <c r="BE253" s="93">
        <f>IF($U$253="základní",$N$253,0)</f>
        <v>0</v>
      </c>
      <c r="BF253" s="93">
        <f>IF($U$253="snížená",$N$253,0)</f>
        <v>0</v>
      </c>
      <c r="BG253" s="93">
        <f>IF($U$253="zákl. přenesená",$N$253,0)</f>
        <v>0</v>
      </c>
      <c r="BH253" s="93">
        <f>IF($U$253="sníž. přenesená",$N$253,0)</f>
        <v>0</v>
      </c>
      <c r="BI253" s="93">
        <f>IF($U$253="nulová",$N$253,0)</f>
        <v>0</v>
      </c>
      <c r="BJ253" s="6" t="s">
        <v>22</v>
      </c>
      <c r="BK253" s="93">
        <f>$L$253*$K$253</f>
        <v>0</v>
      </c>
    </row>
    <row r="254" spans="2:63" s="6" customFormat="1" ht="23.25" customHeight="1">
      <c r="B254" s="23"/>
      <c r="C254" s="154"/>
      <c r="D254" s="154" t="s">
        <v>168</v>
      </c>
      <c r="E254" s="155"/>
      <c r="F254" s="224"/>
      <c r="G254" s="225"/>
      <c r="H254" s="225"/>
      <c r="I254" s="225"/>
      <c r="J254" s="156"/>
      <c r="K254" s="157"/>
      <c r="L254" s="218"/>
      <c r="M254" s="217"/>
      <c r="N254" s="219">
        <f>$BK$254</f>
        <v>0</v>
      </c>
      <c r="O254" s="217"/>
      <c r="P254" s="217"/>
      <c r="Q254" s="217"/>
      <c r="R254" s="25"/>
      <c r="T254" s="147"/>
      <c r="U254" s="158" t="s">
        <v>45</v>
      </c>
      <c r="V254" s="24"/>
      <c r="W254" s="24"/>
      <c r="X254" s="24"/>
      <c r="Y254" s="24"/>
      <c r="Z254" s="24"/>
      <c r="AA254" s="65"/>
      <c r="AT254" s="6" t="s">
        <v>537</v>
      </c>
      <c r="AU254" s="6" t="s">
        <v>22</v>
      </c>
      <c r="AY254" s="6" t="s">
        <v>537</v>
      </c>
      <c r="BE254" s="93">
        <f>IF($U$254="základní",$N$254,0)</f>
        <v>0</v>
      </c>
      <c r="BF254" s="93">
        <f>IF($U$254="snížená",$N$254,0)</f>
        <v>0</v>
      </c>
      <c r="BG254" s="93">
        <f>IF($U$254="zákl. přenesená",$N$254,0)</f>
        <v>0</v>
      </c>
      <c r="BH254" s="93">
        <f>IF($U$254="sníž. přenesená",$N$254,0)</f>
        <v>0</v>
      </c>
      <c r="BI254" s="93">
        <f>IF($U$254="nulová",$N$254,0)</f>
        <v>0</v>
      </c>
      <c r="BJ254" s="6" t="s">
        <v>22</v>
      </c>
      <c r="BK254" s="93">
        <f>$L$254*$K$254</f>
        <v>0</v>
      </c>
    </row>
    <row r="255" spans="2:63" s="6" customFormat="1" ht="23.25" customHeight="1">
      <c r="B255" s="23"/>
      <c r="C255" s="154"/>
      <c r="D255" s="154" t="s">
        <v>168</v>
      </c>
      <c r="E255" s="155"/>
      <c r="F255" s="224"/>
      <c r="G255" s="225"/>
      <c r="H255" s="225"/>
      <c r="I255" s="225"/>
      <c r="J255" s="156"/>
      <c r="K255" s="157"/>
      <c r="L255" s="218"/>
      <c r="M255" s="217"/>
      <c r="N255" s="219">
        <f>$BK$255</f>
        <v>0</v>
      </c>
      <c r="O255" s="217"/>
      <c r="P255" s="217"/>
      <c r="Q255" s="217"/>
      <c r="R255" s="25"/>
      <c r="T255" s="147"/>
      <c r="U255" s="158" t="s">
        <v>45</v>
      </c>
      <c r="V255" s="43"/>
      <c r="W255" s="43"/>
      <c r="X255" s="43"/>
      <c r="Y255" s="43"/>
      <c r="Z255" s="43"/>
      <c r="AA255" s="45"/>
      <c r="AT255" s="6" t="s">
        <v>537</v>
      </c>
      <c r="AU255" s="6" t="s">
        <v>22</v>
      </c>
      <c r="AY255" s="6" t="s">
        <v>537</v>
      </c>
      <c r="BE255" s="93">
        <f>IF($U$255="základní",$N$255,0)</f>
        <v>0</v>
      </c>
      <c r="BF255" s="93">
        <f>IF($U$255="snížená",$N$255,0)</f>
        <v>0</v>
      </c>
      <c r="BG255" s="93">
        <f>IF($U$255="zákl. přenesená",$N$255,0)</f>
        <v>0</v>
      </c>
      <c r="BH255" s="93">
        <f>IF($U$255="sníž. přenesená",$N$255,0)</f>
        <v>0</v>
      </c>
      <c r="BI255" s="93">
        <f>IF($U$255="nulová",$N$255,0)</f>
        <v>0</v>
      </c>
      <c r="BJ255" s="6" t="s">
        <v>22</v>
      </c>
      <c r="BK255" s="93">
        <f>$L$255*$K$255</f>
        <v>0</v>
      </c>
    </row>
    <row r="256" spans="2:18" s="6" customFormat="1" ht="7.5" customHeight="1">
      <c r="B256" s="46"/>
      <c r="C256" s="47"/>
      <c r="D256" s="47"/>
      <c r="E256" s="47"/>
      <c r="F256" s="47"/>
      <c r="G256" s="47"/>
      <c r="H256" s="47"/>
      <c r="I256" s="47"/>
      <c r="J256" s="47"/>
      <c r="K256" s="47"/>
      <c r="L256" s="47"/>
      <c r="M256" s="47"/>
      <c r="N256" s="47"/>
      <c r="O256" s="47"/>
      <c r="P256" s="47"/>
      <c r="Q256" s="47"/>
      <c r="R256" s="48"/>
    </row>
    <row r="257" s="2" customFormat="1" ht="14.25" customHeight="1"/>
  </sheetData>
  <sheetProtection password="CC35" sheet="1" objects="1" scenarios="1" formatColumns="0" formatRows="0" sort="0" autoFilter="0"/>
  <mergeCells count="395">
    <mergeCell ref="N250:Q250"/>
    <mergeCell ref="H1:K1"/>
    <mergeCell ref="S2:AC2"/>
    <mergeCell ref="N225:Q225"/>
    <mergeCell ref="N236:Q236"/>
    <mergeCell ref="N238:Q238"/>
    <mergeCell ref="N239:Q239"/>
    <mergeCell ref="N244:Q244"/>
    <mergeCell ref="N247:Q247"/>
    <mergeCell ref="N205:Q205"/>
    <mergeCell ref="N206:Q206"/>
    <mergeCell ref="N208:Q208"/>
    <mergeCell ref="N210:Q210"/>
    <mergeCell ref="N212:Q212"/>
    <mergeCell ref="N214:Q214"/>
    <mergeCell ref="F255:I255"/>
    <mergeCell ref="L255:M255"/>
    <mergeCell ref="N255:Q255"/>
    <mergeCell ref="N137:Q137"/>
    <mergeCell ref="N138:Q138"/>
    <mergeCell ref="N139:Q139"/>
    <mergeCell ref="N149:Q149"/>
    <mergeCell ref="N154:Q154"/>
    <mergeCell ref="N163:Q163"/>
    <mergeCell ref="N166:Q166"/>
    <mergeCell ref="F253:I253"/>
    <mergeCell ref="L253:M253"/>
    <mergeCell ref="N253:Q253"/>
    <mergeCell ref="F254:I254"/>
    <mergeCell ref="L254:M254"/>
    <mergeCell ref="N254:Q254"/>
    <mergeCell ref="F251:I251"/>
    <mergeCell ref="L251:M251"/>
    <mergeCell ref="N251:Q251"/>
    <mergeCell ref="F252:I252"/>
    <mergeCell ref="L252:M252"/>
    <mergeCell ref="N252:Q252"/>
    <mergeCell ref="F246:I246"/>
    <mergeCell ref="L246:M246"/>
    <mergeCell ref="N246:Q246"/>
    <mergeCell ref="F249:I249"/>
    <mergeCell ref="L249:M249"/>
    <mergeCell ref="N249:Q249"/>
    <mergeCell ref="N248:Q248"/>
    <mergeCell ref="F243:I243"/>
    <mergeCell ref="L243:M243"/>
    <mergeCell ref="N243:Q243"/>
    <mergeCell ref="F245:I245"/>
    <mergeCell ref="L245:M245"/>
    <mergeCell ref="N245:Q245"/>
    <mergeCell ref="F241:I241"/>
    <mergeCell ref="L241:M241"/>
    <mergeCell ref="N241:Q241"/>
    <mergeCell ref="F242:I242"/>
    <mergeCell ref="L242:M242"/>
    <mergeCell ref="N242:Q242"/>
    <mergeCell ref="F237:I237"/>
    <mergeCell ref="L237:M237"/>
    <mergeCell ref="N237:Q237"/>
    <mergeCell ref="F240:I240"/>
    <mergeCell ref="L240:M240"/>
    <mergeCell ref="N240:Q240"/>
    <mergeCell ref="F234:I234"/>
    <mergeCell ref="L234:M234"/>
    <mergeCell ref="N234:Q234"/>
    <mergeCell ref="F235:I235"/>
    <mergeCell ref="L235:M235"/>
    <mergeCell ref="N235:Q235"/>
    <mergeCell ref="F232:I232"/>
    <mergeCell ref="L232:M232"/>
    <mergeCell ref="N232:Q232"/>
    <mergeCell ref="F233:I233"/>
    <mergeCell ref="L233:M233"/>
    <mergeCell ref="N233:Q233"/>
    <mergeCell ref="F230:I230"/>
    <mergeCell ref="L230:M230"/>
    <mergeCell ref="N230:Q230"/>
    <mergeCell ref="F231:I231"/>
    <mergeCell ref="L231:M231"/>
    <mergeCell ref="N231:Q231"/>
    <mergeCell ref="F228:I228"/>
    <mergeCell ref="L228:M228"/>
    <mergeCell ref="N228:Q228"/>
    <mergeCell ref="F229:I229"/>
    <mergeCell ref="L229:M229"/>
    <mergeCell ref="N229:Q229"/>
    <mergeCell ref="F226:I226"/>
    <mergeCell ref="L226:M226"/>
    <mergeCell ref="N226:Q226"/>
    <mergeCell ref="F227:I227"/>
    <mergeCell ref="L227:M227"/>
    <mergeCell ref="N227:Q227"/>
    <mergeCell ref="F223:I223"/>
    <mergeCell ref="L223:M223"/>
    <mergeCell ref="N223:Q223"/>
    <mergeCell ref="F224:I224"/>
    <mergeCell ref="L224:M224"/>
    <mergeCell ref="N224:Q224"/>
    <mergeCell ref="F221:I221"/>
    <mergeCell ref="L221:M221"/>
    <mergeCell ref="N221:Q221"/>
    <mergeCell ref="F222:I222"/>
    <mergeCell ref="L222:M222"/>
    <mergeCell ref="N222:Q222"/>
    <mergeCell ref="F219:I219"/>
    <mergeCell ref="L219:M219"/>
    <mergeCell ref="N219:Q219"/>
    <mergeCell ref="F220:I220"/>
    <mergeCell ref="L220:M220"/>
    <mergeCell ref="N220:Q220"/>
    <mergeCell ref="F217:I217"/>
    <mergeCell ref="L217:M217"/>
    <mergeCell ref="N217:Q217"/>
    <mergeCell ref="F218:I218"/>
    <mergeCell ref="L218:M218"/>
    <mergeCell ref="N218:Q218"/>
    <mergeCell ref="F215:I215"/>
    <mergeCell ref="L215:M215"/>
    <mergeCell ref="N215:Q215"/>
    <mergeCell ref="F216:I216"/>
    <mergeCell ref="L216:M216"/>
    <mergeCell ref="N216:Q216"/>
    <mergeCell ref="F211:I211"/>
    <mergeCell ref="L211:M211"/>
    <mergeCell ref="N211:Q211"/>
    <mergeCell ref="F213:I213"/>
    <mergeCell ref="L213:M213"/>
    <mergeCell ref="N213:Q213"/>
    <mergeCell ref="F207:I207"/>
    <mergeCell ref="L207:M207"/>
    <mergeCell ref="N207:Q207"/>
    <mergeCell ref="F209:I209"/>
    <mergeCell ref="L209:M209"/>
    <mergeCell ref="N209:Q209"/>
    <mergeCell ref="F202:I202"/>
    <mergeCell ref="L202:M202"/>
    <mergeCell ref="N202:Q202"/>
    <mergeCell ref="F204:I204"/>
    <mergeCell ref="L204:M204"/>
    <mergeCell ref="N204:Q204"/>
    <mergeCell ref="N203:Q203"/>
    <mergeCell ref="F200:I200"/>
    <mergeCell ref="L200:M200"/>
    <mergeCell ref="N200:Q200"/>
    <mergeCell ref="F201:I201"/>
    <mergeCell ref="L201:M201"/>
    <mergeCell ref="N201:Q201"/>
    <mergeCell ref="F198:I198"/>
    <mergeCell ref="L198:M198"/>
    <mergeCell ref="N198:Q198"/>
    <mergeCell ref="F199:I199"/>
    <mergeCell ref="L199:M199"/>
    <mergeCell ref="N199:Q199"/>
    <mergeCell ref="F196:I196"/>
    <mergeCell ref="L196:M196"/>
    <mergeCell ref="N196:Q196"/>
    <mergeCell ref="F197:I197"/>
    <mergeCell ref="L197:M197"/>
    <mergeCell ref="N197:Q197"/>
    <mergeCell ref="F194:I194"/>
    <mergeCell ref="L194:M194"/>
    <mergeCell ref="N194:Q194"/>
    <mergeCell ref="F195:I195"/>
    <mergeCell ref="L195:M195"/>
    <mergeCell ref="N195:Q195"/>
    <mergeCell ref="F192:I192"/>
    <mergeCell ref="L192:M192"/>
    <mergeCell ref="N192:Q192"/>
    <mergeCell ref="F193:I193"/>
    <mergeCell ref="L193:M193"/>
    <mergeCell ref="N193:Q193"/>
    <mergeCell ref="F190:I190"/>
    <mergeCell ref="L190:M190"/>
    <mergeCell ref="N190:Q190"/>
    <mergeCell ref="F191:I191"/>
    <mergeCell ref="L191:M191"/>
    <mergeCell ref="N191:Q191"/>
    <mergeCell ref="F188:I188"/>
    <mergeCell ref="L188:M188"/>
    <mergeCell ref="N188:Q188"/>
    <mergeCell ref="F189:I189"/>
    <mergeCell ref="L189:M189"/>
    <mergeCell ref="N189:Q189"/>
    <mergeCell ref="F186:I186"/>
    <mergeCell ref="L186:M186"/>
    <mergeCell ref="N186:Q186"/>
    <mergeCell ref="F187:I187"/>
    <mergeCell ref="L187:M187"/>
    <mergeCell ref="N187:Q187"/>
    <mergeCell ref="F184:I184"/>
    <mergeCell ref="L184:M184"/>
    <mergeCell ref="N184:Q184"/>
    <mergeCell ref="F185:I185"/>
    <mergeCell ref="L185:M185"/>
    <mergeCell ref="N185:Q185"/>
    <mergeCell ref="F182:I182"/>
    <mergeCell ref="L182:M182"/>
    <mergeCell ref="N182:Q182"/>
    <mergeCell ref="F183:I183"/>
    <mergeCell ref="L183:M183"/>
    <mergeCell ref="N183:Q183"/>
    <mergeCell ref="F179:I179"/>
    <mergeCell ref="L179:M179"/>
    <mergeCell ref="N179:Q179"/>
    <mergeCell ref="F181:I181"/>
    <mergeCell ref="L181:M181"/>
    <mergeCell ref="N181:Q181"/>
    <mergeCell ref="N180:Q180"/>
    <mergeCell ref="F177:I177"/>
    <mergeCell ref="L177:M177"/>
    <mergeCell ref="N177:Q177"/>
    <mergeCell ref="F178:I178"/>
    <mergeCell ref="L178:M178"/>
    <mergeCell ref="N178:Q178"/>
    <mergeCell ref="F175:I175"/>
    <mergeCell ref="L175:M175"/>
    <mergeCell ref="N175:Q175"/>
    <mergeCell ref="F176:I176"/>
    <mergeCell ref="L176:M176"/>
    <mergeCell ref="N176:Q176"/>
    <mergeCell ref="F173:I173"/>
    <mergeCell ref="L173:M173"/>
    <mergeCell ref="N173:Q173"/>
    <mergeCell ref="F174:I174"/>
    <mergeCell ref="L174:M174"/>
    <mergeCell ref="N174:Q174"/>
    <mergeCell ref="F171:I171"/>
    <mergeCell ref="L171:M171"/>
    <mergeCell ref="N171:Q171"/>
    <mergeCell ref="F172:I172"/>
    <mergeCell ref="L172:M172"/>
    <mergeCell ref="N172:Q172"/>
    <mergeCell ref="F169:I169"/>
    <mergeCell ref="L169:M169"/>
    <mergeCell ref="N169:Q169"/>
    <mergeCell ref="F170:I170"/>
    <mergeCell ref="L170:M170"/>
    <mergeCell ref="N170:Q170"/>
    <mergeCell ref="F167:I167"/>
    <mergeCell ref="L167:M167"/>
    <mergeCell ref="N167:Q167"/>
    <mergeCell ref="F168:I168"/>
    <mergeCell ref="L168:M168"/>
    <mergeCell ref="N168:Q168"/>
    <mergeCell ref="F164:I164"/>
    <mergeCell ref="L164:M164"/>
    <mergeCell ref="N164:Q164"/>
    <mergeCell ref="F165:I165"/>
    <mergeCell ref="L165:M165"/>
    <mergeCell ref="N165:Q165"/>
    <mergeCell ref="F161:I161"/>
    <mergeCell ref="L161:M161"/>
    <mergeCell ref="N161:Q161"/>
    <mergeCell ref="F162:I162"/>
    <mergeCell ref="L162:M162"/>
    <mergeCell ref="N162:Q162"/>
    <mergeCell ref="F159:I159"/>
    <mergeCell ref="L159:M159"/>
    <mergeCell ref="N159:Q159"/>
    <mergeCell ref="F160:I160"/>
    <mergeCell ref="L160:M160"/>
    <mergeCell ref="N160:Q160"/>
    <mergeCell ref="F157:I157"/>
    <mergeCell ref="L157:M157"/>
    <mergeCell ref="N157:Q157"/>
    <mergeCell ref="F158:I158"/>
    <mergeCell ref="L158:M158"/>
    <mergeCell ref="N158:Q158"/>
    <mergeCell ref="F155:I155"/>
    <mergeCell ref="L155:M155"/>
    <mergeCell ref="N155:Q155"/>
    <mergeCell ref="F156:I156"/>
    <mergeCell ref="L156:M156"/>
    <mergeCell ref="N156:Q156"/>
    <mergeCell ref="F152:I152"/>
    <mergeCell ref="L152:M152"/>
    <mergeCell ref="N152:Q152"/>
    <mergeCell ref="F153:I153"/>
    <mergeCell ref="L153:M153"/>
    <mergeCell ref="N153:Q153"/>
    <mergeCell ref="F150:I150"/>
    <mergeCell ref="L150:M150"/>
    <mergeCell ref="N150:Q150"/>
    <mergeCell ref="F151:I151"/>
    <mergeCell ref="L151:M151"/>
    <mergeCell ref="N151:Q151"/>
    <mergeCell ref="F147:I147"/>
    <mergeCell ref="L147:M147"/>
    <mergeCell ref="N147:Q147"/>
    <mergeCell ref="F148:I148"/>
    <mergeCell ref="L148:M148"/>
    <mergeCell ref="N148:Q148"/>
    <mergeCell ref="F145:I145"/>
    <mergeCell ref="L145:M145"/>
    <mergeCell ref="N145:Q145"/>
    <mergeCell ref="F146:I146"/>
    <mergeCell ref="L146:M146"/>
    <mergeCell ref="N146:Q146"/>
    <mergeCell ref="F143:I143"/>
    <mergeCell ref="L143:M143"/>
    <mergeCell ref="N143:Q143"/>
    <mergeCell ref="F144:I144"/>
    <mergeCell ref="L144:M144"/>
    <mergeCell ref="N144:Q144"/>
    <mergeCell ref="F141:I141"/>
    <mergeCell ref="L141:M141"/>
    <mergeCell ref="N141:Q141"/>
    <mergeCell ref="F142:I142"/>
    <mergeCell ref="L142:M142"/>
    <mergeCell ref="N142:Q142"/>
    <mergeCell ref="F136:I136"/>
    <mergeCell ref="L136:M136"/>
    <mergeCell ref="N136:Q136"/>
    <mergeCell ref="F140:I140"/>
    <mergeCell ref="L140:M140"/>
    <mergeCell ref="N140:Q140"/>
    <mergeCell ref="C126:Q126"/>
    <mergeCell ref="F128:P128"/>
    <mergeCell ref="F129:P129"/>
    <mergeCell ref="M131:P131"/>
    <mergeCell ref="M133:Q133"/>
    <mergeCell ref="M134:Q134"/>
    <mergeCell ref="D116:H116"/>
    <mergeCell ref="N116:Q116"/>
    <mergeCell ref="D117:H117"/>
    <mergeCell ref="N117:Q117"/>
    <mergeCell ref="N118:Q118"/>
    <mergeCell ref="L120:Q120"/>
    <mergeCell ref="D113:H113"/>
    <mergeCell ref="N113:Q113"/>
    <mergeCell ref="D114:H114"/>
    <mergeCell ref="N114:Q114"/>
    <mergeCell ref="D115:H115"/>
    <mergeCell ref="N115:Q115"/>
    <mergeCell ref="N106:Q106"/>
    <mergeCell ref="N107:Q107"/>
    <mergeCell ref="N108:Q108"/>
    <mergeCell ref="N109:Q109"/>
    <mergeCell ref="N110:Q110"/>
    <mergeCell ref="N112:Q112"/>
    <mergeCell ref="N100:Q100"/>
    <mergeCell ref="N101:Q101"/>
    <mergeCell ref="N102:Q102"/>
    <mergeCell ref="N103:Q103"/>
    <mergeCell ref="N104:Q104"/>
    <mergeCell ref="N105:Q105"/>
    <mergeCell ref="N94:Q94"/>
    <mergeCell ref="N95:Q95"/>
    <mergeCell ref="N96:Q96"/>
    <mergeCell ref="N97:Q97"/>
    <mergeCell ref="N98:Q98"/>
    <mergeCell ref="N99:Q99"/>
    <mergeCell ref="N88:Q88"/>
    <mergeCell ref="N89:Q89"/>
    <mergeCell ref="N90:Q90"/>
    <mergeCell ref="N91:Q91"/>
    <mergeCell ref="N92:Q92"/>
    <mergeCell ref="N93:Q93"/>
    <mergeCell ref="F78:P78"/>
    <mergeCell ref="F79:P79"/>
    <mergeCell ref="M81:P81"/>
    <mergeCell ref="M83:Q83"/>
    <mergeCell ref="M84:Q84"/>
    <mergeCell ref="C86:G86"/>
    <mergeCell ref="N86:Q86"/>
    <mergeCell ref="H35:J35"/>
    <mergeCell ref="M35:P35"/>
    <mergeCell ref="H36:J36"/>
    <mergeCell ref="M36:P36"/>
    <mergeCell ref="L38:P38"/>
    <mergeCell ref="C76:Q76"/>
    <mergeCell ref="H32:J32"/>
    <mergeCell ref="M32:P32"/>
    <mergeCell ref="H33:J33"/>
    <mergeCell ref="M33:P33"/>
    <mergeCell ref="H34:J34"/>
    <mergeCell ref="M34:P34"/>
    <mergeCell ref="O20:P20"/>
    <mergeCell ref="O21:P21"/>
    <mergeCell ref="E24:L24"/>
    <mergeCell ref="M27:P27"/>
    <mergeCell ref="M28:P28"/>
    <mergeCell ref="M30:P30"/>
    <mergeCell ref="O12:P12"/>
    <mergeCell ref="O14:P14"/>
    <mergeCell ref="E15:L15"/>
    <mergeCell ref="O15:P15"/>
    <mergeCell ref="O17:P17"/>
    <mergeCell ref="O18:P18"/>
    <mergeCell ref="C2:Q2"/>
    <mergeCell ref="C4:Q4"/>
    <mergeCell ref="F6:P6"/>
    <mergeCell ref="F7:P7"/>
    <mergeCell ref="O9:P9"/>
    <mergeCell ref="O11:P11"/>
  </mergeCells>
  <dataValidations count="2">
    <dataValidation type="list" allowBlank="1" showInputMessage="1" showErrorMessage="1" error="Povoleny jsou hodnoty K a M." sqref="D251:D256">
      <formula1>"K,M"</formula1>
    </dataValidation>
    <dataValidation type="list" allowBlank="1" showInputMessage="1" showErrorMessage="1" error="Povoleny jsou hodnoty základní, snížená, zákl. přenesená, sníž. přenesená, nulová." sqref="U251:U256">
      <formula1>"základní,snížená,zákl. přenesená,sníž. přenesená,nulová"</formula1>
    </dataValidation>
  </dataValidations>
  <hyperlinks>
    <hyperlink ref="F1:G1" location="C2" tooltip="Krycí list rozpočtu" display="1) Krycí list rozpočtu"/>
    <hyperlink ref="H1:K1" location="C86" tooltip="Rekapitulace rozpočtu" display="2) Rekapitulace rozpočtu"/>
    <hyperlink ref="L1" location="C136" tooltip="Rozpočet" display="3) Rozpočet"/>
    <hyperlink ref="S1:T1" location="'Rekapitulace stavby'!C2" tooltip="Rekapitulace stavby" display="Rekapitulace stavby"/>
  </hyperlinks>
  <printOptions/>
  <pageMargins left="0.5902777910232544" right="0.5902777910232544" top="0.5208333730697632" bottom="0.4861111342906952" header="0" footer="0"/>
  <pageSetup blackAndWhite="1" fitToHeight="100" fitToWidth="1" horizontalDpi="600" verticalDpi="600" orientation="portrait" paperSize="9" scale="95" r:id="rId2"/>
  <headerFooter alignWithMargins="0"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24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234"/>
      <c r="B1" s="231"/>
      <c r="C1" s="231"/>
      <c r="D1" s="232" t="s">
        <v>1</v>
      </c>
      <c r="E1" s="231"/>
      <c r="F1" s="233" t="s">
        <v>743</v>
      </c>
      <c r="G1" s="233"/>
      <c r="H1" s="235" t="s">
        <v>744</v>
      </c>
      <c r="I1" s="235"/>
      <c r="J1" s="235"/>
      <c r="K1" s="235"/>
      <c r="L1" s="233" t="s">
        <v>745</v>
      </c>
      <c r="M1" s="231"/>
      <c r="N1" s="231"/>
      <c r="O1" s="232" t="s">
        <v>109</v>
      </c>
      <c r="P1" s="231"/>
      <c r="Q1" s="231"/>
      <c r="R1" s="231"/>
      <c r="S1" s="233" t="s">
        <v>746</v>
      </c>
      <c r="T1" s="233"/>
      <c r="U1" s="234"/>
      <c r="V1" s="234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159" t="s">
        <v>5</v>
      </c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S2" s="200" t="s">
        <v>6</v>
      </c>
      <c r="T2" s="160"/>
      <c r="U2" s="160"/>
      <c r="V2" s="160"/>
      <c r="W2" s="160"/>
      <c r="X2" s="160"/>
      <c r="Y2" s="160"/>
      <c r="Z2" s="160"/>
      <c r="AA2" s="160"/>
      <c r="AB2" s="160"/>
      <c r="AC2" s="160"/>
      <c r="AT2" s="2" t="s">
        <v>90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110</v>
      </c>
    </row>
    <row r="4" spans="2:46" s="2" customFormat="1" ht="37.5" customHeight="1">
      <c r="B4" s="10"/>
      <c r="C4" s="161" t="s">
        <v>111</v>
      </c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2"/>
      <c r="T4" s="13" t="s">
        <v>11</v>
      </c>
      <c r="AT4" s="2" t="s">
        <v>4</v>
      </c>
    </row>
    <row r="5" spans="2:18" s="2" customFormat="1" ht="7.5" customHeight="1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2"/>
    </row>
    <row r="6" spans="2:18" s="2" customFormat="1" ht="26.25" customHeight="1">
      <c r="B6" s="10"/>
      <c r="C6" s="11"/>
      <c r="D6" s="18" t="s">
        <v>17</v>
      </c>
      <c r="E6" s="11"/>
      <c r="F6" s="201" t="str">
        <f>'Rekapitulace stavby'!$K$6</f>
        <v>Oprava fasády ZŠ Karlova č.p. 1700 ve Varnsdorfu_upravený</v>
      </c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1"/>
      <c r="R6" s="12"/>
    </row>
    <row r="7" spans="2:18" s="6" customFormat="1" ht="33.75" customHeight="1">
      <c r="B7" s="23"/>
      <c r="C7" s="24"/>
      <c r="D7" s="17" t="s">
        <v>112</v>
      </c>
      <c r="E7" s="24"/>
      <c r="F7" s="167" t="s">
        <v>538</v>
      </c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24"/>
      <c r="R7" s="25"/>
    </row>
    <row r="8" spans="2:18" s="6" customFormat="1" ht="15" customHeight="1">
      <c r="B8" s="23"/>
      <c r="C8" s="24"/>
      <c r="D8" s="18" t="s">
        <v>20</v>
      </c>
      <c r="E8" s="24"/>
      <c r="F8" s="16"/>
      <c r="G8" s="24"/>
      <c r="H8" s="24"/>
      <c r="I8" s="24"/>
      <c r="J8" s="24"/>
      <c r="K8" s="24"/>
      <c r="L8" s="24"/>
      <c r="M8" s="18" t="s">
        <v>21</v>
      </c>
      <c r="N8" s="24"/>
      <c r="O8" s="16"/>
      <c r="P8" s="24"/>
      <c r="Q8" s="24"/>
      <c r="R8" s="25"/>
    </row>
    <row r="9" spans="2:18" s="6" customFormat="1" ht="15" customHeight="1">
      <c r="B9" s="23"/>
      <c r="C9" s="24"/>
      <c r="D9" s="18" t="s">
        <v>23</v>
      </c>
      <c r="E9" s="24"/>
      <c r="F9" s="16" t="s">
        <v>24</v>
      </c>
      <c r="G9" s="24"/>
      <c r="H9" s="24"/>
      <c r="I9" s="24"/>
      <c r="J9" s="24"/>
      <c r="K9" s="24"/>
      <c r="L9" s="24"/>
      <c r="M9" s="18" t="s">
        <v>25</v>
      </c>
      <c r="N9" s="24"/>
      <c r="O9" s="202" t="str">
        <f>'Rekapitulace stavby'!$AN$8</f>
        <v>15.10.2011</v>
      </c>
      <c r="P9" s="180"/>
      <c r="Q9" s="24"/>
      <c r="R9" s="25"/>
    </row>
    <row r="10" spans="2:18" s="6" customFormat="1" ht="12" customHeight="1">
      <c r="B10" s="23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5"/>
    </row>
    <row r="11" spans="2:18" s="6" customFormat="1" ht="15" customHeight="1">
      <c r="B11" s="23"/>
      <c r="C11" s="24"/>
      <c r="D11" s="18" t="s">
        <v>29</v>
      </c>
      <c r="E11" s="24"/>
      <c r="F11" s="24"/>
      <c r="G11" s="24"/>
      <c r="H11" s="24"/>
      <c r="I11" s="24"/>
      <c r="J11" s="24"/>
      <c r="K11" s="24"/>
      <c r="L11" s="24"/>
      <c r="M11" s="18" t="s">
        <v>30</v>
      </c>
      <c r="N11" s="24"/>
      <c r="O11" s="166"/>
      <c r="P11" s="180"/>
      <c r="Q11" s="24"/>
      <c r="R11" s="25"/>
    </row>
    <row r="12" spans="2:18" s="6" customFormat="1" ht="18.75" customHeight="1">
      <c r="B12" s="23"/>
      <c r="C12" s="24"/>
      <c r="D12" s="24"/>
      <c r="E12" s="16" t="s">
        <v>31</v>
      </c>
      <c r="F12" s="24"/>
      <c r="G12" s="24"/>
      <c r="H12" s="24"/>
      <c r="I12" s="24"/>
      <c r="J12" s="24"/>
      <c r="K12" s="24"/>
      <c r="L12" s="24"/>
      <c r="M12" s="18" t="s">
        <v>32</v>
      </c>
      <c r="N12" s="24"/>
      <c r="O12" s="166"/>
      <c r="P12" s="180"/>
      <c r="Q12" s="24"/>
      <c r="R12" s="25"/>
    </row>
    <row r="13" spans="2:18" s="6" customFormat="1" ht="7.5" customHeight="1">
      <c r="B13" s="23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5"/>
    </row>
    <row r="14" spans="2:18" s="6" customFormat="1" ht="15" customHeight="1">
      <c r="B14" s="23"/>
      <c r="C14" s="24"/>
      <c r="D14" s="18" t="s">
        <v>33</v>
      </c>
      <c r="E14" s="24"/>
      <c r="F14" s="24"/>
      <c r="G14" s="24"/>
      <c r="H14" s="24"/>
      <c r="I14" s="24"/>
      <c r="J14" s="24"/>
      <c r="K14" s="24"/>
      <c r="L14" s="24"/>
      <c r="M14" s="18" t="s">
        <v>30</v>
      </c>
      <c r="N14" s="24"/>
      <c r="O14" s="203"/>
      <c r="P14" s="180"/>
      <c r="Q14" s="24"/>
      <c r="R14" s="25"/>
    </row>
    <row r="15" spans="2:18" s="6" customFormat="1" ht="18.75" customHeight="1">
      <c r="B15" s="23"/>
      <c r="C15" s="24"/>
      <c r="D15" s="24"/>
      <c r="E15" s="203" t="s">
        <v>114</v>
      </c>
      <c r="F15" s="180"/>
      <c r="G15" s="180"/>
      <c r="H15" s="180"/>
      <c r="I15" s="180"/>
      <c r="J15" s="180"/>
      <c r="K15" s="180"/>
      <c r="L15" s="180"/>
      <c r="M15" s="18" t="s">
        <v>32</v>
      </c>
      <c r="N15" s="24"/>
      <c r="O15" s="203"/>
      <c r="P15" s="180"/>
      <c r="Q15" s="24"/>
      <c r="R15" s="25"/>
    </row>
    <row r="16" spans="2:18" s="6" customFormat="1" ht="7.5" customHeight="1">
      <c r="B16" s="23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5"/>
    </row>
    <row r="17" spans="2:18" s="6" customFormat="1" ht="15" customHeight="1">
      <c r="B17" s="23"/>
      <c r="C17" s="24"/>
      <c r="D17" s="18" t="s">
        <v>36</v>
      </c>
      <c r="E17" s="24"/>
      <c r="F17" s="24"/>
      <c r="G17" s="24"/>
      <c r="H17" s="24"/>
      <c r="I17" s="24"/>
      <c r="J17" s="24"/>
      <c r="K17" s="24"/>
      <c r="L17" s="24"/>
      <c r="M17" s="18" t="s">
        <v>30</v>
      </c>
      <c r="N17" s="24"/>
      <c r="O17" s="166"/>
      <c r="P17" s="180"/>
      <c r="Q17" s="24"/>
      <c r="R17" s="25"/>
    </row>
    <row r="18" spans="2:18" s="6" customFormat="1" ht="18.75" customHeight="1">
      <c r="B18" s="23"/>
      <c r="C18" s="24"/>
      <c r="D18" s="24"/>
      <c r="E18" s="16" t="s">
        <v>37</v>
      </c>
      <c r="F18" s="24"/>
      <c r="G18" s="24"/>
      <c r="H18" s="24"/>
      <c r="I18" s="24"/>
      <c r="J18" s="24"/>
      <c r="K18" s="24"/>
      <c r="L18" s="24"/>
      <c r="M18" s="18" t="s">
        <v>32</v>
      </c>
      <c r="N18" s="24"/>
      <c r="O18" s="166"/>
      <c r="P18" s="180"/>
      <c r="Q18" s="24"/>
      <c r="R18" s="25"/>
    </row>
    <row r="19" spans="2:18" s="6" customFormat="1" ht="7.5" customHeight="1">
      <c r="B19" s="23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5"/>
    </row>
    <row r="20" spans="2:18" s="6" customFormat="1" ht="15" customHeight="1">
      <c r="B20" s="23"/>
      <c r="C20" s="24"/>
      <c r="D20" s="18" t="s">
        <v>38</v>
      </c>
      <c r="E20" s="24"/>
      <c r="F20" s="24"/>
      <c r="G20" s="24"/>
      <c r="H20" s="24"/>
      <c r="I20" s="24"/>
      <c r="J20" s="24"/>
      <c r="K20" s="24"/>
      <c r="L20" s="24"/>
      <c r="M20" s="18" t="s">
        <v>30</v>
      </c>
      <c r="N20" s="24"/>
      <c r="O20" s="166"/>
      <c r="P20" s="180"/>
      <c r="Q20" s="24"/>
      <c r="R20" s="25"/>
    </row>
    <row r="21" spans="2:18" s="6" customFormat="1" ht="18.75" customHeight="1">
      <c r="B21" s="23"/>
      <c r="C21" s="24"/>
      <c r="D21" s="24"/>
      <c r="E21" s="16" t="s">
        <v>39</v>
      </c>
      <c r="F21" s="24"/>
      <c r="G21" s="24"/>
      <c r="H21" s="24"/>
      <c r="I21" s="24"/>
      <c r="J21" s="24"/>
      <c r="K21" s="24"/>
      <c r="L21" s="24"/>
      <c r="M21" s="18" t="s">
        <v>32</v>
      </c>
      <c r="N21" s="24"/>
      <c r="O21" s="166"/>
      <c r="P21" s="180"/>
      <c r="Q21" s="24"/>
      <c r="R21" s="25"/>
    </row>
    <row r="22" spans="2:18" s="6" customFormat="1" ht="7.5" customHeight="1">
      <c r="B22" s="23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5"/>
    </row>
    <row r="23" spans="2:18" s="6" customFormat="1" ht="15" customHeight="1">
      <c r="B23" s="23"/>
      <c r="C23" s="24"/>
      <c r="D23" s="18" t="s">
        <v>40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5"/>
    </row>
    <row r="24" spans="2:18" s="101" customFormat="1" ht="15.75" customHeight="1">
      <c r="B24" s="102"/>
      <c r="C24" s="103"/>
      <c r="D24" s="103"/>
      <c r="E24" s="169"/>
      <c r="F24" s="204"/>
      <c r="G24" s="204"/>
      <c r="H24" s="204"/>
      <c r="I24" s="204"/>
      <c r="J24" s="204"/>
      <c r="K24" s="204"/>
      <c r="L24" s="204"/>
      <c r="M24" s="103"/>
      <c r="N24" s="103"/>
      <c r="O24" s="103"/>
      <c r="P24" s="103"/>
      <c r="Q24" s="103"/>
      <c r="R24" s="104"/>
    </row>
    <row r="25" spans="2:18" s="6" customFormat="1" ht="7.5" customHeight="1">
      <c r="B25" s="23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5"/>
    </row>
    <row r="26" spans="2:18" s="6" customFormat="1" ht="7.5" customHeight="1">
      <c r="B26" s="23"/>
      <c r="C26" s="24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24"/>
      <c r="R26" s="25"/>
    </row>
    <row r="27" spans="2:18" s="6" customFormat="1" ht="15" customHeight="1">
      <c r="B27" s="23"/>
      <c r="C27" s="24"/>
      <c r="D27" s="105" t="s">
        <v>115</v>
      </c>
      <c r="E27" s="24"/>
      <c r="F27" s="24"/>
      <c r="G27" s="24"/>
      <c r="H27" s="24"/>
      <c r="I27" s="24"/>
      <c r="J27" s="24"/>
      <c r="K27" s="24"/>
      <c r="L27" s="24"/>
      <c r="M27" s="170">
        <f>$N$88</f>
        <v>0</v>
      </c>
      <c r="N27" s="180"/>
      <c r="O27" s="180"/>
      <c r="P27" s="180"/>
      <c r="Q27" s="24"/>
      <c r="R27" s="25"/>
    </row>
    <row r="28" spans="2:18" s="6" customFormat="1" ht="15" customHeight="1">
      <c r="B28" s="23"/>
      <c r="C28" s="24"/>
      <c r="D28" s="22" t="s">
        <v>101</v>
      </c>
      <c r="E28" s="24"/>
      <c r="F28" s="24"/>
      <c r="G28" s="24"/>
      <c r="H28" s="24"/>
      <c r="I28" s="24"/>
      <c r="J28" s="24"/>
      <c r="K28" s="24"/>
      <c r="L28" s="24"/>
      <c r="M28" s="170">
        <f>$N$109</f>
        <v>0</v>
      </c>
      <c r="N28" s="180"/>
      <c r="O28" s="180"/>
      <c r="P28" s="180"/>
      <c r="Q28" s="24"/>
      <c r="R28" s="25"/>
    </row>
    <row r="29" spans="2:18" s="6" customFormat="1" ht="7.5" customHeight="1">
      <c r="B29" s="23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5"/>
    </row>
    <row r="30" spans="2:18" s="6" customFormat="1" ht="26.25" customHeight="1">
      <c r="B30" s="23"/>
      <c r="C30" s="24"/>
      <c r="D30" s="106" t="s">
        <v>43</v>
      </c>
      <c r="E30" s="24"/>
      <c r="F30" s="24"/>
      <c r="G30" s="24"/>
      <c r="H30" s="24"/>
      <c r="I30" s="24"/>
      <c r="J30" s="24"/>
      <c r="K30" s="24"/>
      <c r="L30" s="24"/>
      <c r="M30" s="205">
        <f>ROUND($M$27+$M$28,2)</f>
        <v>0</v>
      </c>
      <c r="N30" s="180"/>
      <c r="O30" s="180"/>
      <c r="P30" s="180"/>
      <c r="Q30" s="24"/>
      <c r="R30" s="25"/>
    </row>
    <row r="31" spans="2:18" s="6" customFormat="1" ht="7.5" customHeight="1">
      <c r="B31" s="23"/>
      <c r="C31" s="24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24"/>
      <c r="R31" s="25"/>
    </row>
    <row r="32" spans="2:18" s="6" customFormat="1" ht="15" customHeight="1">
      <c r="B32" s="23"/>
      <c r="C32" s="24"/>
      <c r="D32" s="29" t="s">
        <v>44</v>
      </c>
      <c r="E32" s="29" t="s">
        <v>45</v>
      </c>
      <c r="F32" s="30">
        <v>0.21</v>
      </c>
      <c r="G32" s="107" t="s">
        <v>46</v>
      </c>
      <c r="H32" s="206">
        <f>ROUND((((SUM($BE$109:$BE$116)+SUM($BE$134:$BE$217))+SUM($BE$219:$BE$223))),2)</f>
        <v>0</v>
      </c>
      <c r="I32" s="180"/>
      <c r="J32" s="180"/>
      <c r="K32" s="24"/>
      <c r="L32" s="24"/>
      <c r="M32" s="206">
        <f>ROUND(((ROUND((SUM($BE$109:$BE$116)+SUM($BE$134:$BE$217)),2)*$F$32)+SUM($BE$219:$BE$223)*$F$32),2)</f>
        <v>0</v>
      </c>
      <c r="N32" s="180"/>
      <c r="O32" s="180"/>
      <c r="P32" s="180"/>
      <c r="Q32" s="24"/>
      <c r="R32" s="25"/>
    </row>
    <row r="33" spans="2:18" s="6" customFormat="1" ht="15" customHeight="1">
      <c r="B33" s="23"/>
      <c r="C33" s="24"/>
      <c r="D33" s="24"/>
      <c r="E33" s="29" t="s">
        <v>47</v>
      </c>
      <c r="F33" s="30">
        <v>0.15</v>
      </c>
      <c r="G33" s="107" t="s">
        <v>46</v>
      </c>
      <c r="H33" s="206">
        <f>ROUND((((SUM($BF$109:$BF$116)+SUM($BF$134:$BF$217))+SUM($BF$219:$BF$223))),2)</f>
        <v>0</v>
      </c>
      <c r="I33" s="180"/>
      <c r="J33" s="180"/>
      <c r="K33" s="24"/>
      <c r="L33" s="24"/>
      <c r="M33" s="206">
        <f>ROUND(((ROUND((SUM($BF$109:$BF$116)+SUM($BF$134:$BF$217)),2)*$F$33)+SUM($BF$219:$BF$223)*$F$33),2)</f>
        <v>0</v>
      </c>
      <c r="N33" s="180"/>
      <c r="O33" s="180"/>
      <c r="P33" s="180"/>
      <c r="Q33" s="24"/>
      <c r="R33" s="25"/>
    </row>
    <row r="34" spans="2:18" s="6" customFormat="1" ht="15" customHeight="1" hidden="1">
      <c r="B34" s="23"/>
      <c r="C34" s="24"/>
      <c r="D34" s="24"/>
      <c r="E34" s="29" t="s">
        <v>48</v>
      </c>
      <c r="F34" s="30">
        <v>0.21</v>
      </c>
      <c r="G34" s="107" t="s">
        <v>46</v>
      </c>
      <c r="H34" s="206">
        <f>ROUND((((SUM($BG$109:$BG$116)+SUM($BG$134:$BG$217))+SUM($BG$219:$BG$223))),2)</f>
        <v>0</v>
      </c>
      <c r="I34" s="180"/>
      <c r="J34" s="180"/>
      <c r="K34" s="24"/>
      <c r="L34" s="24"/>
      <c r="M34" s="206">
        <v>0</v>
      </c>
      <c r="N34" s="180"/>
      <c r="O34" s="180"/>
      <c r="P34" s="180"/>
      <c r="Q34" s="24"/>
      <c r="R34" s="25"/>
    </row>
    <row r="35" spans="2:18" s="6" customFormat="1" ht="15" customHeight="1" hidden="1">
      <c r="B35" s="23"/>
      <c r="C35" s="24"/>
      <c r="D35" s="24"/>
      <c r="E35" s="29" t="s">
        <v>49</v>
      </c>
      <c r="F35" s="30">
        <v>0.15</v>
      </c>
      <c r="G35" s="107" t="s">
        <v>46</v>
      </c>
      <c r="H35" s="206">
        <f>ROUND((((SUM($BH$109:$BH$116)+SUM($BH$134:$BH$217))+SUM($BH$219:$BH$223))),2)</f>
        <v>0</v>
      </c>
      <c r="I35" s="180"/>
      <c r="J35" s="180"/>
      <c r="K35" s="24"/>
      <c r="L35" s="24"/>
      <c r="M35" s="206">
        <v>0</v>
      </c>
      <c r="N35" s="180"/>
      <c r="O35" s="180"/>
      <c r="P35" s="180"/>
      <c r="Q35" s="24"/>
      <c r="R35" s="25"/>
    </row>
    <row r="36" spans="2:18" s="6" customFormat="1" ht="15" customHeight="1" hidden="1">
      <c r="B36" s="23"/>
      <c r="C36" s="24"/>
      <c r="D36" s="24"/>
      <c r="E36" s="29" t="s">
        <v>50</v>
      </c>
      <c r="F36" s="30">
        <v>0</v>
      </c>
      <c r="G36" s="107" t="s">
        <v>46</v>
      </c>
      <c r="H36" s="206">
        <f>ROUND((((SUM($BI$109:$BI$116)+SUM($BI$134:$BI$217))+SUM($BI$219:$BI$223))),2)</f>
        <v>0</v>
      </c>
      <c r="I36" s="180"/>
      <c r="J36" s="180"/>
      <c r="K36" s="24"/>
      <c r="L36" s="24"/>
      <c r="M36" s="206">
        <v>0</v>
      </c>
      <c r="N36" s="180"/>
      <c r="O36" s="180"/>
      <c r="P36" s="180"/>
      <c r="Q36" s="24"/>
      <c r="R36" s="25"/>
    </row>
    <row r="37" spans="2:18" s="6" customFormat="1" ht="7.5" customHeight="1">
      <c r="B37" s="23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5"/>
    </row>
    <row r="38" spans="2:18" s="6" customFormat="1" ht="26.25" customHeight="1">
      <c r="B38" s="23"/>
      <c r="C38" s="33"/>
      <c r="D38" s="34" t="s">
        <v>51</v>
      </c>
      <c r="E38" s="35"/>
      <c r="F38" s="35"/>
      <c r="G38" s="108" t="s">
        <v>52</v>
      </c>
      <c r="H38" s="36" t="s">
        <v>53</v>
      </c>
      <c r="I38" s="35"/>
      <c r="J38" s="35"/>
      <c r="K38" s="35"/>
      <c r="L38" s="178">
        <f>SUM($M$30:$M$36)</f>
        <v>0</v>
      </c>
      <c r="M38" s="177"/>
      <c r="N38" s="177"/>
      <c r="O38" s="177"/>
      <c r="P38" s="179"/>
      <c r="Q38" s="33"/>
      <c r="R38" s="25"/>
    </row>
    <row r="39" spans="2:18" s="6" customFormat="1" ht="15" customHeight="1">
      <c r="B39" s="23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5"/>
    </row>
    <row r="40" spans="2:18" s="6" customFormat="1" ht="15" customHeight="1">
      <c r="B40" s="2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5"/>
    </row>
    <row r="41" spans="2:18" s="2" customFormat="1" ht="14.25" customHeight="1">
      <c r="B41" s="10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2"/>
    </row>
    <row r="42" spans="2:18" s="2" customFormat="1" ht="14.25" customHeight="1">
      <c r="B42" s="10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2"/>
    </row>
    <row r="43" spans="2:18" s="2" customFormat="1" ht="14.25" customHeight="1">
      <c r="B43" s="10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2"/>
    </row>
    <row r="44" spans="2:18" s="2" customFormat="1" ht="14.25" customHeight="1">
      <c r="B44" s="10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2"/>
    </row>
    <row r="45" spans="2:18" s="2" customFormat="1" ht="14.25" customHeight="1">
      <c r="B45" s="10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2"/>
    </row>
    <row r="46" spans="2:18" s="2" customFormat="1" ht="14.25" customHeight="1">
      <c r="B46" s="10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2"/>
    </row>
    <row r="47" spans="2:18" s="2" customFormat="1" ht="14.25" customHeight="1">
      <c r="B47" s="10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2"/>
    </row>
    <row r="48" spans="2:18" s="2" customFormat="1" ht="14.25" customHeight="1">
      <c r="B48" s="10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2"/>
    </row>
    <row r="49" spans="2:18" s="2" customFormat="1" ht="14.25" customHeight="1">
      <c r="B49" s="10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2"/>
    </row>
    <row r="50" spans="2:18" s="6" customFormat="1" ht="15.75" customHeight="1">
      <c r="B50" s="23"/>
      <c r="C50" s="24"/>
      <c r="D50" s="37" t="s">
        <v>54</v>
      </c>
      <c r="E50" s="38"/>
      <c r="F50" s="38"/>
      <c r="G50" s="38"/>
      <c r="H50" s="39"/>
      <c r="I50" s="24"/>
      <c r="J50" s="37" t="s">
        <v>55</v>
      </c>
      <c r="K50" s="38"/>
      <c r="L50" s="38"/>
      <c r="M50" s="38"/>
      <c r="N50" s="38"/>
      <c r="O50" s="38"/>
      <c r="P50" s="39"/>
      <c r="Q50" s="24"/>
      <c r="R50" s="25"/>
    </row>
    <row r="51" spans="2:18" s="2" customFormat="1" ht="14.25" customHeight="1">
      <c r="B51" s="10"/>
      <c r="C51" s="11"/>
      <c r="D51" s="40"/>
      <c r="E51" s="11"/>
      <c r="F51" s="11"/>
      <c r="G51" s="11"/>
      <c r="H51" s="41"/>
      <c r="I51" s="11"/>
      <c r="J51" s="40"/>
      <c r="K51" s="11"/>
      <c r="L51" s="11"/>
      <c r="M51" s="11"/>
      <c r="N51" s="11"/>
      <c r="O51" s="11"/>
      <c r="P51" s="41"/>
      <c r="Q51" s="11"/>
      <c r="R51" s="12"/>
    </row>
    <row r="52" spans="2:18" s="2" customFormat="1" ht="14.25" customHeight="1">
      <c r="B52" s="10"/>
      <c r="C52" s="11"/>
      <c r="D52" s="40"/>
      <c r="E52" s="11"/>
      <c r="F52" s="11"/>
      <c r="G52" s="11"/>
      <c r="H52" s="41"/>
      <c r="I52" s="11"/>
      <c r="J52" s="40"/>
      <c r="K52" s="11"/>
      <c r="L52" s="11"/>
      <c r="M52" s="11"/>
      <c r="N52" s="11"/>
      <c r="O52" s="11"/>
      <c r="P52" s="41"/>
      <c r="Q52" s="11"/>
      <c r="R52" s="12"/>
    </row>
    <row r="53" spans="2:18" s="2" customFormat="1" ht="14.25" customHeight="1">
      <c r="B53" s="10"/>
      <c r="C53" s="11"/>
      <c r="D53" s="40"/>
      <c r="E53" s="11"/>
      <c r="F53" s="11"/>
      <c r="G53" s="11"/>
      <c r="H53" s="41"/>
      <c r="I53" s="11"/>
      <c r="J53" s="40"/>
      <c r="K53" s="11"/>
      <c r="L53" s="11"/>
      <c r="M53" s="11"/>
      <c r="N53" s="11"/>
      <c r="O53" s="11"/>
      <c r="P53" s="41"/>
      <c r="Q53" s="11"/>
      <c r="R53" s="12"/>
    </row>
    <row r="54" spans="2:18" s="2" customFormat="1" ht="14.25" customHeight="1">
      <c r="B54" s="10"/>
      <c r="C54" s="11"/>
      <c r="D54" s="40"/>
      <c r="E54" s="11"/>
      <c r="F54" s="11"/>
      <c r="G54" s="11"/>
      <c r="H54" s="41"/>
      <c r="I54" s="11"/>
      <c r="J54" s="40"/>
      <c r="K54" s="11"/>
      <c r="L54" s="11"/>
      <c r="M54" s="11"/>
      <c r="N54" s="11"/>
      <c r="O54" s="11"/>
      <c r="P54" s="41"/>
      <c r="Q54" s="11"/>
      <c r="R54" s="12"/>
    </row>
    <row r="55" spans="2:18" s="2" customFormat="1" ht="14.25" customHeight="1">
      <c r="B55" s="10"/>
      <c r="C55" s="11"/>
      <c r="D55" s="40"/>
      <c r="E55" s="11"/>
      <c r="F55" s="11"/>
      <c r="G55" s="11"/>
      <c r="H55" s="41"/>
      <c r="I55" s="11"/>
      <c r="J55" s="40"/>
      <c r="K55" s="11"/>
      <c r="L55" s="11"/>
      <c r="M55" s="11"/>
      <c r="N55" s="11"/>
      <c r="O55" s="11"/>
      <c r="P55" s="41"/>
      <c r="Q55" s="11"/>
      <c r="R55" s="12"/>
    </row>
    <row r="56" spans="2:18" s="2" customFormat="1" ht="14.25" customHeight="1">
      <c r="B56" s="10"/>
      <c r="C56" s="11"/>
      <c r="D56" s="40"/>
      <c r="E56" s="11"/>
      <c r="F56" s="11"/>
      <c r="G56" s="11"/>
      <c r="H56" s="41"/>
      <c r="I56" s="11"/>
      <c r="J56" s="40"/>
      <c r="K56" s="11"/>
      <c r="L56" s="11"/>
      <c r="M56" s="11"/>
      <c r="N56" s="11"/>
      <c r="O56" s="11"/>
      <c r="P56" s="41"/>
      <c r="Q56" s="11"/>
      <c r="R56" s="12"/>
    </row>
    <row r="57" spans="2:18" s="2" customFormat="1" ht="14.25" customHeight="1">
      <c r="B57" s="10"/>
      <c r="C57" s="11"/>
      <c r="D57" s="40"/>
      <c r="E57" s="11"/>
      <c r="F57" s="11"/>
      <c r="G57" s="11"/>
      <c r="H57" s="41"/>
      <c r="I57" s="11"/>
      <c r="J57" s="40"/>
      <c r="K57" s="11"/>
      <c r="L57" s="11"/>
      <c r="M57" s="11"/>
      <c r="N57" s="11"/>
      <c r="O57" s="11"/>
      <c r="P57" s="41"/>
      <c r="Q57" s="11"/>
      <c r="R57" s="12"/>
    </row>
    <row r="58" spans="2:18" s="2" customFormat="1" ht="14.25" customHeight="1">
      <c r="B58" s="10"/>
      <c r="C58" s="11"/>
      <c r="D58" s="40"/>
      <c r="E58" s="11"/>
      <c r="F58" s="11"/>
      <c r="G58" s="11"/>
      <c r="H58" s="41"/>
      <c r="I58" s="11"/>
      <c r="J58" s="40"/>
      <c r="K58" s="11"/>
      <c r="L58" s="11"/>
      <c r="M58" s="11"/>
      <c r="N58" s="11"/>
      <c r="O58" s="11"/>
      <c r="P58" s="41"/>
      <c r="Q58" s="11"/>
      <c r="R58" s="12"/>
    </row>
    <row r="59" spans="2:18" s="6" customFormat="1" ht="15.75" customHeight="1">
      <c r="B59" s="23"/>
      <c r="C59" s="24"/>
      <c r="D59" s="42" t="s">
        <v>56</v>
      </c>
      <c r="E59" s="43"/>
      <c r="F59" s="43"/>
      <c r="G59" s="44" t="s">
        <v>57</v>
      </c>
      <c r="H59" s="45"/>
      <c r="I59" s="24"/>
      <c r="J59" s="42" t="s">
        <v>56</v>
      </c>
      <c r="K59" s="43"/>
      <c r="L59" s="43"/>
      <c r="M59" s="43"/>
      <c r="N59" s="44" t="s">
        <v>57</v>
      </c>
      <c r="O59" s="43"/>
      <c r="P59" s="45"/>
      <c r="Q59" s="24"/>
      <c r="R59" s="25"/>
    </row>
    <row r="60" spans="2:18" s="2" customFormat="1" ht="14.25" customHeight="1">
      <c r="B60" s="10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2"/>
    </row>
    <row r="61" spans="2:18" s="6" customFormat="1" ht="15.75" customHeight="1">
      <c r="B61" s="23"/>
      <c r="C61" s="24"/>
      <c r="D61" s="37" t="s">
        <v>58</v>
      </c>
      <c r="E61" s="38"/>
      <c r="F61" s="38"/>
      <c r="G61" s="38"/>
      <c r="H61" s="39"/>
      <c r="I61" s="24"/>
      <c r="J61" s="37" t="s">
        <v>59</v>
      </c>
      <c r="K61" s="38"/>
      <c r="L61" s="38"/>
      <c r="M61" s="38"/>
      <c r="N61" s="38"/>
      <c r="O61" s="38"/>
      <c r="P61" s="39"/>
      <c r="Q61" s="24"/>
      <c r="R61" s="25"/>
    </row>
    <row r="62" spans="2:18" s="2" customFormat="1" ht="14.25" customHeight="1">
      <c r="B62" s="10"/>
      <c r="C62" s="11"/>
      <c r="D62" s="40"/>
      <c r="E62" s="11"/>
      <c r="F62" s="11"/>
      <c r="G62" s="11"/>
      <c r="H62" s="41"/>
      <c r="I62" s="11"/>
      <c r="J62" s="40"/>
      <c r="K62" s="11"/>
      <c r="L62" s="11"/>
      <c r="M62" s="11"/>
      <c r="N62" s="11"/>
      <c r="O62" s="11"/>
      <c r="P62" s="41"/>
      <c r="Q62" s="11"/>
      <c r="R62" s="12"/>
    </row>
    <row r="63" spans="2:18" s="2" customFormat="1" ht="14.25" customHeight="1">
      <c r="B63" s="10"/>
      <c r="C63" s="11"/>
      <c r="D63" s="40"/>
      <c r="E63" s="11"/>
      <c r="F63" s="11"/>
      <c r="G63" s="11"/>
      <c r="H63" s="41"/>
      <c r="I63" s="11"/>
      <c r="J63" s="40"/>
      <c r="K63" s="11"/>
      <c r="L63" s="11"/>
      <c r="M63" s="11"/>
      <c r="N63" s="11"/>
      <c r="O63" s="11"/>
      <c r="P63" s="41"/>
      <c r="Q63" s="11"/>
      <c r="R63" s="12"/>
    </row>
    <row r="64" spans="2:18" s="2" customFormat="1" ht="14.25" customHeight="1">
      <c r="B64" s="10"/>
      <c r="C64" s="11"/>
      <c r="D64" s="40"/>
      <c r="E64" s="11"/>
      <c r="F64" s="11"/>
      <c r="G64" s="11"/>
      <c r="H64" s="41"/>
      <c r="I64" s="11"/>
      <c r="J64" s="40"/>
      <c r="K64" s="11"/>
      <c r="L64" s="11"/>
      <c r="M64" s="11"/>
      <c r="N64" s="11"/>
      <c r="O64" s="11"/>
      <c r="P64" s="41"/>
      <c r="Q64" s="11"/>
      <c r="R64" s="12"/>
    </row>
    <row r="65" spans="2:18" s="2" customFormat="1" ht="14.25" customHeight="1">
      <c r="B65" s="10"/>
      <c r="C65" s="11"/>
      <c r="D65" s="40"/>
      <c r="E65" s="11"/>
      <c r="F65" s="11"/>
      <c r="G65" s="11"/>
      <c r="H65" s="41"/>
      <c r="I65" s="11"/>
      <c r="J65" s="40"/>
      <c r="K65" s="11"/>
      <c r="L65" s="11"/>
      <c r="M65" s="11"/>
      <c r="N65" s="11"/>
      <c r="O65" s="11"/>
      <c r="P65" s="41"/>
      <c r="Q65" s="11"/>
      <c r="R65" s="12"/>
    </row>
    <row r="66" spans="2:18" s="2" customFormat="1" ht="14.25" customHeight="1">
      <c r="B66" s="10"/>
      <c r="C66" s="11"/>
      <c r="D66" s="40"/>
      <c r="E66" s="11"/>
      <c r="F66" s="11"/>
      <c r="G66" s="11"/>
      <c r="H66" s="41"/>
      <c r="I66" s="11"/>
      <c r="J66" s="40"/>
      <c r="K66" s="11"/>
      <c r="L66" s="11"/>
      <c r="M66" s="11"/>
      <c r="N66" s="11"/>
      <c r="O66" s="11"/>
      <c r="P66" s="41"/>
      <c r="Q66" s="11"/>
      <c r="R66" s="12"/>
    </row>
    <row r="67" spans="2:18" s="2" customFormat="1" ht="14.25" customHeight="1">
      <c r="B67" s="10"/>
      <c r="C67" s="11"/>
      <c r="D67" s="40"/>
      <c r="E67" s="11"/>
      <c r="F67" s="11"/>
      <c r="G67" s="11"/>
      <c r="H67" s="41"/>
      <c r="I67" s="11"/>
      <c r="J67" s="40"/>
      <c r="K67" s="11"/>
      <c r="L67" s="11"/>
      <c r="M67" s="11"/>
      <c r="N67" s="11"/>
      <c r="O67" s="11"/>
      <c r="P67" s="41"/>
      <c r="Q67" s="11"/>
      <c r="R67" s="12"/>
    </row>
    <row r="68" spans="2:18" s="2" customFormat="1" ht="14.25" customHeight="1">
      <c r="B68" s="10"/>
      <c r="C68" s="11"/>
      <c r="D68" s="40"/>
      <c r="E68" s="11"/>
      <c r="F68" s="11"/>
      <c r="G68" s="11"/>
      <c r="H68" s="41"/>
      <c r="I68" s="11"/>
      <c r="J68" s="40"/>
      <c r="K68" s="11"/>
      <c r="L68" s="11"/>
      <c r="M68" s="11"/>
      <c r="N68" s="11"/>
      <c r="O68" s="11"/>
      <c r="P68" s="41"/>
      <c r="Q68" s="11"/>
      <c r="R68" s="12"/>
    </row>
    <row r="69" spans="2:18" s="2" customFormat="1" ht="14.25" customHeight="1">
      <c r="B69" s="10"/>
      <c r="C69" s="11"/>
      <c r="D69" s="40"/>
      <c r="E69" s="11"/>
      <c r="F69" s="11"/>
      <c r="G69" s="11"/>
      <c r="H69" s="41"/>
      <c r="I69" s="11"/>
      <c r="J69" s="40"/>
      <c r="K69" s="11"/>
      <c r="L69" s="11"/>
      <c r="M69" s="11"/>
      <c r="N69" s="11"/>
      <c r="O69" s="11"/>
      <c r="P69" s="41"/>
      <c r="Q69" s="11"/>
      <c r="R69" s="12"/>
    </row>
    <row r="70" spans="2:18" s="6" customFormat="1" ht="15.75" customHeight="1">
      <c r="B70" s="23"/>
      <c r="C70" s="24"/>
      <c r="D70" s="42" t="s">
        <v>56</v>
      </c>
      <c r="E70" s="43"/>
      <c r="F70" s="43"/>
      <c r="G70" s="44" t="s">
        <v>57</v>
      </c>
      <c r="H70" s="45"/>
      <c r="I70" s="24"/>
      <c r="J70" s="42" t="s">
        <v>56</v>
      </c>
      <c r="K70" s="43"/>
      <c r="L70" s="43"/>
      <c r="M70" s="43"/>
      <c r="N70" s="44" t="s">
        <v>57</v>
      </c>
      <c r="O70" s="43"/>
      <c r="P70" s="45"/>
      <c r="Q70" s="24"/>
      <c r="R70" s="25"/>
    </row>
    <row r="71" spans="2:18" s="6" customFormat="1" ht="15" customHeight="1">
      <c r="B71" s="46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8"/>
    </row>
    <row r="75" spans="2:18" s="6" customFormat="1" ht="7.5" customHeight="1">
      <c r="B75" s="109"/>
      <c r="C75" s="110"/>
      <c r="D75" s="110"/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1"/>
    </row>
    <row r="76" spans="2:21" s="6" customFormat="1" ht="37.5" customHeight="1">
      <c r="B76" s="23"/>
      <c r="C76" s="161" t="s">
        <v>116</v>
      </c>
      <c r="D76" s="180"/>
      <c r="E76" s="180"/>
      <c r="F76" s="180"/>
      <c r="G76" s="180"/>
      <c r="H76" s="180"/>
      <c r="I76" s="180"/>
      <c r="J76" s="180"/>
      <c r="K76" s="180"/>
      <c r="L76" s="180"/>
      <c r="M76" s="180"/>
      <c r="N76" s="180"/>
      <c r="O76" s="180"/>
      <c r="P76" s="180"/>
      <c r="Q76" s="180"/>
      <c r="R76" s="25"/>
      <c r="T76" s="24"/>
      <c r="U76" s="24"/>
    </row>
    <row r="77" spans="2:21" s="6" customFormat="1" ht="7.5" customHeight="1">
      <c r="B77" s="23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5"/>
      <c r="T77" s="24"/>
      <c r="U77" s="24"/>
    </row>
    <row r="78" spans="2:21" s="6" customFormat="1" ht="30.75" customHeight="1">
      <c r="B78" s="23"/>
      <c r="C78" s="18" t="s">
        <v>17</v>
      </c>
      <c r="D78" s="24"/>
      <c r="E78" s="24"/>
      <c r="F78" s="201" t="str">
        <f>$F$6</f>
        <v>Oprava fasády ZŠ Karlova č.p. 1700 ve Varnsdorfu_upravený</v>
      </c>
      <c r="G78" s="180"/>
      <c r="H78" s="180"/>
      <c r="I78" s="180"/>
      <c r="J78" s="180"/>
      <c r="K78" s="180"/>
      <c r="L78" s="180"/>
      <c r="M78" s="180"/>
      <c r="N78" s="180"/>
      <c r="O78" s="180"/>
      <c r="P78" s="180"/>
      <c r="Q78" s="24"/>
      <c r="R78" s="25"/>
      <c r="T78" s="24"/>
      <c r="U78" s="24"/>
    </row>
    <row r="79" spans="2:21" s="6" customFormat="1" ht="37.5" customHeight="1">
      <c r="B79" s="23"/>
      <c r="C79" s="57" t="s">
        <v>112</v>
      </c>
      <c r="D79" s="24"/>
      <c r="E79" s="24"/>
      <c r="F79" s="181" t="str">
        <f>$F$7</f>
        <v>SO 03 - Drenáže</v>
      </c>
      <c r="G79" s="180"/>
      <c r="H79" s="180"/>
      <c r="I79" s="180"/>
      <c r="J79" s="180"/>
      <c r="K79" s="180"/>
      <c r="L79" s="180"/>
      <c r="M79" s="180"/>
      <c r="N79" s="180"/>
      <c r="O79" s="180"/>
      <c r="P79" s="180"/>
      <c r="Q79" s="24"/>
      <c r="R79" s="25"/>
      <c r="T79" s="24"/>
      <c r="U79" s="24"/>
    </row>
    <row r="80" spans="2:21" s="6" customFormat="1" ht="7.5" customHeight="1">
      <c r="B80" s="23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5"/>
      <c r="T80" s="24"/>
      <c r="U80" s="24"/>
    </row>
    <row r="81" spans="2:21" s="6" customFormat="1" ht="18.75" customHeight="1">
      <c r="B81" s="23"/>
      <c r="C81" s="18" t="s">
        <v>23</v>
      </c>
      <c r="D81" s="24"/>
      <c r="E81" s="24"/>
      <c r="F81" s="16" t="str">
        <f>$F$9</f>
        <v>Varnsdorf</v>
      </c>
      <c r="G81" s="24"/>
      <c r="H81" s="24"/>
      <c r="I81" s="24"/>
      <c r="J81" s="24"/>
      <c r="K81" s="18" t="s">
        <v>25</v>
      </c>
      <c r="L81" s="24"/>
      <c r="M81" s="207" t="str">
        <f>IF($O$9="","",$O$9)</f>
        <v>15.10.2011</v>
      </c>
      <c r="N81" s="180"/>
      <c r="O81" s="180"/>
      <c r="P81" s="180"/>
      <c r="Q81" s="24"/>
      <c r="R81" s="25"/>
      <c r="T81" s="24"/>
      <c r="U81" s="24"/>
    </row>
    <row r="82" spans="2:21" s="6" customFormat="1" ht="7.5" customHeight="1">
      <c r="B82" s="23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5"/>
      <c r="T82" s="24"/>
      <c r="U82" s="24"/>
    </row>
    <row r="83" spans="2:21" s="6" customFormat="1" ht="15.75" customHeight="1">
      <c r="B83" s="23"/>
      <c r="C83" s="18" t="s">
        <v>29</v>
      </c>
      <c r="D83" s="24"/>
      <c r="E83" s="24"/>
      <c r="F83" s="16" t="str">
        <f>$E$12</f>
        <v>Město Varnsdorf, nám. E. Beneše 470, Varnsdorf</v>
      </c>
      <c r="G83" s="24"/>
      <c r="H83" s="24"/>
      <c r="I83" s="24"/>
      <c r="J83" s="24"/>
      <c r="K83" s="18" t="s">
        <v>36</v>
      </c>
      <c r="L83" s="24"/>
      <c r="M83" s="166" t="str">
        <f>$E$18</f>
        <v>ProProjekt s.r.o., Komenského 1173, Rumburk</v>
      </c>
      <c r="N83" s="180"/>
      <c r="O83" s="180"/>
      <c r="P83" s="180"/>
      <c r="Q83" s="180"/>
      <c r="R83" s="25"/>
      <c r="T83" s="24"/>
      <c r="U83" s="24"/>
    </row>
    <row r="84" spans="2:21" s="6" customFormat="1" ht="15" customHeight="1">
      <c r="B84" s="23"/>
      <c r="C84" s="18" t="s">
        <v>33</v>
      </c>
      <c r="D84" s="24"/>
      <c r="E84" s="24"/>
      <c r="F84" s="16" t="str">
        <f>IF($E$15="","",$E$15)</f>
        <v>bude vybrán</v>
      </c>
      <c r="G84" s="24"/>
      <c r="H84" s="24"/>
      <c r="I84" s="24"/>
      <c r="J84" s="24"/>
      <c r="K84" s="18" t="s">
        <v>38</v>
      </c>
      <c r="L84" s="24"/>
      <c r="M84" s="166" t="str">
        <f>$E$21</f>
        <v>Pavel Hruška</v>
      </c>
      <c r="N84" s="180"/>
      <c r="O84" s="180"/>
      <c r="P84" s="180"/>
      <c r="Q84" s="180"/>
      <c r="R84" s="25"/>
      <c r="T84" s="24"/>
      <c r="U84" s="24"/>
    </row>
    <row r="85" spans="2:21" s="6" customFormat="1" ht="11.25" customHeight="1">
      <c r="B85" s="23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5"/>
      <c r="T85" s="24"/>
      <c r="U85" s="24"/>
    </row>
    <row r="86" spans="2:21" s="6" customFormat="1" ht="30" customHeight="1">
      <c r="B86" s="23"/>
      <c r="C86" s="208" t="s">
        <v>117</v>
      </c>
      <c r="D86" s="199"/>
      <c r="E86" s="199"/>
      <c r="F86" s="199"/>
      <c r="G86" s="199"/>
      <c r="H86" s="33"/>
      <c r="I86" s="33"/>
      <c r="J86" s="33"/>
      <c r="K86" s="33"/>
      <c r="L86" s="33"/>
      <c r="M86" s="33"/>
      <c r="N86" s="208" t="s">
        <v>118</v>
      </c>
      <c r="O86" s="180"/>
      <c r="P86" s="180"/>
      <c r="Q86" s="180"/>
      <c r="R86" s="25"/>
      <c r="T86" s="24"/>
      <c r="U86" s="24"/>
    </row>
    <row r="87" spans="2:21" s="6" customFormat="1" ht="11.25" customHeight="1">
      <c r="B87" s="23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5"/>
      <c r="T87" s="24"/>
      <c r="U87" s="24"/>
    </row>
    <row r="88" spans="2:47" s="6" customFormat="1" ht="30" customHeight="1">
      <c r="B88" s="23"/>
      <c r="C88" s="71" t="s">
        <v>119</v>
      </c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196">
        <f>$N$134</f>
        <v>0</v>
      </c>
      <c r="O88" s="180"/>
      <c r="P88" s="180"/>
      <c r="Q88" s="180"/>
      <c r="R88" s="25"/>
      <c r="T88" s="24"/>
      <c r="U88" s="24"/>
      <c r="AU88" s="6" t="s">
        <v>120</v>
      </c>
    </row>
    <row r="89" spans="2:21" s="76" customFormat="1" ht="25.5" customHeight="1">
      <c r="B89" s="112"/>
      <c r="C89" s="113"/>
      <c r="D89" s="113" t="s">
        <v>121</v>
      </c>
      <c r="E89" s="113"/>
      <c r="F89" s="113"/>
      <c r="G89" s="113"/>
      <c r="H89" s="113"/>
      <c r="I89" s="113"/>
      <c r="J89" s="113"/>
      <c r="K89" s="113"/>
      <c r="L89" s="113"/>
      <c r="M89" s="113"/>
      <c r="N89" s="209">
        <f>$N$135</f>
        <v>0</v>
      </c>
      <c r="O89" s="210"/>
      <c r="P89" s="210"/>
      <c r="Q89" s="210"/>
      <c r="R89" s="114"/>
      <c r="T89" s="113"/>
      <c r="U89" s="113"/>
    </row>
    <row r="90" spans="2:21" s="115" customFormat="1" ht="21" customHeight="1">
      <c r="B90" s="116"/>
      <c r="C90" s="89"/>
      <c r="D90" s="89" t="s">
        <v>122</v>
      </c>
      <c r="E90" s="89"/>
      <c r="F90" s="89"/>
      <c r="G90" s="89"/>
      <c r="H90" s="89"/>
      <c r="I90" s="89"/>
      <c r="J90" s="89"/>
      <c r="K90" s="89"/>
      <c r="L90" s="89"/>
      <c r="M90" s="89"/>
      <c r="N90" s="194">
        <f>$N$136</f>
        <v>0</v>
      </c>
      <c r="O90" s="211"/>
      <c r="P90" s="211"/>
      <c r="Q90" s="211"/>
      <c r="R90" s="117"/>
      <c r="T90" s="89"/>
      <c r="U90" s="89"/>
    </row>
    <row r="91" spans="2:21" s="115" customFormat="1" ht="21" customHeight="1">
      <c r="B91" s="116"/>
      <c r="C91" s="89"/>
      <c r="D91" s="89" t="s">
        <v>123</v>
      </c>
      <c r="E91" s="89"/>
      <c r="F91" s="89"/>
      <c r="G91" s="89"/>
      <c r="H91" s="89"/>
      <c r="I91" s="89"/>
      <c r="J91" s="89"/>
      <c r="K91" s="89"/>
      <c r="L91" s="89"/>
      <c r="M91" s="89"/>
      <c r="N91" s="194">
        <f>$N$160</f>
        <v>0</v>
      </c>
      <c r="O91" s="211"/>
      <c r="P91" s="211"/>
      <c r="Q91" s="211"/>
      <c r="R91" s="117"/>
      <c r="T91" s="89"/>
      <c r="U91" s="89"/>
    </row>
    <row r="92" spans="2:21" s="115" customFormat="1" ht="21" customHeight="1">
      <c r="B92" s="116"/>
      <c r="C92" s="89"/>
      <c r="D92" s="89" t="s">
        <v>125</v>
      </c>
      <c r="E92" s="89"/>
      <c r="F92" s="89"/>
      <c r="G92" s="89"/>
      <c r="H92" s="89"/>
      <c r="I92" s="89"/>
      <c r="J92" s="89"/>
      <c r="K92" s="89"/>
      <c r="L92" s="89"/>
      <c r="M92" s="89"/>
      <c r="N92" s="194">
        <f>$N$167</f>
        <v>0</v>
      </c>
      <c r="O92" s="211"/>
      <c r="P92" s="211"/>
      <c r="Q92" s="211"/>
      <c r="R92" s="117"/>
      <c r="T92" s="89"/>
      <c r="U92" s="89"/>
    </row>
    <row r="93" spans="2:21" s="115" customFormat="1" ht="21" customHeight="1">
      <c r="B93" s="116"/>
      <c r="C93" s="89"/>
      <c r="D93" s="89" t="s">
        <v>539</v>
      </c>
      <c r="E93" s="89"/>
      <c r="F93" s="89"/>
      <c r="G93" s="89"/>
      <c r="H93" s="89"/>
      <c r="I93" s="89"/>
      <c r="J93" s="89"/>
      <c r="K93" s="89"/>
      <c r="L93" s="89"/>
      <c r="M93" s="89"/>
      <c r="N93" s="194">
        <f>$N$170</f>
        <v>0</v>
      </c>
      <c r="O93" s="211"/>
      <c r="P93" s="211"/>
      <c r="Q93" s="211"/>
      <c r="R93" s="117"/>
      <c r="T93" s="89"/>
      <c r="U93" s="89"/>
    </row>
    <row r="94" spans="2:21" s="115" customFormat="1" ht="21" customHeight="1">
      <c r="B94" s="116"/>
      <c r="C94" s="89"/>
      <c r="D94" s="89" t="s">
        <v>540</v>
      </c>
      <c r="E94" s="89"/>
      <c r="F94" s="89"/>
      <c r="G94" s="89"/>
      <c r="H94" s="89"/>
      <c r="I94" s="89"/>
      <c r="J94" s="89"/>
      <c r="K94" s="89"/>
      <c r="L94" s="89"/>
      <c r="M94" s="89"/>
      <c r="N94" s="194">
        <f>$N$175</f>
        <v>0</v>
      </c>
      <c r="O94" s="211"/>
      <c r="P94" s="211"/>
      <c r="Q94" s="211"/>
      <c r="R94" s="117"/>
      <c r="T94" s="89"/>
      <c r="U94" s="89"/>
    </row>
    <row r="95" spans="2:21" s="115" customFormat="1" ht="21" customHeight="1">
      <c r="B95" s="116"/>
      <c r="C95" s="89"/>
      <c r="D95" s="89" t="s">
        <v>541</v>
      </c>
      <c r="E95" s="89"/>
      <c r="F95" s="89"/>
      <c r="G95" s="89"/>
      <c r="H95" s="89"/>
      <c r="I95" s="89"/>
      <c r="J95" s="89"/>
      <c r="K95" s="89"/>
      <c r="L95" s="89"/>
      <c r="M95" s="89"/>
      <c r="N95" s="194">
        <f>$N$181</f>
        <v>0</v>
      </c>
      <c r="O95" s="211"/>
      <c r="P95" s="211"/>
      <c r="Q95" s="211"/>
      <c r="R95" s="117"/>
      <c r="T95" s="89"/>
      <c r="U95" s="89"/>
    </row>
    <row r="96" spans="2:21" s="115" customFormat="1" ht="21" customHeight="1">
      <c r="B96" s="116"/>
      <c r="C96" s="89"/>
      <c r="D96" s="89" t="s">
        <v>542</v>
      </c>
      <c r="E96" s="89"/>
      <c r="F96" s="89"/>
      <c r="G96" s="89"/>
      <c r="H96" s="89"/>
      <c r="I96" s="89"/>
      <c r="J96" s="89"/>
      <c r="K96" s="89"/>
      <c r="L96" s="89"/>
      <c r="M96" s="89"/>
      <c r="N96" s="194">
        <f>$N$192</f>
        <v>0</v>
      </c>
      <c r="O96" s="211"/>
      <c r="P96" s="211"/>
      <c r="Q96" s="211"/>
      <c r="R96" s="117"/>
      <c r="T96" s="89"/>
      <c r="U96" s="89"/>
    </row>
    <row r="97" spans="2:21" s="115" customFormat="1" ht="21" customHeight="1">
      <c r="B97" s="116"/>
      <c r="C97" s="89"/>
      <c r="D97" s="89" t="s">
        <v>543</v>
      </c>
      <c r="E97" s="89"/>
      <c r="F97" s="89"/>
      <c r="G97" s="89"/>
      <c r="H97" s="89"/>
      <c r="I97" s="89"/>
      <c r="J97" s="89"/>
      <c r="K97" s="89"/>
      <c r="L97" s="89"/>
      <c r="M97" s="89"/>
      <c r="N97" s="194">
        <f>$N$194</f>
        <v>0</v>
      </c>
      <c r="O97" s="211"/>
      <c r="P97" s="211"/>
      <c r="Q97" s="211"/>
      <c r="R97" s="117"/>
      <c r="T97" s="89"/>
      <c r="U97" s="89"/>
    </row>
    <row r="98" spans="2:21" s="115" customFormat="1" ht="21" customHeight="1">
      <c r="B98" s="116"/>
      <c r="C98" s="89"/>
      <c r="D98" s="89" t="s">
        <v>544</v>
      </c>
      <c r="E98" s="89"/>
      <c r="F98" s="89"/>
      <c r="G98" s="89"/>
      <c r="H98" s="89"/>
      <c r="I98" s="89"/>
      <c r="J98" s="89"/>
      <c r="K98" s="89"/>
      <c r="L98" s="89"/>
      <c r="M98" s="89"/>
      <c r="N98" s="194">
        <f>$N$198</f>
        <v>0</v>
      </c>
      <c r="O98" s="211"/>
      <c r="P98" s="211"/>
      <c r="Q98" s="211"/>
      <c r="R98" s="117"/>
      <c r="T98" s="89"/>
      <c r="U98" s="89"/>
    </row>
    <row r="99" spans="2:21" s="76" customFormat="1" ht="25.5" customHeight="1">
      <c r="B99" s="112"/>
      <c r="C99" s="113"/>
      <c r="D99" s="113" t="s">
        <v>129</v>
      </c>
      <c r="E99" s="113"/>
      <c r="F99" s="113"/>
      <c r="G99" s="113"/>
      <c r="H99" s="113"/>
      <c r="I99" s="113"/>
      <c r="J99" s="113"/>
      <c r="K99" s="113"/>
      <c r="L99" s="113"/>
      <c r="M99" s="113"/>
      <c r="N99" s="209">
        <f>$N$200</f>
        <v>0</v>
      </c>
      <c r="O99" s="210"/>
      <c r="P99" s="210"/>
      <c r="Q99" s="210"/>
      <c r="R99" s="114"/>
      <c r="T99" s="113"/>
      <c r="U99" s="113"/>
    </row>
    <row r="100" spans="2:21" s="115" customFormat="1" ht="21" customHeight="1">
      <c r="B100" s="116"/>
      <c r="C100" s="89"/>
      <c r="D100" s="89" t="s">
        <v>545</v>
      </c>
      <c r="E100" s="89"/>
      <c r="F100" s="89"/>
      <c r="G100" s="89"/>
      <c r="H100" s="89"/>
      <c r="I100" s="89"/>
      <c r="J100" s="89"/>
      <c r="K100" s="89"/>
      <c r="L100" s="89"/>
      <c r="M100" s="89"/>
      <c r="N100" s="194">
        <f>$N$201</f>
        <v>0</v>
      </c>
      <c r="O100" s="211"/>
      <c r="P100" s="211"/>
      <c r="Q100" s="211"/>
      <c r="R100" s="117"/>
      <c r="T100" s="89"/>
      <c r="U100" s="89"/>
    </row>
    <row r="101" spans="2:21" s="115" customFormat="1" ht="21" customHeight="1">
      <c r="B101" s="116"/>
      <c r="C101" s="89"/>
      <c r="D101" s="89" t="s">
        <v>130</v>
      </c>
      <c r="E101" s="89"/>
      <c r="F101" s="89"/>
      <c r="G101" s="89"/>
      <c r="H101" s="89"/>
      <c r="I101" s="89"/>
      <c r="J101" s="89"/>
      <c r="K101" s="89"/>
      <c r="L101" s="89"/>
      <c r="M101" s="89"/>
      <c r="N101" s="194">
        <f>$N$208</f>
        <v>0</v>
      </c>
      <c r="O101" s="211"/>
      <c r="P101" s="211"/>
      <c r="Q101" s="211"/>
      <c r="R101" s="117"/>
      <c r="T101" s="89"/>
      <c r="U101" s="89"/>
    </row>
    <row r="102" spans="2:21" s="76" customFormat="1" ht="25.5" customHeight="1">
      <c r="B102" s="112"/>
      <c r="C102" s="113"/>
      <c r="D102" s="113" t="s">
        <v>137</v>
      </c>
      <c r="E102" s="113"/>
      <c r="F102" s="113"/>
      <c r="G102" s="113"/>
      <c r="H102" s="113"/>
      <c r="I102" s="113"/>
      <c r="J102" s="113"/>
      <c r="K102" s="113"/>
      <c r="L102" s="113"/>
      <c r="M102" s="113"/>
      <c r="N102" s="209">
        <f>$N$210</f>
        <v>0</v>
      </c>
      <c r="O102" s="210"/>
      <c r="P102" s="210"/>
      <c r="Q102" s="210"/>
      <c r="R102" s="114"/>
      <c r="T102" s="113"/>
      <c r="U102" s="113"/>
    </row>
    <row r="103" spans="2:21" s="115" customFormat="1" ht="21" customHeight="1">
      <c r="B103" s="116"/>
      <c r="C103" s="89"/>
      <c r="D103" s="89" t="s">
        <v>546</v>
      </c>
      <c r="E103" s="89"/>
      <c r="F103" s="89"/>
      <c r="G103" s="89"/>
      <c r="H103" s="89"/>
      <c r="I103" s="89"/>
      <c r="J103" s="89"/>
      <c r="K103" s="89"/>
      <c r="L103" s="89"/>
      <c r="M103" s="89"/>
      <c r="N103" s="194">
        <f>$N$211</f>
        <v>0</v>
      </c>
      <c r="O103" s="211"/>
      <c r="P103" s="211"/>
      <c r="Q103" s="211"/>
      <c r="R103" s="117"/>
      <c r="T103" s="89"/>
      <c r="U103" s="89"/>
    </row>
    <row r="104" spans="2:21" s="76" customFormat="1" ht="25.5" customHeight="1">
      <c r="B104" s="112"/>
      <c r="C104" s="113"/>
      <c r="D104" s="113" t="s">
        <v>140</v>
      </c>
      <c r="E104" s="113"/>
      <c r="F104" s="113"/>
      <c r="G104" s="113"/>
      <c r="H104" s="113"/>
      <c r="I104" s="113"/>
      <c r="J104" s="113"/>
      <c r="K104" s="113"/>
      <c r="L104" s="113"/>
      <c r="M104" s="113"/>
      <c r="N104" s="209">
        <f>$N$213</f>
        <v>0</v>
      </c>
      <c r="O104" s="210"/>
      <c r="P104" s="210"/>
      <c r="Q104" s="210"/>
      <c r="R104" s="114"/>
      <c r="T104" s="113"/>
      <c r="U104" s="113"/>
    </row>
    <row r="105" spans="2:21" s="115" customFormat="1" ht="21" customHeight="1">
      <c r="B105" s="116"/>
      <c r="C105" s="89"/>
      <c r="D105" s="89" t="s">
        <v>547</v>
      </c>
      <c r="E105" s="89"/>
      <c r="F105" s="89"/>
      <c r="G105" s="89"/>
      <c r="H105" s="89"/>
      <c r="I105" s="89"/>
      <c r="J105" s="89"/>
      <c r="K105" s="89"/>
      <c r="L105" s="89"/>
      <c r="M105" s="89"/>
      <c r="N105" s="194">
        <f>$N$214</f>
        <v>0</v>
      </c>
      <c r="O105" s="211"/>
      <c r="P105" s="211"/>
      <c r="Q105" s="211"/>
      <c r="R105" s="117"/>
      <c r="T105" s="89"/>
      <c r="U105" s="89"/>
    </row>
    <row r="106" spans="2:21" s="115" customFormat="1" ht="21" customHeight="1">
      <c r="B106" s="116"/>
      <c r="C106" s="89"/>
      <c r="D106" s="89" t="s">
        <v>548</v>
      </c>
      <c r="E106" s="89"/>
      <c r="F106" s="89"/>
      <c r="G106" s="89"/>
      <c r="H106" s="89"/>
      <c r="I106" s="89"/>
      <c r="J106" s="89"/>
      <c r="K106" s="89"/>
      <c r="L106" s="89"/>
      <c r="M106" s="89"/>
      <c r="N106" s="194">
        <f>$N$216</f>
        <v>0</v>
      </c>
      <c r="O106" s="211"/>
      <c r="P106" s="211"/>
      <c r="Q106" s="211"/>
      <c r="R106" s="117"/>
      <c r="T106" s="89"/>
      <c r="U106" s="89"/>
    </row>
    <row r="107" spans="2:21" s="76" customFormat="1" ht="22.5" customHeight="1">
      <c r="B107" s="112"/>
      <c r="C107" s="113"/>
      <c r="D107" s="113" t="s">
        <v>142</v>
      </c>
      <c r="E107" s="113"/>
      <c r="F107" s="113"/>
      <c r="G107" s="113"/>
      <c r="H107" s="113"/>
      <c r="I107" s="113"/>
      <c r="J107" s="113"/>
      <c r="K107" s="113"/>
      <c r="L107" s="113"/>
      <c r="M107" s="113"/>
      <c r="N107" s="212">
        <f>$N$218</f>
        <v>0</v>
      </c>
      <c r="O107" s="210"/>
      <c r="P107" s="210"/>
      <c r="Q107" s="210"/>
      <c r="R107" s="114"/>
      <c r="T107" s="113"/>
      <c r="U107" s="113"/>
    </row>
    <row r="108" spans="2:21" s="6" customFormat="1" ht="22.5" customHeight="1">
      <c r="B108" s="23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5"/>
      <c r="T108" s="24"/>
      <c r="U108" s="24"/>
    </row>
    <row r="109" spans="2:21" s="6" customFormat="1" ht="30" customHeight="1">
      <c r="B109" s="23"/>
      <c r="C109" s="71" t="s">
        <v>143</v>
      </c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196">
        <f>ROUND($N$110+$N$111+$N$112+$N$113+$N$114+$N$115,2)</f>
        <v>0</v>
      </c>
      <c r="O109" s="180"/>
      <c r="P109" s="180"/>
      <c r="Q109" s="180"/>
      <c r="R109" s="25"/>
      <c r="T109" s="118"/>
      <c r="U109" s="119" t="s">
        <v>44</v>
      </c>
    </row>
    <row r="110" spans="2:62" s="6" customFormat="1" ht="18.75" customHeight="1">
      <c r="B110" s="23"/>
      <c r="C110" s="24"/>
      <c r="D110" s="195" t="s">
        <v>144</v>
      </c>
      <c r="E110" s="180"/>
      <c r="F110" s="180"/>
      <c r="G110" s="180"/>
      <c r="H110" s="180"/>
      <c r="I110" s="24"/>
      <c r="J110" s="24"/>
      <c r="K110" s="24"/>
      <c r="L110" s="24"/>
      <c r="M110" s="24"/>
      <c r="N110" s="193">
        <f>ROUND($N$88*$T$110,2)</f>
        <v>0</v>
      </c>
      <c r="O110" s="180"/>
      <c r="P110" s="180"/>
      <c r="Q110" s="180"/>
      <c r="R110" s="25"/>
      <c r="T110" s="120"/>
      <c r="U110" s="121" t="s">
        <v>45</v>
      </c>
      <c r="AY110" s="6" t="s">
        <v>145</v>
      </c>
      <c r="BE110" s="93">
        <f>IF($U$110="základní",$N$110,0)</f>
        <v>0</v>
      </c>
      <c r="BF110" s="93">
        <f>IF($U$110="snížená",$N$110,0)</f>
        <v>0</v>
      </c>
      <c r="BG110" s="93">
        <f>IF($U$110="zákl. přenesená",$N$110,0)</f>
        <v>0</v>
      </c>
      <c r="BH110" s="93">
        <f>IF($U$110="sníž. přenesená",$N$110,0)</f>
        <v>0</v>
      </c>
      <c r="BI110" s="93">
        <f>IF($U$110="nulová",$N$110,0)</f>
        <v>0</v>
      </c>
      <c r="BJ110" s="6" t="s">
        <v>22</v>
      </c>
    </row>
    <row r="111" spans="2:62" s="6" customFormat="1" ht="18.75" customHeight="1">
      <c r="B111" s="23"/>
      <c r="C111" s="24"/>
      <c r="D111" s="195" t="s">
        <v>146</v>
      </c>
      <c r="E111" s="180"/>
      <c r="F111" s="180"/>
      <c r="G111" s="180"/>
      <c r="H111" s="180"/>
      <c r="I111" s="24"/>
      <c r="J111" s="24"/>
      <c r="K111" s="24"/>
      <c r="L111" s="24"/>
      <c r="M111" s="24"/>
      <c r="N111" s="193">
        <f>ROUND($N$88*$T$111,2)</f>
        <v>0</v>
      </c>
      <c r="O111" s="180"/>
      <c r="P111" s="180"/>
      <c r="Q111" s="180"/>
      <c r="R111" s="25"/>
      <c r="T111" s="120"/>
      <c r="U111" s="121" t="s">
        <v>45</v>
      </c>
      <c r="AY111" s="6" t="s">
        <v>145</v>
      </c>
      <c r="BE111" s="93">
        <f>IF($U$111="základní",$N$111,0)</f>
        <v>0</v>
      </c>
      <c r="BF111" s="93">
        <f>IF($U$111="snížená",$N$111,0)</f>
        <v>0</v>
      </c>
      <c r="BG111" s="93">
        <f>IF($U$111="zákl. přenesená",$N$111,0)</f>
        <v>0</v>
      </c>
      <c r="BH111" s="93">
        <f>IF($U$111="sníž. přenesená",$N$111,0)</f>
        <v>0</v>
      </c>
      <c r="BI111" s="93">
        <f>IF($U$111="nulová",$N$111,0)</f>
        <v>0</v>
      </c>
      <c r="BJ111" s="6" t="s">
        <v>22</v>
      </c>
    </row>
    <row r="112" spans="2:62" s="6" customFormat="1" ht="18.75" customHeight="1">
      <c r="B112" s="23"/>
      <c r="C112" s="24"/>
      <c r="D112" s="195" t="s">
        <v>147</v>
      </c>
      <c r="E112" s="180"/>
      <c r="F112" s="180"/>
      <c r="G112" s="180"/>
      <c r="H112" s="180"/>
      <c r="I112" s="24"/>
      <c r="J112" s="24"/>
      <c r="K112" s="24"/>
      <c r="L112" s="24"/>
      <c r="M112" s="24"/>
      <c r="N112" s="193">
        <f>ROUND($N$88*$T$112,2)</f>
        <v>0</v>
      </c>
      <c r="O112" s="180"/>
      <c r="P112" s="180"/>
      <c r="Q112" s="180"/>
      <c r="R112" s="25"/>
      <c r="T112" s="120"/>
      <c r="U112" s="121" t="s">
        <v>45</v>
      </c>
      <c r="AY112" s="6" t="s">
        <v>145</v>
      </c>
      <c r="BE112" s="93">
        <f>IF($U$112="základní",$N$112,0)</f>
        <v>0</v>
      </c>
      <c r="BF112" s="93">
        <f>IF($U$112="snížená",$N$112,0)</f>
        <v>0</v>
      </c>
      <c r="BG112" s="93">
        <f>IF($U$112="zákl. přenesená",$N$112,0)</f>
        <v>0</v>
      </c>
      <c r="BH112" s="93">
        <f>IF($U$112="sníž. přenesená",$N$112,0)</f>
        <v>0</v>
      </c>
      <c r="BI112" s="93">
        <f>IF($U$112="nulová",$N$112,0)</f>
        <v>0</v>
      </c>
      <c r="BJ112" s="6" t="s">
        <v>22</v>
      </c>
    </row>
    <row r="113" spans="2:62" s="6" customFormat="1" ht="18.75" customHeight="1">
      <c r="B113" s="23"/>
      <c r="C113" s="24"/>
      <c r="D113" s="195" t="s">
        <v>148</v>
      </c>
      <c r="E113" s="180"/>
      <c r="F113" s="180"/>
      <c r="G113" s="180"/>
      <c r="H113" s="180"/>
      <c r="I113" s="24"/>
      <c r="J113" s="24"/>
      <c r="K113" s="24"/>
      <c r="L113" s="24"/>
      <c r="M113" s="24"/>
      <c r="N113" s="193">
        <f>ROUND($N$88*$T$113,2)</f>
        <v>0</v>
      </c>
      <c r="O113" s="180"/>
      <c r="P113" s="180"/>
      <c r="Q113" s="180"/>
      <c r="R113" s="25"/>
      <c r="T113" s="120"/>
      <c r="U113" s="121" t="s">
        <v>45</v>
      </c>
      <c r="AY113" s="6" t="s">
        <v>145</v>
      </c>
      <c r="BE113" s="93">
        <f>IF($U$113="základní",$N$113,0)</f>
        <v>0</v>
      </c>
      <c r="BF113" s="93">
        <f>IF($U$113="snížená",$N$113,0)</f>
        <v>0</v>
      </c>
      <c r="BG113" s="93">
        <f>IF($U$113="zákl. přenesená",$N$113,0)</f>
        <v>0</v>
      </c>
      <c r="BH113" s="93">
        <f>IF($U$113="sníž. přenesená",$N$113,0)</f>
        <v>0</v>
      </c>
      <c r="BI113" s="93">
        <f>IF($U$113="nulová",$N$113,0)</f>
        <v>0</v>
      </c>
      <c r="BJ113" s="6" t="s">
        <v>22</v>
      </c>
    </row>
    <row r="114" spans="2:62" s="6" customFormat="1" ht="18.75" customHeight="1">
      <c r="B114" s="23"/>
      <c r="C114" s="24"/>
      <c r="D114" s="195" t="s">
        <v>149</v>
      </c>
      <c r="E114" s="180"/>
      <c r="F114" s="180"/>
      <c r="G114" s="180"/>
      <c r="H114" s="180"/>
      <c r="I114" s="24"/>
      <c r="J114" s="24"/>
      <c r="K114" s="24"/>
      <c r="L114" s="24"/>
      <c r="M114" s="24"/>
      <c r="N114" s="193">
        <f>ROUND($N$88*$T$114,2)</f>
        <v>0</v>
      </c>
      <c r="O114" s="180"/>
      <c r="P114" s="180"/>
      <c r="Q114" s="180"/>
      <c r="R114" s="25"/>
      <c r="T114" s="120"/>
      <c r="U114" s="121" t="s">
        <v>45</v>
      </c>
      <c r="AY114" s="6" t="s">
        <v>145</v>
      </c>
      <c r="BE114" s="93">
        <f>IF($U$114="základní",$N$114,0)</f>
        <v>0</v>
      </c>
      <c r="BF114" s="93">
        <f>IF($U$114="snížená",$N$114,0)</f>
        <v>0</v>
      </c>
      <c r="BG114" s="93">
        <f>IF($U$114="zákl. přenesená",$N$114,0)</f>
        <v>0</v>
      </c>
      <c r="BH114" s="93">
        <f>IF($U$114="sníž. přenesená",$N$114,0)</f>
        <v>0</v>
      </c>
      <c r="BI114" s="93">
        <f>IF($U$114="nulová",$N$114,0)</f>
        <v>0</v>
      </c>
      <c r="BJ114" s="6" t="s">
        <v>22</v>
      </c>
    </row>
    <row r="115" spans="2:62" s="6" customFormat="1" ht="18.75" customHeight="1">
      <c r="B115" s="23"/>
      <c r="C115" s="24"/>
      <c r="D115" s="89" t="s">
        <v>150</v>
      </c>
      <c r="E115" s="24"/>
      <c r="F115" s="24"/>
      <c r="G115" s="24"/>
      <c r="H115" s="24"/>
      <c r="I115" s="24"/>
      <c r="J115" s="24"/>
      <c r="K115" s="24"/>
      <c r="L115" s="24"/>
      <c r="M115" s="24"/>
      <c r="N115" s="193">
        <f>ROUND($N$88*$T$115,2)</f>
        <v>0</v>
      </c>
      <c r="O115" s="180"/>
      <c r="P115" s="180"/>
      <c r="Q115" s="180"/>
      <c r="R115" s="25"/>
      <c r="T115" s="122"/>
      <c r="U115" s="123" t="s">
        <v>45</v>
      </c>
      <c r="AY115" s="6" t="s">
        <v>151</v>
      </c>
      <c r="BE115" s="93">
        <f>IF($U$115="základní",$N$115,0)</f>
        <v>0</v>
      </c>
      <c r="BF115" s="93">
        <f>IF($U$115="snížená",$N$115,0)</f>
        <v>0</v>
      </c>
      <c r="BG115" s="93">
        <f>IF($U$115="zákl. přenesená",$N$115,0)</f>
        <v>0</v>
      </c>
      <c r="BH115" s="93">
        <f>IF($U$115="sníž. přenesená",$N$115,0)</f>
        <v>0</v>
      </c>
      <c r="BI115" s="93">
        <f>IF($U$115="nulová",$N$115,0)</f>
        <v>0</v>
      </c>
      <c r="BJ115" s="6" t="s">
        <v>22</v>
      </c>
    </row>
    <row r="116" spans="2:21" s="6" customFormat="1" ht="14.25" customHeight="1">
      <c r="B116" s="23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5"/>
      <c r="T116" s="24"/>
      <c r="U116" s="24"/>
    </row>
    <row r="117" spans="2:21" s="6" customFormat="1" ht="30" customHeight="1">
      <c r="B117" s="23"/>
      <c r="C117" s="100" t="s">
        <v>108</v>
      </c>
      <c r="D117" s="33"/>
      <c r="E117" s="33"/>
      <c r="F117" s="33"/>
      <c r="G117" s="33"/>
      <c r="H117" s="33"/>
      <c r="I117" s="33"/>
      <c r="J117" s="33"/>
      <c r="K117" s="33"/>
      <c r="L117" s="198">
        <f>ROUND(SUM($N$88+$N$109),2)</f>
        <v>0</v>
      </c>
      <c r="M117" s="199"/>
      <c r="N117" s="199"/>
      <c r="O117" s="199"/>
      <c r="P117" s="199"/>
      <c r="Q117" s="199"/>
      <c r="R117" s="25"/>
      <c r="T117" s="24"/>
      <c r="U117" s="24"/>
    </row>
    <row r="118" spans="2:21" s="6" customFormat="1" ht="7.5" customHeight="1">
      <c r="B118" s="46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8"/>
      <c r="T118" s="24"/>
      <c r="U118" s="24"/>
    </row>
    <row r="122" spans="2:18" s="6" customFormat="1" ht="7.5" customHeight="1">
      <c r="B122" s="49"/>
      <c r="C122" s="50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1"/>
    </row>
    <row r="123" spans="2:18" s="6" customFormat="1" ht="37.5" customHeight="1">
      <c r="B123" s="23"/>
      <c r="C123" s="161" t="s">
        <v>152</v>
      </c>
      <c r="D123" s="180"/>
      <c r="E123" s="180"/>
      <c r="F123" s="180"/>
      <c r="G123" s="180"/>
      <c r="H123" s="180"/>
      <c r="I123" s="180"/>
      <c r="J123" s="180"/>
      <c r="K123" s="180"/>
      <c r="L123" s="180"/>
      <c r="M123" s="180"/>
      <c r="N123" s="180"/>
      <c r="O123" s="180"/>
      <c r="P123" s="180"/>
      <c r="Q123" s="180"/>
      <c r="R123" s="25"/>
    </row>
    <row r="124" spans="2:18" s="6" customFormat="1" ht="7.5" customHeight="1">
      <c r="B124" s="23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5"/>
    </row>
    <row r="125" spans="2:18" s="6" customFormat="1" ht="30.75" customHeight="1">
      <c r="B125" s="23"/>
      <c r="C125" s="18" t="s">
        <v>17</v>
      </c>
      <c r="D125" s="24"/>
      <c r="E125" s="24"/>
      <c r="F125" s="201" t="str">
        <f>$F$6</f>
        <v>Oprava fasády ZŠ Karlova č.p. 1700 ve Varnsdorfu_upravený</v>
      </c>
      <c r="G125" s="180"/>
      <c r="H125" s="180"/>
      <c r="I125" s="180"/>
      <c r="J125" s="180"/>
      <c r="K125" s="180"/>
      <c r="L125" s="180"/>
      <c r="M125" s="180"/>
      <c r="N125" s="180"/>
      <c r="O125" s="180"/>
      <c r="P125" s="180"/>
      <c r="Q125" s="24"/>
      <c r="R125" s="25"/>
    </row>
    <row r="126" spans="2:18" s="6" customFormat="1" ht="37.5" customHeight="1">
      <c r="B126" s="23"/>
      <c r="C126" s="57" t="s">
        <v>112</v>
      </c>
      <c r="D126" s="24"/>
      <c r="E126" s="24"/>
      <c r="F126" s="181" t="str">
        <f>$F$7</f>
        <v>SO 03 - Drenáže</v>
      </c>
      <c r="G126" s="180"/>
      <c r="H126" s="180"/>
      <c r="I126" s="180"/>
      <c r="J126" s="180"/>
      <c r="K126" s="180"/>
      <c r="L126" s="180"/>
      <c r="M126" s="180"/>
      <c r="N126" s="180"/>
      <c r="O126" s="180"/>
      <c r="P126" s="180"/>
      <c r="Q126" s="24"/>
      <c r="R126" s="25"/>
    </row>
    <row r="127" spans="2:18" s="6" customFormat="1" ht="7.5" customHeight="1">
      <c r="B127" s="23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5"/>
    </row>
    <row r="128" spans="2:18" s="6" customFormat="1" ht="18.75" customHeight="1">
      <c r="B128" s="23"/>
      <c r="C128" s="18" t="s">
        <v>23</v>
      </c>
      <c r="D128" s="24"/>
      <c r="E128" s="24"/>
      <c r="F128" s="16" t="str">
        <f>$F$9</f>
        <v>Varnsdorf</v>
      </c>
      <c r="G128" s="24"/>
      <c r="H128" s="24"/>
      <c r="I128" s="24"/>
      <c r="J128" s="24"/>
      <c r="K128" s="18" t="s">
        <v>25</v>
      </c>
      <c r="L128" s="24"/>
      <c r="M128" s="207" t="str">
        <f>IF($O$9="","",$O$9)</f>
        <v>15.10.2011</v>
      </c>
      <c r="N128" s="180"/>
      <c r="O128" s="180"/>
      <c r="P128" s="180"/>
      <c r="Q128" s="24"/>
      <c r="R128" s="25"/>
    </row>
    <row r="129" spans="2:18" s="6" customFormat="1" ht="7.5" customHeight="1">
      <c r="B129" s="23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5"/>
    </row>
    <row r="130" spans="2:18" s="6" customFormat="1" ht="15.75" customHeight="1">
      <c r="B130" s="23"/>
      <c r="C130" s="18" t="s">
        <v>29</v>
      </c>
      <c r="D130" s="24"/>
      <c r="E130" s="24"/>
      <c r="F130" s="16" t="str">
        <f>$E$12</f>
        <v>Město Varnsdorf, nám. E. Beneše 470, Varnsdorf</v>
      </c>
      <c r="G130" s="24"/>
      <c r="H130" s="24"/>
      <c r="I130" s="24"/>
      <c r="J130" s="24"/>
      <c r="K130" s="18" t="s">
        <v>36</v>
      </c>
      <c r="L130" s="24"/>
      <c r="M130" s="166" t="str">
        <f>$E$18</f>
        <v>ProProjekt s.r.o., Komenského 1173, Rumburk</v>
      </c>
      <c r="N130" s="180"/>
      <c r="O130" s="180"/>
      <c r="P130" s="180"/>
      <c r="Q130" s="180"/>
      <c r="R130" s="25"/>
    </row>
    <row r="131" spans="2:18" s="6" customFormat="1" ht="15" customHeight="1">
      <c r="B131" s="23"/>
      <c r="C131" s="18" t="s">
        <v>33</v>
      </c>
      <c r="D131" s="24"/>
      <c r="E131" s="24"/>
      <c r="F131" s="16" t="str">
        <f>IF($E$15="","",$E$15)</f>
        <v>bude vybrán</v>
      </c>
      <c r="G131" s="24"/>
      <c r="H131" s="24"/>
      <c r="I131" s="24"/>
      <c r="J131" s="24"/>
      <c r="K131" s="18" t="s">
        <v>38</v>
      </c>
      <c r="L131" s="24"/>
      <c r="M131" s="166" t="str">
        <f>$E$21</f>
        <v>Pavel Hruška</v>
      </c>
      <c r="N131" s="180"/>
      <c r="O131" s="180"/>
      <c r="P131" s="180"/>
      <c r="Q131" s="180"/>
      <c r="R131" s="25"/>
    </row>
    <row r="132" spans="2:18" s="6" customFormat="1" ht="11.25" customHeight="1">
      <c r="B132" s="23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5"/>
    </row>
    <row r="133" spans="2:27" s="124" customFormat="1" ht="30" customHeight="1">
      <c r="B133" s="125"/>
      <c r="C133" s="126" t="s">
        <v>153</v>
      </c>
      <c r="D133" s="127" t="s">
        <v>154</v>
      </c>
      <c r="E133" s="127" t="s">
        <v>62</v>
      </c>
      <c r="F133" s="213" t="s">
        <v>155</v>
      </c>
      <c r="G133" s="214"/>
      <c r="H133" s="214"/>
      <c r="I133" s="214"/>
      <c r="J133" s="127" t="s">
        <v>156</v>
      </c>
      <c r="K133" s="127" t="s">
        <v>157</v>
      </c>
      <c r="L133" s="213" t="s">
        <v>158</v>
      </c>
      <c r="M133" s="214"/>
      <c r="N133" s="213" t="s">
        <v>159</v>
      </c>
      <c r="O133" s="214"/>
      <c r="P133" s="214"/>
      <c r="Q133" s="215"/>
      <c r="R133" s="128"/>
      <c r="T133" s="66" t="s">
        <v>160</v>
      </c>
      <c r="U133" s="67" t="s">
        <v>44</v>
      </c>
      <c r="V133" s="67" t="s">
        <v>161</v>
      </c>
      <c r="W133" s="67" t="s">
        <v>162</v>
      </c>
      <c r="X133" s="67" t="s">
        <v>163</v>
      </c>
      <c r="Y133" s="67" t="s">
        <v>164</v>
      </c>
      <c r="Z133" s="67" t="s">
        <v>165</v>
      </c>
      <c r="AA133" s="68" t="s">
        <v>166</v>
      </c>
    </row>
    <row r="134" spans="2:63" s="6" customFormat="1" ht="30" customHeight="1">
      <c r="B134" s="23"/>
      <c r="C134" s="71" t="s">
        <v>115</v>
      </c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26">
        <f>$BK$134</f>
        <v>0</v>
      </c>
      <c r="O134" s="180"/>
      <c r="P134" s="180"/>
      <c r="Q134" s="180"/>
      <c r="R134" s="25"/>
      <c r="T134" s="70"/>
      <c r="U134" s="38"/>
      <c r="V134" s="38"/>
      <c r="W134" s="129">
        <f>$W$135+$W$200+$W$210+$W$213+$W$218</f>
        <v>0</v>
      </c>
      <c r="X134" s="38"/>
      <c r="Y134" s="129">
        <f>$Y$135+$Y$200+$Y$210+$Y$213+$Y$218</f>
        <v>111.8761228</v>
      </c>
      <c r="Z134" s="38"/>
      <c r="AA134" s="130">
        <f>$AA$135+$AA$200+$AA$210+$AA$213+$AA$218</f>
        <v>71.32868</v>
      </c>
      <c r="AT134" s="6" t="s">
        <v>79</v>
      </c>
      <c r="AU134" s="6" t="s">
        <v>120</v>
      </c>
      <c r="BK134" s="131">
        <f>$BK$135+$BK$200+$BK$210+$BK$213+$BK$218</f>
        <v>0</v>
      </c>
    </row>
    <row r="135" spans="2:63" s="132" customFormat="1" ht="37.5" customHeight="1">
      <c r="B135" s="133"/>
      <c r="C135" s="134"/>
      <c r="D135" s="135" t="s">
        <v>121</v>
      </c>
      <c r="E135" s="135"/>
      <c r="F135" s="135"/>
      <c r="G135" s="135"/>
      <c r="H135" s="135"/>
      <c r="I135" s="135"/>
      <c r="J135" s="135"/>
      <c r="K135" s="135"/>
      <c r="L135" s="135"/>
      <c r="M135" s="135"/>
      <c r="N135" s="212">
        <f>$BK$135</f>
        <v>0</v>
      </c>
      <c r="O135" s="227"/>
      <c r="P135" s="227"/>
      <c r="Q135" s="227"/>
      <c r="R135" s="136"/>
      <c r="T135" s="137"/>
      <c r="U135" s="134"/>
      <c r="V135" s="134"/>
      <c r="W135" s="138">
        <f>$W$136+$W$160+$W$167+$W$170+$W$175+$W$181+$W$192+$W$194+$W$198</f>
        <v>0</v>
      </c>
      <c r="X135" s="134"/>
      <c r="Y135" s="138">
        <f>$Y$136+$Y$160+$Y$167+$Y$170+$Y$175+$Y$181+$Y$192+$Y$194+$Y$198</f>
        <v>110.824696</v>
      </c>
      <c r="Z135" s="134"/>
      <c r="AA135" s="139">
        <f>$AA$136+$AA$160+$AA$167+$AA$170+$AA$175+$AA$181+$AA$192+$AA$194+$AA$198</f>
        <v>70.35597</v>
      </c>
      <c r="AR135" s="140" t="s">
        <v>22</v>
      </c>
      <c r="AT135" s="140" t="s">
        <v>79</v>
      </c>
      <c r="AU135" s="140" t="s">
        <v>80</v>
      </c>
      <c r="AY135" s="140" t="s">
        <v>167</v>
      </c>
      <c r="BK135" s="141">
        <f>$BK$136+$BK$160+$BK$167+$BK$170+$BK$175+$BK$181+$BK$192+$BK$194+$BK$198</f>
        <v>0</v>
      </c>
    </row>
    <row r="136" spans="2:63" s="132" customFormat="1" ht="21" customHeight="1">
      <c r="B136" s="133"/>
      <c r="C136" s="134"/>
      <c r="D136" s="142" t="s">
        <v>122</v>
      </c>
      <c r="E136" s="142"/>
      <c r="F136" s="142"/>
      <c r="G136" s="142"/>
      <c r="H136" s="142"/>
      <c r="I136" s="142"/>
      <c r="J136" s="142"/>
      <c r="K136" s="142"/>
      <c r="L136" s="142"/>
      <c r="M136" s="142"/>
      <c r="N136" s="228">
        <f>$BK$136</f>
        <v>0</v>
      </c>
      <c r="O136" s="227"/>
      <c r="P136" s="227"/>
      <c r="Q136" s="227"/>
      <c r="R136" s="136"/>
      <c r="T136" s="137"/>
      <c r="U136" s="134"/>
      <c r="V136" s="134"/>
      <c r="W136" s="138">
        <f>SUM($W$137:$W$159)</f>
        <v>0</v>
      </c>
      <c r="X136" s="134"/>
      <c r="Y136" s="138">
        <f>SUM($Y$137:$Y$159)</f>
        <v>42.1316616</v>
      </c>
      <c r="Z136" s="134"/>
      <c r="AA136" s="139">
        <f>SUM($AA$137:$AA$159)</f>
        <v>67.25805</v>
      </c>
      <c r="AR136" s="140" t="s">
        <v>22</v>
      </c>
      <c r="AT136" s="140" t="s">
        <v>79</v>
      </c>
      <c r="AU136" s="140" t="s">
        <v>22</v>
      </c>
      <c r="AY136" s="140" t="s">
        <v>167</v>
      </c>
      <c r="BK136" s="141">
        <f>SUM($BK$137:$BK$159)</f>
        <v>0</v>
      </c>
    </row>
    <row r="137" spans="2:65" s="6" customFormat="1" ht="27" customHeight="1">
      <c r="B137" s="23"/>
      <c r="C137" s="143" t="s">
        <v>22</v>
      </c>
      <c r="D137" s="143" t="s">
        <v>168</v>
      </c>
      <c r="E137" s="144" t="s">
        <v>549</v>
      </c>
      <c r="F137" s="216" t="s">
        <v>550</v>
      </c>
      <c r="G137" s="217"/>
      <c r="H137" s="217"/>
      <c r="I137" s="217"/>
      <c r="J137" s="145" t="s">
        <v>205</v>
      </c>
      <c r="K137" s="146">
        <v>152.9</v>
      </c>
      <c r="L137" s="218">
        <v>0</v>
      </c>
      <c r="M137" s="217"/>
      <c r="N137" s="219">
        <f>ROUND($L$137*$K$137,2)</f>
        <v>0</v>
      </c>
      <c r="O137" s="217"/>
      <c r="P137" s="217"/>
      <c r="Q137" s="217"/>
      <c r="R137" s="25"/>
      <c r="T137" s="147"/>
      <c r="U137" s="31" t="s">
        <v>45</v>
      </c>
      <c r="V137" s="24"/>
      <c r="W137" s="148">
        <f>$V$137*$K$137</f>
        <v>0</v>
      </c>
      <c r="X137" s="148">
        <v>0</v>
      </c>
      <c r="Y137" s="148">
        <f>$X$137*$K$137</f>
        <v>0</v>
      </c>
      <c r="Z137" s="148">
        <v>0.417</v>
      </c>
      <c r="AA137" s="149">
        <f>$Z$137*$K$137</f>
        <v>63.759299999999996</v>
      </c>
      <c r="AR137" s="6" t="s">
        <v>172</v>
      </c>
      <c r="AT137" s="6" t="s">
        <v>168</v>
      </c>
      <c r="AU137" s="6" t="s">
        <v>110</v>
      </c>
      <c r="AY137" s="6" t="s">
        <v>167</v>
      </c>
      <c r="BE137" s="93">
        <f>IF($U$137="základní",$N$137,0)</f>
        <v>0</v>
      </c>
      <c r="BF137" s="93">
        <f>IF($U$137="snížená",$N$137,0)</f>
        <v>0</v>
      </c>
      <c r="BG137" s="93">
        <f>IF($U$137="zákl. přenesená",$N$137,0)</f>
        <v>0</v>
      </c>
      <c r="BH137" s="93">
        <f>IF($U$137="sníž. přenesená",$N$137,0)</f>
        <v>0</v>
      </c>
      <c r="BI137" s="93">
        <f>IF($U$137="nulová",$N$137,0)</f>
        <v>0</v>
      </c>
      <c r="BJ137" s="6" t="s">
        <v>22</v>
      </c>
      <c r="BK137" s="93">
        <f>ROUND($L$137*$K$137,2)</f>
        <v>0</v>
      </c>
      <c r="BL137" s="6" t="s">
        <v>172</v>
      </c>
      <c r="BM137" s="6" t="s">
        <v>551</v>
      </c>
    </row>
    <row r="138" spans="2:65" s="6" customFormat="1" ht="27" customHeight="1">
      <c r="B138" s="23"/>
      <c r="C138" s="143" t="s">
        <v>110</v>
      </c>
      <c r="D138" s="143" t="s">
        <v>168</v>
      </c>
      <c r="E138" s="144" t="s">
        <v>552</v>
      </c>
      <c r="F138" s="216" t="s">
        <v>553</v>
      </c>
      <c r="G138" s="217"/>
      <c r="H138" s="217"/>
      <c r="I138" s="217"/>
      <c r="J138" s="145" t="s">
        <v>205</v>
      </c>
      <c r="K138" s="146">
        <v>15.55</v>
      </c>
      <c r="L138" s="218">
        <v>0</v>
      </c>
      <c r="M138" s="217"/>
      <c r="N138" s="219">
        <f>ROUND($L$138*$K$138,2)</f>
        <v>0</v>
      </c>
      <c r="O138" s="217"/>
      <c r="P138" s="217"/>
      <c r="Q138" s="217"/>
      <c r="R138" s="25"/>
      <c r="T138" s="147"/>
      <c r="U138" s="31" t="s">
        <v>45</v>
      </c>
      <c r="V138" s="24"/>
      <c r="W138" s="148">
        <f>$V$138*$K$138</f>
        <v>0</v>
      </c>
      <c r="X138" s="148">
        <v>0</v>
      </c>
      <c r="Y138" s="148">
        <f>$X$138*$K$138</f>
        <v>0</v>
      </c>
      <c r="Z138" s="148">
        <v>0.225</v>
      </c>
      <c r="AA138" s="149">
        <f>$Z$138*$K$138</f>
        <v>3.4987500000000002</v>
      </c>
      <c r="AR138" s="6" t="s">
        <v>172</v>
      </c>
      <c r="AT138" s="6" t="s">
        <v>168</v>
      </c>
      <c r="AU138" s="6" t="s">
        <v>110</v>
      </c>
      <c r="AY138" s="6" t="s">
        <v>167</v>
      </c>
      <c r="BE138" s="93">
        <f>IF($U$138="základní",$N$138,0)</f>
        <v>0</v>
      </c>
      <c r="BF138" s="93">
        <f>IF($U$138="snížená",$N$138,0)</f>
        <v>0</v>
      </c>
      <c r="BG138" s="93">
        <f>IF($U$138="zákl. přenesená",$N$138,0)</f>
        <v>0</v>
      </c>
      <c r="BH138" s="93">
        <f>IF($U$138="sníž. přenesená",$N$138,0)</f>
        <v>0</v>
      </c>
      <c r="BI138" s="93">
        <f>IF($U$138="nulová",$N$138,0)</f>
        <v>0</v>
      </c>
      <c r="BJ138" s="6" t="s">
        <v>22</v>
      </c>
      <c r="BK138" s="93">
        <f>ROUND($L$138*$K$138,2)</f>
        <v>0</v>
      </c>
      <c r="BL138" s="6" t="s">
        <v>172</v>
      </c>
      <c r="BM138" s="6" t="s">
        <v>554</v>
      </c>
    </row>
    <row r="139" spans="2:65" s="6" customFormat="1" ht="27" customHeight="1">
      <c r="B139" s="23"/>
      <c r="C139" s="143" t="s">
        <v>177</v>
      </c>
      <c r="D139" s="143" t="s">
        <v>168</v>
      </c>
      <c r="E139" s="144" t="s">
        <v>555</v>
      </c>
      <c r="F139" s="216" t="s">
        <v>556</v>
      </c>
      <c r="G139" s="217"/>
      <c r="H139" s="217"/>
      <c r="I139" s="217"/>
      <c r="J139" s="145" t="s">
        <v>171</v>
      </c>
      <c r="K139" s="146">
        <v>18.63</v>
      </c>
      <c r="L139" s="218">
        <v>0</v>
      </c>
      <c r="M139" s="217"/>
      <c r="N139" s="219">
        <f>ROUND($L$139*$K$139,2)</f>
        <v>0</v>
      </c>
      <c r="O139" s="217"/>
      <c r="P139" s="217"/>
      <c r="Q139" s="217"/>
      <c r="R139" s="25"/>
      <c r="T139" s="147"/>
      <c r="U139" s="31" t="s">
        <v>45</v>
      </c>
      <c r="V139" s="24"/>
      <c r="W139" s="148">
        <f>$V$139*$K$139</f>
        <v>0</v>
      </c>
      <c r="X139" s="148">
        <v>0</v>
      </c>
      <c r="Y139" s="148">
        <f>$X$139*$K$139</f>
        <v>0</v>
      </c>
      <c r="Z139" s="148">
        <v>0</v>
      </c>
      <c r="AA139" s="149">
        <f>$Z$139*$K$139</f>
        <v>0</v>
      </c>
      <c r="AR139" s="6" t="s">
        <v>172</v>
      </c>
      <c r="AT139" s="6" t="s">
        <v>168</v>
      </c>
      <c r="AU139" s="6" t="s">
        <v>110</v>
      </c>
      <c r="AY139" s="6" t="s">
        <v>167</v>
      </c>
      <c r="BE139" s="93">
        <f>IF($U$139="základní",$N$139,0)</f>
        <v>0</v>
      </c>
      <c r="BF139" s="93">
        <f>IF($U$139="snížená",$N$139,0)</f>
        <v>0</v>
      </c>
      <c r="BG139" s="93">
        <f>IF($U$139="zákl. přenesená",$N$139,0)</f>
        <v>0</v>
      </c>
      <c r="BH139" s="93">
        <f>IF($U$139="sníž. přenesená",$N$139,0)</f>
        <v>0</v>
      </c>
      <c r="BI139" s="93">
        <f>IF($U$139="nulová",$N$139,0)</f>
        <v>0</v>
      </c>
      <c r="BJ139" s="6" t="s">
        <v>22</v>
      </c>
      <c r="BK139" s="93">
        <f>ROUND($L$139*$K$139,2)</f>
        <v>0</v>
      </c>
      <c r="BL139" s="6" t="s">
        <v>172</v>
      </c>
      <c r="BM139" s="6" t="s">
        <v>557</v>
      </c>
    </row>
    <row r="140" spans="2:65" s="6" customFormat="1" ht="27" customHeight="1">
      <c r="B140" s="23"/>
      <c r="C140" s="143" t="s">
        <v>172</v>
      </c>
      <c r="D140" s="143" t="s">
        <v>168</v>
      </c>
      <c r="E140" s="144" t="s">
        <v>558</v>
      </c>
      <c r="F140" s="216" t="s">
        <v>559</v>
      </c>
      <c r="G140" s="217"/>
      <c r="H140" s="217"/>
      <c r="I140" s="217"/>
      <c r="J140" s="145" t="s">
        <v>171</v>
      </c>
      <c r="K140" s="146">
        <v>30.58</v>
      </c>
      <c r="L140" s="218">
        <v>0</v>
      </c>
      <c r="M140" s="217"/>
      <c r="N140" s="219">
        <f>ROUND($L$140*$K$140,2)</f>
        <v>0</v>
      </c>
      <c r="O140" s="217"/>
      <c r="P140" s="217"/>
      <c r="Q140" s="217"/>
      <c r="R140" s="25"/>
      <c r="T140" s="147"/>
      <c r="U140" s="31" t="s">
        <v>45</v>
      </c>
      <c r="V140" s="24"/>
      <c r="W140" s="148">
        <f>$V$140*$K$140</f>
        <v>0</v>
      </c>
      <c r="X140" s="148">
        <v>0</v>
      </c>
      <c r="Y140" s="148">
        <f>$X$140*$K$140</f>
        <v>0</v>
      </c>
      <c r="Z140" s="148">
        <v>0</v>
      </c>
      <c r="AA140" s="149">
        <f>$Z$140*$K$140</f>
        <v>0</v>
      </c>
      <c r="AR140" s="6" t="s">
        <v>172</v>
      </c>
      <c r="AT140" s="6" t="s">
        <v>168</v>
      </c>
      <c r="AU140" s="6" t="s">
        <v>110</v>
      </c>
      <c r="AY140" s="6" t="s">
        <v>167</v>
      </c>
      <c r="BE140" s="93">
        <f>IF($U$140="základní",$N$140,0)</f>
        <v>0</v>
      </c>
      <c r="BF140" s="93">
        <f>IF($U$140="snížená",$N$140,0)</f>
        <v>0</v>
      </c>
      <c r="BG140" s="93">
        <f>IF($U$140="zákl. přenesená",$N$140,0)</f>
        <v>0</v>
      </c>
      <c r="BH140" s="93">
        <f>IF($U$140="sníž. přenesená",$N$140,0)</f>
        <v>0</v>
      </c>
      <c r="BI140" s="93">
        <f>IF($U$140="nulová",$N$140,0)</f>
        <v>0</v>
      </c>
      <c r="BJ140" s="6" t="s">
        <v>22</v>
      </c>
      <c r="BK140" s="93">
        <f>ROUND($L$140*$K$140,2)</f>
        <v>0</v>
      </c>
      <c r="BL140" s="6" t="s">
        <v>172</v>
      </c>
      <c r="BM140" s="6" t="s">
        <v>560</v>
      </c>
    </row>
    <row r="141" spans="2:65" s="6" customFormat="1" ht="27" customHeight="1">
      <c r="B141" s="23"/>
      <c r="C141" s="143" t="s">
        <v>184</v>
      </c>
      <c r="D141" s="143" t="s">
        <v>168</v>
      </c>
      <c r="E141" s="144" t="s">
        <v>561</v>
      </c>
      <c r="F141" s="216" t="s">
        <v>562</v>
      </c>
      <c r="G141" s="217"/>
      <c r="H141" s="217"/>
      <c r="I141" s="217"/>
      <c r="J141" s="145" t="s">
        <v>171</v>
      </c>
      <c r="K141" s="146">
        <v>146.4</v>
      </c>
      <c r="L141" s="218">
        <v>0</v>
      </c>
      <c r="M141" s="217"/>
      <c r="N141" s="219">
        <f>ROUND($L$141*$K$141,2)</f>
        <v>0</v>
      </c>
      <c r="O141" s="217"/>
      <c r="P141" s="217"/>
      <c r="Q141" s="217"/>
      <c r="R141" s="25"/>
      <c r="T141" s="147"/>
      <c r="U141" s="31" t="s">
        <v>45</v>
      </c>
      <c r="V141" s="24"/>
      <c r="W141" s="148">
        <f>$V$141*$K$141</f>
        <v>0</v>
      </c>
      <c r="X141" s="148">
        <v>0</v>
      </c>
      <c r="Y141" s="148">
        <f>$X$141*$K$141</f>
        <v>0</v>
      </c>
      <c r="Z141" s="148">
        <v>0</v>
      </c>
      <c r="AA141" s="149">
        <f>$Z$141*$K$141</f>
        <v>0</v>
      </c>
      <c r="AR141" s="6" t="s">
        <v>172</v>
      </c>
      <c r="AT141" s="6" t="s">
        <v>168</v>
      </c>
      <c r="AU141" s="6" t="s">
        <v>110</v>
      </c>
      <c r="AY141" s="6" t="s">
        <v>167</v>
      </c>
      <c r="BE141" s="93">
        <f>IF($U$141="základní",$N$141,0)</f>
        <v>0</v>
      </c>
      <c r="BF141" s="93">
        <f>IF($U$141="snížená",$N$141,0)</f>
        <v>0</v>
      </c>
      <c r="BG141" s="93">
        <f>IF($U$141="zákl. přenesená",$N$141,0)</f>
        <v>0</v>
      </c>
      <c r="BH141" s="93">
        <f>IF($U$141="sníž. přenesená",$N$141,0)</f>
        <v>0</v>
      </c>
      <c r="BI141" s="93">
        <f>IF($U$141="nulová",$N$141,0)</f>
        <v>0</v>
      </c>
      <c r="BJ141" s="6" t="s">
        <v>22</v>
      </c>
      <c r="BK141" s="93">
        <f>ROUND($L$141*$K$141,2)</f>
        <v>0</v>
      </c>
      <c r="BL141" s="6" t="s">
        <v>172</v>
      </c>
      <c r="BM141" s="6" t="s">
        <v>563</v>
      </c>
    </row>
    <row r="142" spans="2:65" s="6" customFormat="1" ht="27" customHeight="1">
      <c r="B142" s="23"/>
      <c r="C142" s="143" t="s">
        <v>188</v>
      </c>
      <c r="D142" s="143" t="s">
        <v>168</v>
      </c>
      <c r="E142" s="144" t="s">
        <v>564</v>
      </c>
      <c r="F142" s="216" t="s">
        <v>565</v>
      </c>
      <c r="G142" s="217"/>
      <c r="H142" s="217"/>
      <c r="I142" s="217"/>
      <c r="J142" s="145" t="s">
        <v>171</v>
      </c>
      <c r="K142" s="146">
        <v>221.28</v>
      </c>
      <c r="L142" s="218">
        <v>0</v>
      </c>
      <c r="M142" s="217"/>
      <c r="N142" s="219">
        <f>ROUND($L$142*$K$142,2)</f>
        <v>0</v>
      </c>
      <c r="O142" s="217"/>
      <c r="P142" s="217"/>
      <c r="Q142" s="217"/>
      <c r="R142" s="25"/>
      <c r="T142" s="147"/>
      <c r="U142" s="31" t="s">
        <v>45</v>
      </c>
      <c r="V142" s="24"/>
      <c r="W142" s="148">
        <f>$V$142*$K$142</f>
        <v>0</v>
      </c>
      <c r="X142" s="148">
        <v>0</v>
      </c>
      <c r="Y142" s="148">
        <f>$X$142*$K$142</f>
        <v>0</v>
      </c>
      <c r="Z142" s="148">
        <v>0</v>
      </c>
      <c r="AA142" s="149">
        <f>$Z$142*$K$142</f>
        <v>0</v>
      </c>
      <c r="AR142" s="6" t="s">
        <v>172</v>
      </c>
      <c r="AT142" s="6" t="s">
        <v>168</v>
      </c>
      <c r="AU142" s="6" t="s">
        <v>110</v>
      </c>
      <c r="AY142" s="6" t="s">
        <v>167</v>
      </c>
      <c r="BE142" s="93">
        <f>IF($U$142="základní",$N$142,0)</f>
        <v>0</v>
      </c>
      <c r="BF142" s="93">
        <f>IF($U$142="snížená",$N$142,0)</f>
        <v>0</v>
      </c>
      <c r="BG142" s="93">
        <f>IF($U$142="zákl. přenesená",$N$142,0)</f>
        <v>0</v>
      </c>
      <c r="BH142" s="93">
        <f>IF($U$142="sníž. přenesená",$N$142,0)</f>
        <v>0</v>
      </c>
      <c r="BI142" s="93">
        <f>IF($U$142="nulová",$N$142,0)</f>
        <v>0</v>
      </c>
      <c r="BJ142" s="6" t="s">
        <v>22</v>
      </c>
      <c r="BK142" s="93">
        <f>ROUND($L$142*$K$142,2)</f>
        <v>0</v>
      </c>
      <c r="BL142" s="6" t="s">
        <v>172</v>
      </c>
      <c r="BM142" s="6" t="s">
        <v>566</v>
      </c>
    </row>
    <row r="143" spans="2:65" s="6" customFormat="1" ht="27" customHeight="1">
      <c r="B143" s="23"/>
      <c r="C143" s="143" t="s">
        <v>192</v>
      </c>
      <c r="D143" s="143" t="s">
        <v>168</v>
      </c>
      <c r="E143" s="144" t="s">
        <v>567</v>
      </c>
      <c r="F143" s="216" t="s">
        <v>568</v>
      </c>
      <c r="G143" s="217"/>
      <c r="H143" s="217"/>
      <c r="I143" s="217"/>
      <c r="J143" s="145" t="s">
        <v>171</v>
      </c>
      <c r="K143" s="146">
        <v>221.28</v>
      </c>
      <c r="L143" s="218">
        <v>0</v>
      </c>
      <c r="M143" s="217"/>
      <c r="N143" s="219">
        <f>ROUND($L$143*$K$143,2)</f>
        <v>0</v>
      </c>
      <c r="O143" s="217"/>
      <c r="P143" s="217"/>
      <c r="Q143" s="217"/>
      <c r="R143" s="25"/>
      <c r="T143" s="147"/>
      <c r="U143" s="31" t="s">
        <v>45</v>
      </c>
      <c r="V143" s="24"/>
      <c r="W143" s="148">
        <f>$V$143*$K$143</f>
        <v>0</v>
      </c>
      <c r="X143" s="148">
        <v>0</v>
      </c>
      <c r="Y143" s="148">
        <f>$X$143*$K$143</f>
        <v>0</v>
      </c>
      <c r="Z143" s="148">
        <v>0</v>
      </c>
      <c r="AA143" s="149">
        <f>$Z$143*$K$143</f>
        <v>0</v>
      </c>
      <c r="AR143" s="6" t="s">
        <v>172</v>
      </c>
      <c r="AT143" s="6" t="s">
        <v>168</v>
      </c>
      <c r="AU143" s="6" t="s">
        <v>110</v>
      </c>
      <c r="AY143" s="6" t="s">
        <v>167</v>
      </c>
      <c r="BE143" s="93">
        <f>IF($U$143="základní",$N$143,0)</f>
        <v>0</v>
      </c>
      <c r="BF143" s="93">
        <f>IF($U$143="snížená",$N$143,0)</f>
        <v>0</v>
      </c>
      <c r="BG143" s="93">
        <f>IF($U$143="zákl. přenesená",$N$143,0)</f>
        <v>0</v>
      </c>
      <c r="BH143" s="93">
        <f>IF($U$143="sníž. přenesená",$N$143,0)</f>
        <v>0</v>
      </c>
      <c r="BI143" s="93">
        <f>IF($U$143="nulová",$N$143,0)</f>
        <v>0</v>
      </c>
      <c r="BJ143" s="6" t="s">
        <v>22</v>
      </c>
      <c r="BK143" s="93">
        <f>ROUND($L$143*$K$143,2)</f>
        <v>0</v>
      </c>
      <c r="BL143" s="6" t="s">
        <v>172</v>
      </c>
      <c r="BM143" s="6" t="s">
        <v>569</v>
      </c>
    </row>
    <row r="144" spans="2:65" s="6" customFormat="1" ht="27" customHeight="1">
      <c r="B144" s="23"/>
      <c r="C144" s="143" t="s">
        <v>196</v>
      </c>
      <c r="D144" s="143" t="s">
        <v>168</v>
      </c>
      <c r="E144" s="144" t="s">
        <v>570</v>
      </c>
      <c r="F144" s="216" t="s">
        <v>571</v>
      </c>
      <c r="G144" s="217"/>
      <c r="H144" s="217"/>
      <c r="I144" s="217"/>
      <c r="J144" s="145" t="s">
        <v>171</v>
      </c>
      <c r="K144" s="146">
        <v>12</v>
      </c>
      <c r="L144" s="218">
        <v>0</v>
      </c>
      <c r="M144" s="217"/>
      <c r="N144" s="219">
        <f>ROUND($L$144*$K$144,2)</f>
        <v>0</v>
      </c>
      <c r="O144" s="217"/>
      <c r="P144" s="217"/>
      <c r="Q144" s="217"/>
      <c r="R144" s="25"/>
      <c r="T144" s="147"/>
      <c r="U144" s="31" t="s">
        <v>45</v>
      </c>
      <c r="V144" s="24"/>
      <c r="W144" s="148">
        <f>$V$144*$K$144</f>
        <v>0</v>
      </c>
      <c r="X144" s="148">
        <v>0</v>
      </c>
      <c r="Y144" s="148">
        <f>$X$144*$K$144</f>
        <v>0</v>
      </c>
      <c r="Z144" s="148">
        <v>0</v>
      </c>
      <c r="AA144" s="149">
        <f>$Z$144*$K$144</f>
        <v>0</v>
      </c>
      <c r="AR144" s="6" t="s">
        <v>172</v>
      </c>
      <c r="AT144" s="6" t="s">
        <v>168</v>
      </c>
      <c r="AU144" s="6" t="s">
        <v>110</v>
      </c>
      <c r="AY144" s="6" t="s">
        <v>167</v>
      </c>
      <c r="BE144" s="93">
        <f>IF($U$144="základní",$N$144,0)</f>
        <v>0</v>
      </c>
      <c r="BF144" s="93">
        <f>IF($U$144="snížená",$N$144,0)</f>
        <v>0</v>
      </c>
      <c r="BG144" s="93">
        <f>IF($U$144="zákl. přenesená",$N$144,0)</f>
        <v>0</v>
      </c>
      <c r="BH144" s="93">
        <f>IF($U$144="sníž. přenesená",$N$144,0)</f>
        <v>0</v>
      </c>
      <c r="BI144" s="93">
        <f>IF($U$144="nulová",$N$144,0)</f>
        <v>0</v>
      </c>
      <c r="BJ144" s="6" t="s">
        <v>22</v>
      </c>
      <c r="BK144" s="93">
        <f>ROUND($L$144*$K$144,2)</f>
        <v>0</v>
      </c>
      <c r="BL144" s="6" t="s">
        <v>172</v>
      </c>
      <c r="BM144" s="6" t="s">
        <v>572</v>
      </c>
    </row>
    <row r="145" spans="2:65" s="6" customFormat="1" ht="27" customHeight="1">
      <c r="B145" s="23"/>
      <c r="C145" s="143" t="s">
        <v>202</v>
      </c>
      <c r="D145" s="143" t="s">
        <v>168</v>
      </c>
      <c r="E145" s="144" t="s">
        <v>573</v>
      </c>
      <c r="F145" s="216" t="s">
        <v>574</v>
      </c>
      <c r="G145" s="217"/>
      <c r="H145" s="217"/>
      <c r="I145" s="217"/>
      <c r="J145" s="145" t="s">
        <v>171</v>
      </c>
      <c r="K145" s="146">
        <v>12</v>
      </c>
      <c r="L145" s="218">
        <v>0</v>
      </c>
      <c r="M145" s="217"/>
      <c r="N145" s="219">
        <f>ROUND($L$145*$K$145,2)</f>
        <v>0</v>
      </c>
      <c r="O145" s="217"/>
      <c r="P145" s="217"/>
      <c r="Q145" s="217"/>
      <c r="R145" s="25"/>
      <c r="T145" s="147"/>
      <c r="U145" s="31" t="s">
        <v>45</v>
      </c>
      <c r="V145" s="24"/>
      <c r="W145" s="148">
        <f>$V$145*$K$145</f>
        <v>0</v>
      </c>
      <c r="X145" s="148">
        <v>0</v>
      </c>
      <c r="Y145" s="148">
        <f>$X$145*$K$145</f>
        <v>0</v>
      </c>
      <c r="Z145" s="148">
        <v>0</v>
      </c>
      <c r="AA145" s="149">
        <f>$Z$145*$K$145</f>
        <v>0</v>
      </c>
      <c r="AR145" s="6" t="s">
        <v>172</v>
      </c>
      <c r="AT145" s="6" t="s">
        <v>168</v>
      </c>
      <c r="AU145" s="6" t="s">
        <v>110</v>
      </c>
      <c r="AY145" s="6" t="s">
        <v>167</v>
      </c>
      <c r="BE145" s="93">
        <f>IF($U$145="základní",$N$145,0)</f>
        <v>0</v>
      </c>
      <c r="BF145" s="93">
        <f>IF($U$145="snížená",$N$145,0)</f>
        <v>0</v>
      </c>
      <c r="BG145" s="93">
        <f>IF($U$145="zákl. přenesená",$N$145,0)</f>
        <v>0</v>
      </c>
      <c r="BH145" s="93">
        <f>IF($U$145="sníž. přenesená",$N$145,0)</f>
        <v>0</v>
      </c>
      <c r="BI145" s="93">
        <f>IF($U$145="nulová",$N$145,0)</f>
        <v>0</v>
      </c>
      <c r="BJ145" s="6" t="s">
        <v>22</v>
      </c>
      <c r="BK145" s="93">
        <f>ROUND($L$145*$K$145,2)</f>
        <v>0</v>
      </c>
      <c r="BL145" s="6" t="s">
        <v>172</v>
      </c>
      <c r="BM145" s="6" t="s">
        <v>575</v>
      </c>
    </row>
    <row r="146" spans="2:65" s="6" customFormat="1" ht="27" customHeight="1">
      <c r="B146" s="23"/>
      <c r="C146" s="143" t="s">
        <v>27</v>
      </c>
      <c r="D146" s="143" t="s">
        <v>168</v>
      </c>
      <c r="E146" s="144" t="s">
        <v>576</v>
      </c>
      <c r="F146" s="216" t="s">
        <v>577</v>
      </c>
      <c r="G146" s="217"/>
      <c r="H146" s="217"/>
      <c r="I146" s="217"/>
      <c r="J146" s="145" t="s">
        <v>205</v>
      </c>
      <c r="K146" s="146">
        <v>156.74</v>
      </c>
      <c r="L146" s="218">
        <v>0</v>
      </c>
      <c r="M146" s="217"/>
      <c r="N146" s="219">
        <f>ROUND($L$146*$K$146,2)</f>
        <v>0</v>
      </c>
      <c r="O146" s="217"/>
      <c r="P146" s="217"/>
      <c r="Q146" s="217"/>
      <c r="R146" s="25"/>
      <c r="T146" s="147"/>
      <c r="U146" s="31" t="s">
        <v>45</v>
      </c>
      <c r="V146" s="24"/>
      <c r="W146" s="148">
        <f>$V$146*$K$146</f>
        <v>0</v>
      </c>
      <c r="X146" s="148">
        <v>0.00084</v>
      </c>
      <c r="Y146" s="148">
        <f>$X$146*$K$146</f>
        <v>0.13166160000000002</v>
      </c>
      <c r="Z146" s="148">
        <v>0</v>
      </c>
      <c r="AA146" s="149">
        <f>$Z$146*$K$146</f>
        <v>0</v>
      </c>
      <c r="AR146" s="6" t="s">
        <v>172</v>
      </c>
      <c r="AT146" s="6" t="s">
        <v>168</v>
      </c>
      <c r="AU146" s="6" t="s">
        <v>110</v>
      </c>
      <c r="AY146" s="6" t="s">
        <v>167</v>
      </c>
      <c r="BE146" s="93">
        <f>IF($U$146="základní",$N$146,0)</f>
        <v>0</v>
      </c>
      <c r="BF146" s="93">
        <f>IF($U$146="snížená",$N$146,0)</f>
        <v>0</v>
      </c>
      <c r="BG146" s="93">
        <f>IF($U$146="zákl. přenesená",$N$146,0)</f>
        <v>0</v>
      </c>
      <c r="BH146" s="93">
        <f>IF($U$146="sníž. přenesená",$N$146,0)</f>
        <v>0</v>
      </c>
      <c r="BI146" s="93">
        <f>IF($U$146="nulová",$N$146,0)</f>
        <v>0</v>
      </c>
      <c r="BJ146" s="6" t="s">
        <v>22</v>
      </c>
      <c r="BK146" s="93">
        <f>ROUND($L$146*$K$146,2)</f>
        <v>0</v>
      </c>
      <c r="BL146" s="6" t="s">
        <v>172</v>
      </c>
      <c r="BM146" s="6" t="s">
        <v>578</v>
      </c>
    </row>
    <row r="147" spans="2:65" s="6" customFormat="1" ht="27" customHeight="1">
      <c r="B147" s="23"/>
      <c r="C147" s="143" t="s">
        <v>210</v>
      </c>
      <c r="D147" s="143" t="s">
        <v>168</v>
      </c>
      <c r="E147" s="144" t="s">
        <v>579</v>
      </c>
      <c r="F147" s="216" t="s">
        <v>580</v>
      </c>
      <c r="G147" s="217"/>
      <c r="H147" s="217"/>
      <c r="I147" s="217"/>
      <c r="J147" s="145" t="s">
        <v>205</v>
      </c>
      <c r="K147" s="146">
        <v>156.74</v>
      </c>
      <c r="L147" s="218">
        <v>0</v>
      </c>
      <c r="M147" s="217"/>
      <c r="N147" s="219">
        <f>ROUND($L$147*$K$147,2)</f>
        <v>0</v>
      </c>
      <c r="O147" s="217"/>
      <c r="P147" s="217"/>
      <c r="Q147" s="217"/>
      <c r="R147" s="25"/>
      <c r="T147" s="147"/>
      <c r="U147" s="31" t="s">
        <v>45</v>
      </c>
      <c r="V147" s="24"/>
      <c r="W147" s="148">
        <f>$V$147*$K$147</f>
        <v>0</v>
      </c>
      <c r="X147" s="148">
        <v>0</v>
      </c>
      <c r="Y147" s="148">
        <f>$X$147*$K$147</f>
        <v>0</v>
      </c>
      <c r="Z147" s="148">
        <v>0</v>
      </c>
      <c r="AA147" s="149">
        <f>$Z$147*$K$147</f>
        <v>0</v>
      </c>
      <c r="AR147" s="6" t="s">
        <v>172</v>
      </c>
      <c r="AT147" s="6" t="s">
        <v>168</v>
      </c>
      <c r="AU147" s="6" t="s">
        <v>110</v>
      </c>
      <c r="AY147" s="6" t="s">
        <v>167</v>
      </c>
      <c r="BE147" s="93">
        <f>IF($U$147="základní",$N$147,0)</f>
        <v>0</v>
      </c>
      <c r="BF147" s="93">
        <f>IF($U$147="snížená",$N$147,0)</f>
        <v>0</v>
      </c>
      <c r="BG147" s="93">
        <f>IF($U$147="zákl. přenesená",$N$147,0)</f>
        <v>0</v>
      </c>
      <c r="BH147" s="93">
        <f>IF($U$147="sníž. přenesená",$N$147,0)</f>
        <v>0</v>
      </c>
      <c r="BI147" s="93">
        <f>IF($U$147="nulová",$N$147,0)</f>
        <v>0</v>
      </c>
      <c r="BJ147" s="6" t="s">
        <v>22</v>
      </c>
      <c r="BK147" s="93">
        <f>ROUND($L$147*$K$147,2)</f>
        <v>0</v>
      </c>
      <c r="BL147" s="6" t="s">
        <v>172</v>
      </c>
      <c r="BM147" s="6" t="s">
        <v>581</v>
      </c>
    </row>
    <row r="148" spans="2:65" s="6" customFormat="1" ht="27" customHeight="1">
      <c r="B148" s="23"/>
      <c r="C148" s="143" t="s">
        <v>214</v>
      </c>
      <c r="D148" s="143" t="s">
        <v>168</v>
      </c>
      <c r="E148" s="144" t="s">
        <v>582</v>
      </c>
      <c r="F148" s="216" t="s">
        <v>583</v>
      </c>
      <c r="G148" s="217"/>
      <c r="H148" s="217"/>
      <c r="I148" s="217"/>
      <c r="J148" s="145" t="s">
        <v>171</v>
      </c>
      <c r="K148" s="146">
        <v>221.28</v>
      </c>
      <c r="L148" s="218">
        <v>0</v>
      </c>
      <c r="M148" s="217"/>
      <c r="N148" s="219">
        <f>ROUND($L$148*$K$148,2)</f>
        <v>0</v>
      </c>
      <c r="O148" s="217"/>
      <c r="P148" s="217"/>
      <c r="Q148" s="217"/>
      <c r="R148" s="25"/>
      <c r="T148" s="147"/>
      <c r="U148" s="31" t="s">
        <v>45</v>
      </c>
      <c r="V148" s="24"/>
      <c r="W148" s="148">
        <f>$V$148*$K$148</f>
        <v>0</v>
      </c>
      <c r="X148" s="148">
        <v>0</v>
      </c>
      <c r="Y148" s="148">
        <f>$X$148*$K$148</f>
        <v>0</v>
      </c>
      <c r="Z148" s="148">
        <v>0</v>
      </c>
      <c r="AA148" s="149">
        <f>$Z$148*$K$148</f>
        <v>0</v>
      </c>
      <c r="AR148" s="6" t="s">
        <v>172</v>
      </c>
      <c r="AT148" s="6" t="s">
        <v>168</v>
      </c>
      <c r="AU148" s="6" t="s">
        <v>110</v>
      </c>
      <c r="AY148" s="6" t="s">
        <v>167</v>
      </c>
      <c r="BE148" s="93">
        <f>IF($U$148="základní",$N$148,0)</f>
        <v>0</v>
      </c>
      <c r="BF148" s="93">
        <f>IF($U$148="snížená",$N$148,0)</f>
        <v>0</v>
      </c>
      <c r="BG148" s="93">
        <f>IF($U$148="zákl. přenesená",$N$148,0)</f>
        <v>0</v>
      </c>
      <c r="BH148" s="93">
        <f>IF($U$148="sníž. přenesená",$N$148,0)</f>
        <v>0</v>
      </c>
      <c r="BI148" s="93">
        <f>IF($U$148="nulová",$N$148,0)</f>
        <v>0</v>
      </c>
      <c r="BJ148" s="6" t="s">
        <v>22</v>
      </c>
      <c r="BK148" s="93">
        <f>ROUND($L$148*$K$148,2)</f>
        <v>0</v>
      </c>
      <c r="BL148" s="6" t="s">
        <v>172</v>
      </c>
      <c r="BM148" s="6" t="s">
        <v>584</v>
      </c>
    </row>
    <row r="149" spans="2:65" s="6" customFormat="1" ht="27" customHeight="1">
      <c r="B149" s="23"/>
      <c r="C149" s="143" t="s">
        <v>218</v>
      </c>
      <c r="D149" s="143" t="s">
        <v>168</v>
      </c>
      <c r="E149" s="144" t="s">
        <v>585</v>
      </c>
      <c r="F149" s="216" t="s">
        <v>586</v>
      </c>
      <c r="G149" s="217"/>
      <c r="H149" s="217"/>
      <c r="I149" s="217"/>
      <c r="J149" s="145" t="s">
        <v>171</v>
      </c>
      <c r="K149" s="146">
        <v>41.08</v>
      </c>
      <c r="L149" s="218">
        <v>0</v>
      </c>
      <c r="M149" s="217"/>
      <c r="N149" s="219">
        <f>ROUND($L$149*$K$149,2)</f>
        <v>0</v>
      </c>
      <c r="O149" s="217"/>
      <c r="P149" s="217"/>
      <c r="Q149" s="217"/>
      <c r="R149" s="25"/>
      <c r="T149" s="147"/>
      <c r="U149" s="31" t="s">
        <v>45</v>
      </c>
      <c r="V149" s="24"/>
      <c r="W149" s="148">
        <f>$V$149*$K$149</f>
        <v>0</v>
      </c>
      <c r="X149" s="148">
        <v>0</v>
      </c>
      <c r="Y149" s="148">
        <f>$X$149*$K$149</f>
        <v>0</v>
      </c>
      <c r="Z149" s="148">
        <v>0</v>
      </c>
      <c r="AA149" s="149">
        <f>$Z$149*$K$149</f>
        <v>0</v>
      </c>
      <c r="AR149" s="6" t="s">
        <v>172</v>
      </c>
      <c r="AT149" s="6" t="s">
        <v>168</v>
      </c>
      <c r="AU149" s="6" t="s">
        <v>110</v>
      </c>
      <c r="AY149" s="6" t="s">
        <v>167</v>
      </c>
      <c r="BE149" s="93">
        <f>IF($U$149="základní",$N$149,0)</f>
        <v>0</v>
      </c>
      <c r="BF149" s="93">
        <f>IF($U$149="snížená",$N$149,0)</f>
        <v>0</v>
      </c>
      <c r="BG149" s="93">
        <f>IF($U$149="zákl. přenesená",$N$149,0)</f>
        <v>0</v>
      </c>
      <c r="BH149" s="93">
        <f>IF($U$149="sníž. přenesená",$N$149,0)</f>
        <v>0</v>
      </c>
      <c r="BI149" s="93">
        <f>IF($U$149="nulová",$N$149,0)</f>
        <v>0</v>
      </c>
      <c r="BJ149" s="6" t="s">
        <v>22</v>
      </c>
      <c r="BK149" s="93">
        <f>ROUND($L$149*$K$149,2)</f>
        <v>0</v>
      </c>
      <c r="BL149" s="6" t="s">
        <v>172</v>
      </c>
      <c r="BM149" s="6" t="s">
        <v>587</v>
      </c>
    </row>
    <row r="150" spans="2:65" s="6" customFormat="1" ht="39" customHeight="1">
      <c r="B150" s="23"/>
      <c r="C150" s="143" t="s">
        <v>222</v>
      </c>
      <c r="D150" s="143" t="s">
        <v>168</v>
      </c>
      <c r="E150" s="144" t="s">
        <v>588</v>
      </c>
      <c r="F150" s="216" t="s">
        <v>589</v>
      </c>
      <c r="G150" s="217"/>
      <c r="H150" s="217"/>
      <c r="I150" s="217"/>
      <c r="J150" s="145" t="s">
        <v>171</v>
      </c>
      <c r="K150" s="146">
        <v>1470.6</v>
      </c>
      <c r="L150" s="218">
        <v>0</v>
      </c>
      <c r="M150" s="217"/>
      <c r="N150" s="219">
        <f>ROUND($L$150*$K$150,2)</f>
        <v>0</v>
      </c>
      <c r="O150" s="217"/>
      <c r="P150" s="217"/>
      <c r="Q150" s="217"/>
      <c r="R150" s="25"/>
      <c r="T150" s="147"/>
      <c r="U150" s="31" t="s">
        <v>45</v>
      </c>
      <c r="V150" s="24"/>
      <c r="W150" s="148">
        <f>$V$150*$K$150</f>
        <v>0</v>
      </c>
      <c r="X150" s="148">
        <v>0</v>
      </c>
      <c r="Y150" s="148">
        <f>$X$150*$K$150</f>
        <v>0</v>
      </c>
      <c r="Z150" s="148">
        <v>0</v>
      </c>
      <c r="AA150" s="149">
        <f>$Z$150*$K$150</f>
        <v>0</v>
      </c>
      <c r="AR150" s="6" t="s">
        <v>172</v>
      </c>
      <c r="AT150" s="6" t="s">
        <v>168</v>
      </c>
      <c r="AU150" s="6" t="s">
        <v>110</v>
      </c>
      <c r="AY150" s="6" t="s">
        <v>167</v>
      </c>
      <c r="BE150" s="93">
        <f>IF($U$150="základní",$N$150,0)</f>
        <v>0</v>
      </c>
      <c r="BF150" s="93">
        <f>IF($U$150="snížená",$N$150,0)</f>
        <v>0</v>
      </c>
      <c r="BG150" s="93">
        <f>IF($U$150="zákl. přenesená",$N$150,0)</f>
        <v>0</v>
      </c>
      <c r="BH150" s="93">
        <f>IF($U$150="sníž. přenesená",$N$150,0)</f>
        <v>0</v>
      </c>
      <c r="BI150" s="93">
        <f>IF($U$150="nulová",$N$150,0)</f>
        <v>0</v>
      </c>
      <c r="BJ150" s="6" t="s">
        <v>22</v>
      </c>
      <c r="BK150" s="93">
        <f>ROUND($L$150*$K$150,2)</f>
        <v>0</v>
      </c>
      <c r="BL150" s="6" t="s">
        <v>172</v>
      </c>
      <c r="BM150" s="6" t="s">
        <v>590</v>
      </c>
    </row>
    <row r="151" spans="2:65" s="6" customFormat="1" ht="15.75" customHeight="1">
      <c r="B151" s="23"/>
      <c r="C151" s="143" t="s">
        <v>9</v>
      </c>
      <c r="D151" s="143" t="s">
        <v>168</v>
      </c>
      <c r="E151" s="144" t="s">
        <v>181</v>
      </c>
      <c r="F151" s="216" t="s">
        <v>182</v>
      </c>
      <c r="G151" s="217"/>
      <c r="H151" s="217"/>
      <c r="I151" s="217"/>
      <c r="J151" s="145" t="s">
        <v>171</v>
      </c>
      <c r="K151" s="146">
        <v>41.08</v>
      </c>
      <c r="L151" s="218">
        <v>0</v>
      </c>
      <c r="M151" s="217"/>
      <c r="N151" s="219">
        <f>ROUND($L$151*$K$151,2)</f>
        <v>0</v>
      </c>
      <c r="O151" s="217"/>
      <c r="P151" s="217"/>
      <c r="Q151" s="217"/>
      <c r="R151" s="25"/>
      <c r="T151" s="147"/>
      <c r="U151" s="31" t="s">
        <v>45</v>
      </c>
      <c r="V151" s="24"/>
      <c r="W151" s="148">
        <f>$V$151*$K$151</f>
        <v>0</v>
      </c>
      <c r="X151" s="148">
        <v>0</v>
      </c>
      <c r="Y151" s="148">
        <f>$X$151*$K$151</f>
        <v>0</v>
      </c>
      <c r="Z151" s="148">
        <v>0</v>
      </c>
      <c r="AA151" s="149">
        <f>$Z$151*$K$151</f>
        <v>0</v>
      </c>
      <c r="AR151" s="6" t="s">
        <v>172</v>
      </c>
      <c r="AT151" s="6" t="s">
        <v>168</v>
      </c>
      <c r="AU151" s="6" t="s">
        <v>110</v>
      </c>
      <c r="AY151" s="6" t="s">
        <v>167</v>
      </c>
      <c r="BE151" s="93">
        <f>IF($U$151="základní",$N$151,0)</f>
        <v>0</v>
      </c>
      <c r="BF151" s="93">
        <f>IF($U$151="snížená",$N$151,0)</f>
        <v>0</v>
      </c>
      <c r="BG151" s="93">
        <f>IF($U$151="zákl. přenesená",$N$151,0)</f>
        <v>0</v>
      </c>
      <c r="BH151" s="93">
        <f>IF($U$151="sníž. přenesená",$N$151,0)</f>
        <v>0</v>
      </c>
      <c r="BI151" s="93">
        <f>IF($U$151="nulová",$N$151,0)</f>
        <v>0</v>
      </c>
      <c r="BJ151" s="6" t="s">
        <v>22</v>
      </c>
      <c r="BK151" s="93">
        <f>ROUND($L$151*$K$151,2)</f>
        <v>0</v>
      </c>
      <c r="BL151" s="6" t="s">
        <v>172</v>
      </c>
      <c r="BM151" s="6" t="s">
        <v>591</v>
      </c>
    </row>
    <row r="152" spans="2:65" s="6" customFormat="1" ht="15.75" customHeight="1">
      <c r="B152" s="23"/>
      <c r="C152" s="143" t="s">
        <v>230</v>
      </c>
      <c r="D152" s="143" t="s">
        <v>168</v>
      </c>
      <c r="E152" s="144" t="s">
        <v>189</v>
      </c>
      <c r="F152" s="216" t="s">
        <v>190</v>
      </c>
      <c r="G152" s="217"/>
      <c r="H152" s="217"/>
      <c r="I152" s="217"/>
      <c r="J152" s="145" t="s">
        <v>171</v>
      </c>
      <c r="K152" s="146">
        <v>41.08</v>
      </c>
      <c r="L152" s="218">
        <v>0</v>
      </c>
      <c r="M152" s="217"/>
      <c r="N152" s="219">
        <f>ROUND($L$152*$K$152,2)</f>
        <v>0</v>
      </c>
      <c r="O152" s="217"/>
      <c r="P152" s="217"/>
      <c r="Q152" s="217"/>
      <c r="R152" s="25"/>
      <c r="T152" s="147"/>
      <c r="U152" s="31" t="s">
        <v>45</v>
      </c>
      <c r="V152" s="24"/>
      <c r="W152" s="148">
        <f>$V$152*$K$152</f>
        <v>0</v>
      </c>
      <c r="X152" s="148">
        <v>0</v>
      </c>
      <c r="Y152" s="148">
        <f>$X$152*$K$152</f>
        <v>0</v>
      </c>
      <c r="Z152" s="148">
        <v>0</v>
      </c>
      <c r="AA152" s="149">
        <f>$Z$152*$K$152</f>
        <v>0</v>
      </c>
      <c r="AR152" s="6" t="s">
        <v>172</v>
      </c>
      <c r="AT152" s="6" t="s">
        <v>168</v>
      </c>
      <c r="AU152" s="6" t="s">
        <v>110</v>
      </c>
      <c r="AY152" s="6" t="s">
        <v>167</v>
      </c>
      <c r="BE152" s="93">
        <f>IF($U$152="základní",$N$152,0)</f>
        <v>0</v>
      </c>
      <c r="BF152" s="93">
        <f>IF($U$152="snížená",$N$152,0)</f>
        <v>0</v>
      </c>
      <c r="BG152" s="93">
        <f>IF($U$152="zákl. přenesená",$N$152,0)</f>
        <v>0</v>
      </c>
      <c r="BH152" s="93">
        <f>IF($U$152="sníž. přenesená",$N$152,0)</f>
        <v>0</v>
      </c>
      <c r="BI152" s="93">
        <f>IF($U$152="nulová",$N$152,0)</f>
        <v>0</v>
      </c>
      <c r="BJ152" s="6" t="s">
        <v>22</v>
      </c>
      <c r="BK152" s="93">
        <f>ROUND($L$152*$K$152,2)</f>
        <v>0</v>
      </c>
      <c r="BL152" s="6" t="s">
        <v>172</v>
      </c>
      <c r="BM152" s="6" t="s">
        <v>592</v>
      </c>
    </row>
    <row r="153" spans="2:65" s="6" customFormat="1" ht="27" customHeight="1">
      <c r="B153" s="23"/>
      <c r="C153" s="143" t="s">
        <v>235</v>
      </c>
      <c r="D153" s="143" t="s">
        <v>168</v>
      </c>
      <c r="E153" s="144" t="s">
        <v>593</v>
      </c>
      <c r="F153" s="216" t="s">
        <v>594</v>
      </c>
      <c r="G153" s="217"/>
      <c r="H153" s="217"/>
      <c r="I153" s="217"/>
      <c r="J153" s="145" t="s">
        <v>200</v>
      </c>
      <c r="K153" s="146">
        <v>98.04</v>
      </c>
      <c r="L153" s="218">
        <v>0</v>
      </c>
      <c r="M153" s="217"/>
      <c r="N153" s="219">
        <f>ROUND($L$153*$K$153,2)</f>
        <v>0</v>
      </c>
      <c r="O153" s="217"/>
      <c r="P153" s="217"/>
      <c r="Q153" s="217"/>
      <c r="R153" s="25"/>
      <c r="T153" s="147"/>
      <c r="U153" s="31" t="s">
        <v>45</v>
      </c>
      <c r="V153" s="24"/>
      <c r="W153" s="148">
        <f>$V$153*$K$153</f>
        <v>0</v>
      </c>
      <c r="X153" s="148">
        <v>0</v>
      </c>
      <c r="Y153" s="148">
        <f>$X$153*$K$153</f>
        <v>0</v>
      </c>
      <c r="Z153" s="148">
        <v>0</v>
      </c>
      <c r="AA153" s="149">
        <f>$Z$153*$K$153</f>
        <v>0</v>
      </c>
      <c r="AR153" s="6" t="s">
        <v>172</v>
      </c>
      <c r="AT153" s="6" t="s">
        <v>168</v>
      </c>
      <c r="AU153" s="6" t="s">
        <v>110</v>
      </c>
      <c r="AY153" s="6" t="s">
        <v>167</v>
      </c>
      <c r="BE153" s="93">
        <f>IF($U$153="základní",$N$153,0)</f>
        <v>0</v>
      </c>
      <c r="BF153" s="93">
        <f>IF($U$153="snížená",$N$153,0)</f>
        <v>0</v>
      </c>
      <c r="BG153" s="93">
        <f>IF($U$153="zákl. přenesená",$N$153,0)</f>
        <v>0</v>
      </c>
      <c r="BH153" s="93">
        <f>IF($U$153="sníž. přenesená",$N$153,0)</f>
        <v>0</v>
      </c>
      <c r="BI153" s="93">
        <f>IF($U$153="nulová",$N$153,0)</f>
        <v>0</v>
      </c>
      <c r="BJ153" s="6" t="s">
        <v>22</v>
      </c>
      <c r="BK153" s="93">
        <f>ROUND($L$153*$K$153,2)</f>
        <v>0</v>
      </c>
      <c r="BL153" s="6" t="s">
        <v>172</v>
      </c>
      <c r="BM153" s="6" t="s">
        <v>595</v>
      </c>
    </row>
    <row r="154" spans="2:65" s="6" customFormat="1" ht="27" customHeight="1">
      <c r="B154" s="23"/>
      <c r="C154" s="143" t="s">
        <v>239</v>
      </c>
      <c r="D154" s="143" t="s">
        <v>168</v>
      </c>
      <c r="E154" s="144" t="s">
        <v>596</v>
      </c>
      <c r="F154" s="216" t="s">
        <v>597</v>
      </c>
      <c r="G154" s="217"/>
      <c r="H154" s="217"/>
      <c r="I154" s="217"/>
      <c r="J154" s="145" t="s">
        <v>171</v>
      </c>
      <c r="K154" s="146">
        <v>202.84</v>
      </c>
      <c r="L154" s="218">
        <v>0</v>
      </c>
      <c r="M154" s="217"/>
      <c r="N154" s="219">
        <f>ROUND($L$154*$K$154,2)</f>
        <v>0</v>
      </c>
      <c r="O154" s="217"/>
      <c r="P154" s="217"/>
      <c r="Q154" s="217"/>
      <c r="R154" s="25"/>
      <c r="T154" s="147"/>
      <c r="U154" s="31" t="s">
        <v>45</v>
      </c>
      <c r="V154" s="24"/>
      <c r="W154" s="148">
        <f>$V$154*$K$154</f>
        <v>0</v>
      </c>
      <c r="X154" s="148">
        <v>0</v>
      </c>
      <c r="Y154" s="148">
        <f>$X$154*$K$154</f>
        <v>0</v>
      </c>
      <c r="Z154" s="148">
        <v>0</v>
      </c>
      <c r="AA154" s="149">
        <f>$Z$154*$K$154</f>
        <v>0</v>
      </c>
      <c r="AR154" s="6" t="s">
        <v>172</v>
      </c>
      <c r="AT154" s="6" t="s">
        <v>168</v>
      </c>
      <c r="AU154" s="6" t="s">
        <v>110</v>
      </c>
      <c r="AY154" s="6" t="s">
        <v>167</v>
      </c>
      <c r="BE154" s="93">
        <f>IF($U$154="základní",$N$154,0)</f>
        <v>0</v>
      </c>
      <c r="BF154" s="93">
        <f>IF($U$154="snížená",$N$154,0)</f>
        <v>0</v>
      </c>
      <c r="BG154" s="93">
        <f>IF($U$154="zákl. přenesená",$N$154,0)</f>
        <v>0</v>
      </c>
      <c r="BH154" s="93">
        <f>IF($U$154="sníž. přenesená",$N$154,0)</f>
        <v>0</v>
      </c>
      <c r="BI154" s="93">
        <f>IF($U$154="nulová",$N$154,0)</f>
        <v>0</v>
      </c>
      <c r="BJ154" s="6" t="s">
        <v>22</v>
      </c>
      <c r="BK154" s="93">
        <f>ROUND($L$154*$K$154,2)</f>
        <v>0</v>
      </c>
      <c r="BL154" s="6" t="s">
        <v>172</v>
      </c>
      <c r="BM154" s="6" t="s">
        <v>598</v>
      </c>
    </row>
    <row r="155" spans="2:65" s="6" customFormat="1" ht="27" customHeight="1">
      <c r="B155" s="23"/>
      <c r="C155" s="143" t="s">
        <v>243</v>
      </c>
      <c r="D155" s="143" t="s">
        <v>168</v>
      </c>
      <c r="E155" s="144" t="s">
        <v>599</v>
      </c>
      <c r="F155" s="216" t="s">
        <v>600</v>
      </c>
      <c r="G155" s="217"/>
      <c r="H155" s="217"/>
      <c r="I155" s="217"/>
      <c r="J155" s="145" t="s">
        <v>171</v>
      </c>
      <c r="K155" s="146">
        <v>20.36</v>
      </c>
      <c r="L155" s="218">
        <v>0</v>
      </c>
      <c r="M155" s="217"/>
      <c r="N155" s="219">
        <f>ROUND($L$155*$K$155,2)</f>
        <v>0</v>
      </c>
      <c r="O155" s="217"/>
      <c r="P155" s="217"/>
      <c r="Q155" s="217"/>
      <c r="R155" s="25"/>
      <c r="T155" s="147"/>
      <c r="U155" s="31" t="s">
        <v>45</v>
      </c>
      <c r="V155" s="24"/>
      <c r="W155" s="148">
        <f>$V$155*$K$155</f>
        <v>0</v>
      </c>
      <c r="X155" s="148">
        <v>0</v>
      </c>
      <c r="Y155" s="148">
        <f>$X$155*$K$155</f>
        <v>0</v>
      </c>
      <c r="Z155" s="148">
        <v>0</v>
      </c>
      <c r="AA155" s="149">
        <f>$Z$155*$K$155</f>
        <v>0</v>
      </c>
      <c r="AR155" s="6" t="s">
        <v>172</v>
      </c>
      <c r="AT155" s="6" t="s">
        <v>168</v>
      </c>
      <c r="AU155" s="6" t="s">
        <v>110</v>
      </c>
      <c r="AY155" s="6" t="s">
        <v>167</v>
      </c>
      <c r="BE155" s="93">
        <f>IF($U$155="základní",$N$155,0)</f>
        <v>0</v>
      </c>
      <c r="BF155" s="93">
        <f>IF($U$155="snížená",$N$155,0)</f>
        <v>0</v>
      </c>
      <c r="BG155" s="93">
        <f>IF($U$155="zákl. přenesená",$N$155,0)</f>
        <v>0</v>
      </c>
      <c r="BH155" s="93">
        <f>IF($U$155="sníž. přenesená",$N$155,0)</f>
        <v>0</v>
      </c>
      <c r="BI155" s="93">
        <f>IF($U$155="nulová",$N$155,0)</f>
        <v>0</v>
      </c>
      <c r="BJ155" s="6" t="s">
        <v>22</v>
      </c>
      <c r="BK155" s="93">
        <f>ROUND($L$155*$K$155,2)</f>
        <v>0</v>
      </c>
      <c r="BL155" s="6" t="s">
        <v>172</v>
      </c>
      <c r="BM155" s="6" t="s">
        <v>601</v>
      </c>
    </row>
    <row r="156" spans="2:65" s="6" customFormat="1" ht="15.75" customHeight="1">
      <c r="B156" s="23"/>
      <c r="C156" s="150" t="s">
        <v>247</v>
      </c>
      <c r="D156" s="150" t="s">
        <v>197</v>
      </c>
      <c r="E156" s="151" t="s">
        <v>602</v>
      </c>
      <c r="F156" s="220" t="s">
        <v>603</v>
      </c>
      <c r="G156" s="221"/>
      <c r="H156" s="221"/>
      <c r="I156" s="221"/>
      <c r="J156" s="152" t="s">
        <v>200</v>
      </c>
      <c r="K156" s="153">
        <v>36.88</v>
      </c>
      <c r="L156" s="222">
        <v>0</v>
      </c>
      <c r="M156" s="221"/>
      <c r="N156" s="223">
        <f>ROUND($L$156*$K$156,2)</f>
        <v>0</v>
      </c>
      <c r="O156" s="217"/>
      <c r="P156" s="217"/>
      <c r="Q156" s="217"/>
      <c r="R156" s="25"/>
      <c r="T156" s="147"/>
      <c r="U156" s="31" t="s">
        <v>45</v>
      </c>
      <c r="V156" s="24"/>
      <c r="W156" s="148">
        <f>$V$156*$K$156</f>
        <v>0</v>
      </c>
      <c r="X156" s="148">
        <v>1</v>
      </c>
      <c r="Y156" s="148">
        <f>$X$156*$K$156</f>
        <v>36.88</v>
      </c>
      <c r="Z156" s="148">
        <v>0</v>
      </c>
      <c r="AA156" s="149">
        <f>$Z$156*$K$156</f>
        <v>0</v>
      </c>
      <c r="AR156" s="6" t="s">
        <v>196</v>
      </c>
      <c r="AT156" s="6" t="s">
        <v>197</v>
      </c>
      <c r="AU156" s="6" t="s">
        <v>110</v>
      </c>
      <c r="AY156" s="6" t="s">
        <v>167</v>
      </c>
      <c r="BE156" s="93">
        <f>IF($U$156="základní",$N$156,0)</f>
        <v>0</v>
      </c>
      <c r="BF156" s="93">
        <f>IF($U$156="snížená",$N$156,0)</f>
        <v>0</v>
      </c>
      <c r="BG156" s="93">
        <f>IF($U$156="zákl. přenesená",$N$156,0)</f>
        <v>0</v>
      </c>
      <c r="BH156" s="93">
        <f>IF($U$156="sníž. přenesená",$N$156,0)</f>
        <v>0</v>
      </c>
      <c r="BI156" s="93">
        <f>IF($U$156="nulová",$N$156,0)</f>
        <v>0</v>
      </c>
      <c r="BJ156" s="6" t="s">
        <v>22</v>
      </c>
      <c r="BK156" s="93">
        <f>ROUND($L$156*$K$156,2)</f>
        <v>0</v>
      </c>
      <c r="BL156" s="6" t="s">
        <v>172</v>
      </c>
      <c r="BM156" s="6" t="s">
        <v>604</v>
      </c>
    </row>
    <row r="157" spans="2:65" s="6" customFormat="1" ht="15.75" customHeight="1">
      <c r="B157" s="23"/>
      <c r="C157" s="150" t="s">
        <v>8</v>
      </c>
      <c r="D157" s="150" t="s">
        <v>197</v>
      </c>
      <c r="E157" s="151" t="s">
        <v>605</v>
      </c>
      <c r="F157" s="220" t="s">
        <v>606</v>
      </c>
      <c r="G157" s="221"/>
      <c r="H157" s="221"/>
      <c r="I157" s="221"/>
      <c r="J157" s="152" t="s">
        <v>200</v>
      </c>
      <c r="K157" s="153">
        <v>5.12</v>
      </c>
      <c r="L157" s="222">
        <v>0</v>
      </c>
      <c r="M157" s="221"/>
      <c r="N157" s="223">
        <f>ROUND($L$157*$K$157,2)</f>
        <v>0</v>
      </c>
      <c r="O157" s="217"/>
      <c r="P157" s="217"/>
      <c r="Q157" s="217"/>
      <c r="R157" s="25"/>
      <c r="T157" s="147"/>
      <c r="U157" s="31" t="s">
        <v>45</v>
      </c>
      <c r="V157" s="24"/>
      <c r="W157" s="148">
        <f>$V$157*$K$157</f>
        <v>0</v>
      </c>
      <c r="X157" s="148">
        <v>1</v>
      </c>
      <c r="Y157" s="148">
        <f>$X$157*$K$157</f>
        <v>5.12</v>
      </c>
      <c r="Z157" s="148">
        <v>0</v>
      </c>
      <c r="AA157" s="149">
        <f>$Z$157*$K$157</f>
        <v>0</v>
      </c>
      <c r="AR157" s="6" t="s">
        <v>196</v>
      </c>
      <c r="AT157" s="6" t="s">
        <v>197</v>
      </c>
      <c r="AU157" s="6" t="s">
        <v>110</v>
      </c>
      <c r="AY157" s="6" t="s">
        <v>167</v>
      </c>
      <c r="BE157" s="93">
        <f>IF($U$157="základní",$N$157,0)</f>
        <v>0</v>
      </c>
      <c r="BF157" s="93">
        <f>IF($U$157="snížená",$N$157,0)</f>
        <v>0</v>
      </c>
      <c r="BG157" s="93">
        <f>IF($U$157="zákl. přenesená",$N$157,0)</f>
        <v>0</v>
      </c>
      <c r="BH157" s="93">
        <f>IF($U$157="sníž. přenesená",$N$157,0)</f>
        <v>0</v>
      </c>
      <c r="BI157" s="93">
        <f>IF($U$157="nulová",$N$157,0)</f>
        <v>0</v>
      </c>
      <c r="BJ157" s="6" t="s">
        <v>22</v>
      </c>
      <c r="BK157" s="93">
        <f>ROUND($L$157*$K$157,2)</f>
        <v>0</v>
      </c>
      <c r="BL157" s="6" t="s">
        <v>172</v>
      </c>
      <c r="BM157" s="6" t="s">
        <v>607</v>
      </c>
    </row>
    <row r="158" spans="2:65" s="6" customFormat="1" ht="27" customHeight="1">
      <c r="B158" s="23"/>
      <c r="C158" s="143" t="s">
        <v>254</v>
      </c>
      <c r="D158" s="143" t="s">
        <v>168</v>
      </c>
      <c r="E158" s="144" t="s">
        <v>608</v>
      </c>
      <c r="F158" s="216" t="s">
        <v>609</v>
      </c>
      <c r="G158" s="217"/>
      <c r="H158" s="217"/>
      <c r="I158" s="217"/>
      <c r="J158" s="145" t="s">
        <v>205</v>
      </c>
      <c r="K158" s="146">
        <v>54.75</v>
      </c>
      <c r="L158" s="218">
        <v>0</v>
      </c>
      <c r="M158" s="217"/>
      <c r="N158" s="219">
        <f>ROUND($L$158*$K$158,2)</f>
        <v>0</v>
      </c>
      <c r="O158" s="217"/>
      <c r="P158" s="217"/>
      <c r="Q158" s="217"/>
      <c r="R158" s="25"/>
      <c r="T158" s="147"/>
      <c r="U158" s="31" t="s">
        <v>45</v>
      </c>
      <c r="V158" s="24"/>
      <c r="W158" s="148">
        <f>$V$158*$K$158</f>
        <v>0</v>
      </c>
      <c r="X158" s="148">
        <v>0</v>
      </c>
      <c r="Y158" s="148">
        <f>$X$158*$K$158</f>
        <v>0</v>
      </c>
      <c r="Z158" s="148">
        <v>0</v>
      </c>
      <c r="AA158" s="149">
        <f>$Z$158*$K$158</f>
        <v>0</v>
      </c>
      <c r="AR158" s="6" t="s">
        <v>172</v>
      </c>
      <c r="AT158" s="6" t="s">
        <v>168</v>
      </c>
      <c r="AU158" s="6" t="s">
        <v>110</v>
      </c>
      <c r="AY158" s="6" t="s">
        <v>167</v>
      </c>
      <c r="BE158" s="93">
        <f>IF($U$158="základní",$N$158,0)</f>
        <v>0</v>
      </c>
      <c r="BF158" s="93">
        <f>IF($U$158="snížená",$N$158,0)</f>
        <v>0</v>
      </c>
      <c r="BG158" s="93">
        <f>IF($U$158="zákl. přenesená",$N$158,0)</f>
        <v>0</v>
      </c>
      <c r="BH158" s="93">
        <f>IF($U$158="sníž. přenesená",$N$158,0)</f>
        <v>0</v>
      </c>
      <c r="BI158" s="93">
        <f>IF($U$158="nulová",$N$158,0)</f>
        <v>0</v>
      </c>
      <c r="BJ158" s="6" t="s">
        <v>22</v>
      </c>
      <c r="BK158" s="93">
        <f>ROUND($L$158*$K$158,2)</f>
        <v>0</v>
      </c>
      <c r="BL158" s="6" t="s">
        <v>172</v>
      </c>
      <c r="BM158" s="6" t="s">
        <v>610</v>
      </c>
    </row>
    <row r="159" spans="2:65" s="6" customFormat="1" ht="15.75" customHeight="1">
      <c r="B159" s="23"/>
      <c r="C159" s="143" t="s">
        <v>259</v>
      </c>
      <c r="D159" s="143" t="s">
        <v>168</v>
      </c>
      <c r="E159" s="144" t="s">
        <v>611</v>
      </c>
      <c r="F159" s="216" t="s">
        <v>612</v>
      </c>
      <c r="G159" s="217"/>
      <c r="H159" s="217"/>
      <c r="I159" s="217"/>
      <c r="J159" s="145" t="s">
        <v>205</v>
      </c>
      <c r="K159" s="146">
        <v>54.75</v>
      </c>
      <c r="L159" s="218">
        <v>0</v>
      </c>
      <c r="M159" s="217"/>
      <c r="N159" s="219">
        <f>ROUND($L$159*$K$159,2)</f>
        <v>0</v>
      </c>
      <c r="O159" s="217"/>
      <c r="P159" s="217"/>
      <c r="Q159" s="217"/>
      <c r="R159" s="25"/>
      <c r="T159" s="147"/>
      <c r="U159" s="31" t="s">
        <v>45</v>
      </c>
      <c r="V159" s="24"/>
      <c r="W159" s="148">
        <f>$V$159*$K$159</f>
        <v>0</v>
      </c>
      <c r="X159" s="148">
        <v>0</v>
      </c>
      <c r="Y159" s="148">
        <f>$X$159*$K$159</f>
        <v>0</v>
      </c>
      <c r="Z159" s="148">
        <v>0</v>
      </c>
      <c r="AA159" s="149">
        <f>$Z$159*$K$159</f>
        <v>0</v>
      </c>
      <c r="AR159" s="6" t="s">
        <v>172</v>
      </c>
      <c r="AT159" s="6" t="s">
        <v>168</v>
      </c>
      <c r="AU159" s="6" t="s">
        <v>110</v>
      </c>
      <c r="AY159" s="6" t="s">
        <v>167</v>
      </c>
      <c r="BE159" s="93">
        <f>IF($U$159="základní",$N$159,0)</f>
        <v>0</v>
      </c>
      <c r="BF159" s="93">
        <f>IF($U$159="snížená",$N$159,0)</f>
        <v>0</v>
      </c>
      <c r="BG159" s="93">
        <f>IF($U$159="zákl. přenesená",$N$159,0)</f>
        <v>0</v>
      </c>
      <c r="BH159" s="93">
        <f>IF($U$159="sníž. přenesená",$N$159,0)</f>
        <v>0</v>
      </c>
      <c r="BI159" s="93">
        <f>IF($U$159="nulová",$N$159,0)</f>
        <v>0</v>
      </c>
      <c r="BJ159" s="6" t="s">
        <v>22</v>
      </c>
      <c r="BK159" s="93">
        <f>ROUND($L$159*$K$159,2)</f>
        <v>0</v>
      </c>
      <c r="BL159" s="6" t="s">
        <v>172</v>
      </c>
      <c r="BM159" s="6" t="s">
        <v>613</v>
      </c>
    </row>
    <row r="160" spans="2:63" s="132" customFormat="1" ht="30.75" customHeight="1">
      <c r="B160" s="133"/>
      <c r="C160" s="134"/>
      <c r="D160" s="142" t="s">
        <v>123</v>
      </c>
      <c r="E160" s="142"/>
      <c r="F160" s="142"/>
      <c r="G160" s="142"/>
      <c r="H160" s="142"/>
      <c r="I160" s="142"/>
      <c r="J160" s="142"/>
      <c r="K160" s="142"/>
      <c r="L160" s="142"/>
      <c r="M160" s="142"/>
      <c r="N160" s="228">
        <f>$BK$160</f>
        <v>0</v>
      </c>
      <c r="O160" s="227"/>
      <c r="P160" s="227"/>
      <c r="Q160" s="227"/>
      <c r="R160" s="136"/>
      <c r="T160" s="137"/>
      <c r="U160" s="134"/>
      <c r="V160" s="134"/>
      <c r="W160" s="138">
        <f>SUM($W$161:$W$166)</f>
        <v>0</v>
      </c>
      <c r="X160" s="134"/>
      <c r="Y160" s="138">
        <f>SUM($Y$161:$Y$166)</f>
        <v>0.41001340000000003</v>
      </c>
      <c r="Z160" s="134"/>
      <c r="AA160" s="139">
        <f>SUM($AA$161:$AA$166)</f>
        <v>0</v>
      </c>
      <c r="AR160" s="140" t="s">
        <v>22</v>
      </c>
      <c r="AT160" s="140" t="s">
        <v>79</v>
      </c>
      <c r="AU160" s="140" t="s">
        <v>22</v>
      </c>
      <c r="AY160" s="140" t="s">
        <v>167</v>
      </c>
      <c r="BK160" s="141">
        <f>SUM($BK$161:$BK$166)</f>
        <v>0</v>
      </c>
    </row>
    <row r="161" spans="2:65" s="6" customFormat="1" ht="27" customHeight="1">
      <c r="B161" s="23"/>
      <c r="C161" s="143" t="s">
        <v>263</v>
      </c>
      <c r="D161" s="143" t="s">
        <v>168</v>
      </c>
      <c r="E161" s="144" t="s">
        <v>614</v>
      </c>
      <c r="F161" s="216" t="s">
        <v>615</v>
      </c>
      <c r="G161" s="217"/>
      <c r="H161" s="217"/>
      <c r="I161" s="217"/>
      <c r="J161" s="145" t="s">
        <v>225</v>
      </c>
      <c r="K161" s="146">
        <v>92.2</v>
      </c>
      <c r="L161" s="218">
        <v>0</v>
      </c>
      <c r="M161" s="217"/>
      <c r="N161" s="219">
        <f>ROUND($L$161*$K$161,2)</f>
        <v>0</v>
      </c>
      <c r="O161" s="217"/>
      <c r="P161" s="217"/>
      <c r="Q161" s="217"/>
      <c r="R161" s="25"/>
      <c r="T161" s="147"/>
      <c r="U161" s="31" t="s">
        <v>45</v>
      </c>
      <c r="V161" s="24"/>
      <c r="W161" s="148">
        <f>$V$161*$K$161</f>
        <v>0</v>
      </c>
      <c r="X161" s="148">
        <v>0.00073</v>
      </c>
      <c r="Y161" s="148">
        <f>$X$161*$K$161</f>
        <v>0.067306</v>
      </c>
      <c r="Z161" s="148">
        <v>0</v>
      </c>
      <c r="AA161" s="149">
        <f>$Z$161*$K$161</f>
        <v>0</v>
      </c>
      <c r="AR161" s="6" t="s">
        <v>172</v>
      </c>
      <c r="AT161" s="6" t="s">
        <v>168</v>
      </c>
      <c r="AU161" s="6" t="s">
        <v>110</v>
      </c>
      <c r="AY161" s="6" t="s">
        <v>167</v>
      </c>
      <c r="BE161" s="93">
        <f>IF($U$161="základní",$N$161,0)</f>
        <v>0</v>
      </c>
      <c r="BF161" s="93">
        <f>IF($U$161="snížená",$N$161,0)</f>
        <v>0</v>
      </c>
      <c r="BG161" s="93">
        <f>IF($U$161="zákl. přenesená",$N$161,0)</f>
        <v>0</v>
      </c>
      <c r="BH161" s="93">
        <f>IF($U$161="sníž. přenesená",$N$161,0)</f>
        <v>0</v>
      </c>
      <c r="BI161" s="93">
        <f>IF($U$161="nulová",$N$161,0)</f>
        <v>0</v>
      </c>
      <c r="BJ161" s="6" t="s">
        <v>22</v>
      </c>
      <c r="BK161" s="93">
        <f>ROUND($L$161*$K$161,2)</f>
        <v>0</v>
      </c>
      <c r="BL161" s="6" t="s">
        <v>172</v>
      </c>
      <c r="BM161" s="6" t="s">
        <v>616</v>
      </c>
    </row>
    <row r="162" spans="2:65" s="6" customFormat="1" ht="27" customHeight="1">
      <c r="B162" s="23"/>
      <c r="C162" s="143" t="s">
        <v>267</v>
      </c>
      <c r="D162" s="143" t="s">
        <v>168</v>
      </c>
      <c r="E162" s="144" t="s">
        <v>617</v>
      </c>
      <c r="F162" s="216" t="s">
        <v>618</v>
      </c>
      <c r="G162" s="217"/>
      <c r="H162" s="217"/>
      <c r="I162" s="217"/>
      <c r="J162" s="145" t="s">
        <v>225</v>
      </c>
      <c r="K162" s="146">
        <v>92.2</v>
      </c>
      <c r="L162" s="218">
        <v>0</v>
      </c>
      <c r="M162" s="217"/>
      <c r="N162" s="219">
        <f>ROUND($L$162*$K$162,2)</f>
        <v>0</v>
      </c>
      <c r="O162" s="217"/>
      <c r="P162" s="217"/>
      <c r="Q162" s="217"/>
      <c r="R162" s="25"/>
      <c r="T162" s="147"/>
      <c r="U162" s="31" t="s">
        <v>45</v>
      </c>
      <c r="V162" s="24"/>
      <c r="W162" s="148">
        <f>$V$162*$K$162</f>
        <v>0</v>
      </c>
      <c r="X162" s="148">
        <v>0.00016</v>
      </c>
      <c r="Y162" s="148">
        <f>$X$162*$K$162</f>
        <v>0.014752000000000001</v>
      </c>
      <c r="Z162" s="148">
        <v>0</v>
      </c>
      <c r="AA162" s="149">
        <f>$Z$162*$K$162</f>
        <v>0</v>
      </c>
      <c r="AR162" s="6" t="s">
        <v>172</v>
      </c>
      <c r="AT162" s="6" t="s">
        <v>168</v>
      </c>
      <c r="AU162" s="6" t="s">
        <v>110</v>
      </c>
      <c r="AY162" s="6" t="s">
        <v>167</v>
      </c>
      <c r="BE162" s="93">
        <f>IF($U$162="základní",$N$162,0)</f>
        <v>0</v>
      </c>
      <c r="BF162" s="93">
        <f>IF($U$162="snížená",$N$162,0)</f>
        <v>0</v>
      </c>
      <c r="BG162" s="93">
        <f>IF($U$162="zákl. přenesená",$N$162,0)</f>
        <v>0</v>
      </c>
      <c r="BH162" s="93">
        <f>IF($U$162="sníž. přenesená",$N$162,0)</f>
        <v>0</v>
      </c>
      <c r="BI162" s="93">
        <f>IF($U$162="nulová",$N$162,0)</f>
        <v>0</v>
      </c>
      <c r="BJ162" s="6" t="s">
        <v>22</v>
      </c>
      <c r="BK162" s="93">
        <f>ROUND($L$162*$K$162,2)</f>
        <v>0</v>
      </c>
      <c r="BL162" s="6" t="s">
        <v>172</v>
      </c>
      <c r="BM162" s="6" t="s">
        <v>619</v>
      </c>
    </row>
    <row r="163" spans="2:65" s="6" customFormat="1" ht="27" customHeight="1">
      <c r="B163" s="23"/>
      <c r="C163" s="143" t="s">
        <v>271</v>
      </c>
      <c r="D163" s="143" t="s">
        <v>168</v>
      </c>
      <c r="E163" s="144" t="s">
        <v>620</v>
      </c>
      <c r="F163" s="216" t="s">
        <v>621</v>
      </c>
      <c r="G163" s="217"/>
      <c r="H163" s="217"/>
      <c r="I163" s="217"/>
      <c r="J163" s="145" t="s">
        <v>205</v>
      </c>
      <c r="K163" s="146">
        <v>221.28</v>
      </c>
      <c r="L163" s="218">
        <v>0</v>
      </c>
      <c r="M163" s="217"/>
      <c r="N163" s="219">
        <f>ROUND($L$163*$K$163,2)</f>
        <v>0</v>
      </c>
      <c r="O163" s="217"/>
      <c r="P163" s="217"/>
      <c r="Q163" s="217"/>
      <c r="R163" s="25"/>
      <c r="T163" s="147"/>
      <c r="U163" s="31" t="s">
        <v>45</v>
      </c>
      <c r="V163" s="24"/>
      <c r="W163" s="148">
        <f>$V$163*$K$163</f>
        <v>0</v>
      </c>
      <c r="X163" s="148">
        <v>0.00014</v>
      </c>
      <c r="Y163" s="148">
        <f>$X$163*$K$163</f>
        <v>0.0309792</v>
      </c>
      <c r="Z163" s="148">
        <v>0</v>
      </c>
      <c r="AA163" s="149">
        <f>$Z$163*$K$163</f>
        <v>0</v>
      </c>
      <c r="AR163" s="6" t="s">
        <v>172</v>
      </c>
      <c r="AT163" s="6" t="s">
        <v>168</v>
      </c>
      <c r="AU163" s="6" t="s">
        <v>110</v>
      </c>
      <c r="AY163" s="6" t="s">
        <v>167</v>
      </c>
      <c r="BE163" s="93">
        <f>IF($U$163="základní",$N$163,0)</f>
        <v>0</v>
      </c>
      <c r="BF163" s="93">
        <f>IF($U$163="snížená",$N$163,0)</f>
        <v>0</v>
      </c>
      <c r="BG163" s="93">
        <f>IF($U$163="zákl. přenesená",$N$163,0)</f>
        <v>0</v>
      </c>
      <c r="BH163" s="93">
        <f>IF($U$163="sníž. přenesená",$N$163,0)</f>
        <v>0</v>
      </c>
      <c r="BI163" s="93">
        <f>IF($U$163="nulová",$N$163,0)</f>
        <v>0</v>
      </c>
      <c r="BJ163" s="6" t="s">
        <v>22</v>
      </c>
      <c r="BK163" s="93">
        <f>ROUND($L$163*$K$163,2)</f>
        <v>0</v>
      </c>
      <c r="BL163" s="6" t="s">
        <v>172</v>
      </c>
      <c r="BM163" s="6" t="s">
        <v>622</v>
      </c>
    </row>
    <row r="164" spans="2:65" s="6" customFormat="1" ht="15.75" customHeight="1">
      <c r="B164" s="23"/>
      <c r="C164" s="150" t="s">
        <v>275</v>
      </c>
      <c r="D164" s="150" t="s">
        <v>197</v>
      </c>
      <c r="E164" s="151" t="s">
        <v>623</v>
      </c>
      <c r="F164" s="220" t="s">
        <v>624</v>
      </c>
      <c r="G164" s="221"/>
      <c r="H164" s="221"/>
      <c r="I164" s="221"/>
      <c r="J164" s="152" t="s">
        <v>205</v>
      </c>
      <c r="K164" s="153">
        <v>254.472</v>
      </c>
      <c r="L164" s="222">
        <v>0</v>
      </c>
      <c r="M164" s="221"/>
      <c r="N164" s="223">
        <f>ROUND($L$164*$K$164,2)</f>
        <v>0</v>
      </c>
      <c r="O164" s="217"/>
      <c r="P164" s="217"/>
      <c r="Q164" s="217"/>
      <c r="R164" s="25"/>
      <c r="T164" s="147"/>
      <c r="U164" s="31" t="s">
        <v>45</v>
      </c>
      <c r="V164" s="24"/>
      <c r="W164" s="148">
        <f>$V$164*$K$164</f>
        <v>0</v>
      </c>
      <c r="X164" s="148">
        <v>0.0002</v>
      </c>
      <c r="Y164" s="148">
        <f>$X$164*$K$164</f>
        <v>0.050894400000000006</v>
      </c>
      <c r="Z164" s="148">
        <v>0</v>
      </c>
      <c r="AA164" s="149">
        <f>$Z$164*$K$164</f>
        <v>0</v>
      </c>
      <c r="AR164" s="6" t="s">
        <v>196</v>
      </c>
      <c r="AT164" s="6" t="s">
        <v>197</v>
      </c>
      <c r="AU164" s="6" t="s">
        <v>110</v>
      </c>
      <c r="AY164" s="6" t="s">
        <v>167</v>
      </c>
      <c r="BE164" s="93">
        <f>IF($U$164="základní",$N$164,0)</f>
        <v>0</v>
      </c>
      <c r="BF164" s="93">
        <f>IF($U$164="snížená",$N$164,0)</f>
        <v>0</v>
      </c>
      <c r="BG164" s="93">
        <f>IF($U$164="zákl. přenesená",$N$164,0)</f>
        <v>0</v>
      </c>
      <c r="BH164" s="93">
        <f>IF($U$164="sníž. přenesená",$N$164,0)</f>
        <v>0</v>
      </c>
      <c r="BI164" s="93">
        <f>IF($U$164="nulová",$N$164,0)</f>
        <v>0</v>
      </c>
      <c r="BJ164" s="6" t="s">
        <v>22</v>
      </c>
      <c r="BK164" s="93">
        <f>ROUND($L$164*$K$164,2)</f>
        <v>0</v>
      </c>
      <c r="BL164" s="6" t="s">
        <v>172</v>
      </c>
      <c r="BM164" s="6" t="s">
        <v>625</v>
      </c>
    </row>
    <row r="165" spans="2:65" s="6" customFormat="1" ht="15.75" customHeight="1">
      <c r="B165" s="23"/>
      <c r="C165" s="143" t="s">
        <v>279</v>
      </c>
      <c r="D165" s="143" t="s">
        <v>168</v>
      </c>
      <c r="E165" s="144" t="s">
        <v>626</v>
      </c>
      <c r="F165" s="216" t="s">
        <v>627</v>
      </c>
      <c r="G165" s="217"/>
      <c r="H165" s="217"/>
      <c r="I165" s="217"/>
      <c r="J165" s="145" t="s">
        <v>205</v>
      </c>
      <c r="K165" s="146">
        <v>156.74</v>
      </c>
      <c r="L165" s="218">
        <v>0</v>
      </c>
      <c r="M165" s="217"/>
      <c r="N165" s="219">
        <f>ROUND($L$165*$K$165,2)</f>
        <v>0</v>
      </c>
      <c r="O165" s="217"/>
      <c r="P165" s="217"/>
      <c r="Q165" s="217"/>
      <c r="R165" s="25"/>
      <c r="T165" s="147"/>
      <c r="U165" s="31" t="s">
        <v>45</v>
      </c>
      <c r="V165" s="24"/>
      <c r="W165" s="148">
        <f>$V$165*$K$165</f>
        <v>0</v>
      </c>
      <c r="X165" s="148">
        <v>0.00157</v>
      </c>
      <c r="Y165" s="148">
        <f>$X$165*$K$165</f>
        <v>0.24608180000000002</v>
      </c>
      <c r="Z165" s="148">
        <v>0</v>
      </c>
      <c r="AA165" s="149">
        <f>$Z$165*$K$165</f>
        <v>0</v>
      </c>
      <c r="AR165" s="6" t="s">
        <v>172</v>
      </c>
      <c r="AT165" s="6" t="s">
        <v>168</v>
      </c>
      <c r="AU165" s="6" t="s">
        <v>110</v>
      </c>
      <c r="AY165" s="6" t="s">
        <v>167</v>
      </c>
      <c r="BE165" s="93">
        <f>IF($U$165="základní",$N$165,0)</f>
        <v>0</v>
      </c>
      <c r="BF165" s="93">
        <f>IF($U$165="snížená",$N$165,0)</f>
        <v>0</v>
      </c>
      <c r="BG165" s="93">
        <f>IF($U$165="zákl. přenesená",$N$165,0)</f>
        <v>0</v>
      </c>
      <c r="BH165" s="93">
        <f>IF($U$165="sníž. přenesená",$N$165,0)</f>
        <v>0</v>
      </c>
      <c r="BI165" s="93">
        <f>IF($U$165="nulová",$N$165,0)</f>
        <v>0</v>
      </c>
      <c r="BJ165" s="6" t="s">
        <v>22</v>
      </c>
      <c r="BK165" s="93">
        <f>ROUND($L$165*$K$165,2)</f>
        <v>0</v>
      </c>
      <c r="BL165" s="6" t="s">
        <v>172</v>
      </c>
      <c r="BM165" s="6" t="s">
        <v>628</v>
      </c>
    </row>
    <row r="166" spans="2:65" s="6" customFormat="1" ht="27" customHeight="1">
      <c r="B166" s="23"/>
      <c r="C166" s="143" t="s">
        <v>283</v>
      </c>
      <c r="D166" s="143" t="s">
        <v>168</v>
      </c>
      <c r="E166" s="144" t="s">
        <v>629</v>
      </c>
      <c r="F166" s="216" t="s">
        <v>630</v>
      </c>
      <c r="G166" s="217"/>
      <c r="H166" s="217"/>
      <c r="I166" s="217"/>
      <c r="J166" s="145" t="s">
        <v>205</v>
      </c>
      <c r="K166" s="146">
        <v>156.74</v>
      </c>
      <c r="L166" s="218">
        <v>0</v>
      </c>
      <c r="M166" s="217"/>
      <c r="N166" s="219">
        <f>ROUND($L$166*$K$166,2)</f>
        <v>0</v>
      </c>
      <c r="O166" s="217"/>
      <c r="P166" s="217"/>
      <c r="Q166" s="217"/>
      <c r="R166" s="25"/>
      <c r="T166" s="147"/>
      <c r="U166" s="31" t="s">
        <v>45</v>
      </c>
      <c r="V166" s="24"/>
      <c r="W166" s="148">
        <f>$V$166*$K$166</f>
        <v>0</v>
      </c>
      <c r="X166" s="148">
        <v>0</v>
      </c>
      <c r="Y166" s="148">
        <f>$X$166*$K$166</f>
        <v>0</v>
      </c>
      <c r="Z166" s="148">
        <v>0</v>
      </c>
      <c r="AA166" s="149">
        <f>$Z$166*$K$166</f>
        <v>0</v>
      </c>
      <c r="AR166" s="6" t="s">
        <v>172</v>
      </c>
      <c r="AT166" s="6" t="s">
        <v>168</v>
      </c>
      <c r="AU166" s="6" t="s">
        <v>110</v>
      </c>
      <c r="AY166" s="6" t="s">
        <v>167</v>
      </c>
      <c r="BE166" s="93">
        <f>IF($U$166="základní",$N$166,0)</f>
        <v>0</v>
      </c>
      <c r="BF166" s="93">
        <f>IF($U$166="snížená",$N$166,0)</f>
        <v>0</v>
      </c>
      <c r="BG166" s="93">
        <f>IF($U$166="zákl. přenesená",$N$166,0)</f>
        <v>0</v>
      </c>
      <c r="BH166" s="93">
        <f>IF($U$166="sníž. přenesená",$N$166,0)</f>
        <v>0</v>
      </c>
      <c r="BI166" s="93">
        <f>IF($U$166="nulová",$N$166,0)</f>
        <v>0</v>
      </c>
      <c r="BJ166" s="6" t="s">
        <v>22</v>
      </c>
      <c r="BK166" s="93">
        <f>ROUND($L$166*$K$166,2)</f>
        <v>0</v>
      </c>
      <c r="BL166" s="6" t="s">
        <v>172</v>
      </c>
      <c r="BM166" s="6" t="s">
        <v>631</v>
      </c>
    </row>
    <row r="167" spans="2:63" s="132" customFormat="1" ht="30.75" customHeight="1">
      <c r="B167" s="133"/>
      <c r="C167" s="134"/>
      <c r="D167" s="142" t="s">
        <v>125</v>
      </c>
      <c r="E167" s="142"/>
      <c r="F167" s="142"/>
      <c r="G167" s="142"/>
      <c r="H167" s="142"/>
      <c r="I167" s="142"/>
      <c r="J167" s="142"/>
      <c r="K167" s="142"/>
      <c r="L167" s="142"/>
      <c r="M167" s="142"/>
      <c r="N167" s="228">
        <f>$BK$167</f>
        <v>0</v>
      </c>
      <c r="O167" s="227"/>
      <c r="P167" s="227"/>
      <c r="Q167" s="227"/>
      <c r="R167" s="136"/>
      <c r="T167" s="137"/>
      <c r="U167" s="134"/>
      <c r="V167" s="134"/>
      <c r="W167" s="138">
        <f>SUM($W$168:$W$169)</f>
        <v>0</v>
      </c>
      <c r="X167" s="134"/>
      <c r="Y167" s="138">
        <f>SUM($Y$168:$Y$169)</f>
        <v>0</v>
      </c>
      <c r="Z167" s="134"/>
      <c r="AA167" s="139">
        <f>SUM($AA$168:$AA$169)</f>
        <v>0</v>
      </c>
      <c r="AR167" s="140" t="s">
        <v>22</v>
      </c>
      <c r="AT167" s="140" t="s">
        <v>79</v>
      </c>
      <c r="AU167" s="140" t="s">
        <v>22</v>
      </c>
      <c r="AY167" s="140" t="s">
        <v>167</v>
      </c>
      <c r="BK167" s="141">
        <f>SUM($BK$168:$BK$169)</f>
        <v>0</v>
      </c>
    </row>
    <row r="168" spans="2:65" s="6" customFormat="1" ht="27" customHeight="1">
      <c r="B168" s="23"/>
      <c r="C168" s="143" t="s">
        <v>287</v>
      </c>
      <c r="D168" s="143" t="s">
        <v>168</v>
      </c>
      <c r="E168" s="144" t="s">
        <v>632</v>
      </c>
      <c r="F168" s="216" t="s">
        <v>633</v>
      </c>
      <c r="G168" s="217"/>
      <c r="H168" s="217"/>
      <c r="I168" s="217"/>
      <c r="J168" s="145" t="s">
        <v>171</v>
      </c>
      <c r="K168" s="146">
        <v>13.83</v>
      </c>
      <c r="L168" s="218">
        <v>0</v>
      </c>
      <c r="M168" s="217"/>
      <c r="N168" s="219">
        <f>ROUND($L$168*$K$168,2)</f>
        <v>0</v>
      </c>
      <c r="O168" s="217"/>
      <c r="P168" s="217"/>
      <c r="Q168" s="217"/>
      <c r="R168" s="25"/>
      <c r="T168" s="147"/>
      <c r="U168" s="31" t="s">
        <v>45</v>
      </c>
      <c r="V168" s="24"/>
      <c r="W168" s="148">
        <f>$V$168*$K$168</f>
        <v>0</v>
      </c>
      <c r="X168" s="148">
        <v>0</v>
      </c>
      <c r="Y168" s="148">
        <f>$X$168*$K$168</f>
        <v>0</v>
      </c>
      <c r="Z168" s="148">
        <v>0</v>
      </c>
      <c r="AA168" s="149">
        <f>$Z$168*$K$168</f>
        <v>0</v>
      </c>
      <c r="AR168" s="6" t="s">
        <v>172</v>
      </c>
      <c r="AT168" s="6" t="s">
        <v>168</v>
      </c>
      <c r="AU168" s="6" t="s">
        <v>110</v>
      </c>
      <c r="AY168" s="6" t="s">
        <v>167</v>
      </c>
      <c r="BE168" s="93">
        <f>IF($U$168="základní",$N$168,0)</f>
        <v>0</v>
      </c>
      <c r="BF168" s="93">
        <f>IF($U$168="snížená",$N$168,0)</f>
        <v>0</v>
      </c>
      <c r="BG168" s="93">
        <f>IF($U$168="zákl. přenesená",$N$168,0)</f>
        <v>0</v>
      </c>
      <c r="BH168" s="93">
        <f>IF($U$168="sníž. přenesená",$N$168,0)</f>
        <v>0</v>
      </c>
      <c r="BI168" s="93">
        <f>IF($U$168="nulová",$N$168,0)</f>
        <v>0</v>
      </c>
      <c r="BJ168" s="6" t="s">
        <v>22</v>
      </c>
      <c r="BK168" s="93">
        <f>ROUND($L$168*$K$168,2)</f>
        <v>0</v>
      </c>
      <c r="BL168" s="6" t="s">
        <v>172</v>
      </c>
      <c r="BM168" s="6" t="s">
        <v>634</v>
      </c>
    </row>
    <row r="169" spans="2:65" s="6" customFormat="1" ht="27" customHeight="1">
      <c r="B169" s="23"/>
      <c r="C169" s="143" t="s">
        <v>291</v>
      </c>
      <c r="D169" s="143" t="s">
        <v>168</v>
      </c>
      <c r="E169" s="144" t="s">
        <v>635</v>
      </c>
      <c r="F169" s="216" t="s">
        <v>636</v>
      </c>
      <c r="G169" s="217"/>
      <c r="H169" s="217"/>
      <c r="I169" s="217"/>
      <c r="J169" s="145" t="s">
        <v>171</v>
      </c>
      <c r="K169" s="146">
        <v>13.83</v>
      </c>
      <c r="L169" s="218">
        <v>0</v>
      </c>
      <c r="M169" s="217"/>
      <c r="N169" s="219">
        <f>ROUND($L$169*$K$169,2)</f>
        <v>0</v>
      </c>
      <c r="O169" s="217"/>
      <c r="P169" s="217"/>
      <c r="Q169" s="217"/>
      <c r="R169" s="25"/>
      <c r="T169" s="147"/>
      <c r="U169" s="31" t="s">
        <v>45</v>
      </c>
      <c r="V169" s="24"/>
      <c r="W169" s="148">
        <f>$V$169*$K$169</f>
        <v>0</v>
      </c>
      <c r="X169" s="148">
        <v>0</v>
      </c>
      <c r="Y169" s="148">
        <f>$X$169*$K$169</f>
        <v>0</v>
      </c>
      <c r="Z169" s="148">
        <v>0</v>
      </c>
      <c r="AA169" s="149">
        <f>$Z$169*$K$169</f>
        <v>0</v>
      </c>
      <c r="AR169" s="6" t="s">
        <v>172</v>
      </c>
      <c r="AT169" s="6" t="s">
        <v>168</v>
      </c>
      <c r="AU169" s="6" t="s">
        <v>110</v>
      </c>
      <c r="AY169" s="6" t="s">
        <v>167</v>
      </c>
      <c r="BE169" s="93">
        <f>IF($U$169="základní",$N$169,0)</f>
        <v>0</v>
      </c>
      <c r="BF169" s="93">
        <f>IF($U$169="snížená",$N$169,0)</f>
        <v>0</v>
      </c>
      <c r="BG169" s="93">
        <f>IF($U$169="zákl. přenesená",$N$169,0)</f>
        <v>0</v>
      </c>
      <c r="BH169" s="93">
        <f>IF($U$169="sníž. přenesená",$N$169,0)</f>
        <v>0</v>
      </c>
      <c r="BI169" s="93">
        <f>IF($U$169="nulová",$N$169,0)</f>
        <v>0</v>
      </c>
      <c r="BJ169" s="6" t="s">
        <v>22</v>
      </c>
      <c r="BK169" s="93">
        <f>ROUND($L$169*$K$169,2)</f>
        <v>0</v>
      </c>
      <c r="BL169" s="6" t="s">
        <v>172</v>
      </c>
      <c r="BM169" s="6" t="s">
        <v>637</v>
      </c>
    </row>
    <row r="170" spans="2:63" s="132" customFormat="1" ht="30.75" customHeight="1">
      <c r="B170" s="133"/>
      <c r="C170" s="134"/>
      <c r="D170" s="142" t="s">
        <v>539</v>
      </c>
      <c r="E170" s="142"/>
      <c r="F170" s="142"/>
      <c r="G170" s="142"/>
      <c r="H170" s="142"/>
      <c r="I170" s="142"/>
      <c r="J170" s="142"/>
      <c r="K170" s="142"/>
      <c r="L170" s="142"/>
      <c r="M170" s="142"/>
      <c r="N170" s="228">
        <f>$BK$170</f>
        <v>0</v>
      </c>
      <c r="O170" s="227"/>
      <c r="P170" s="227"/>
      <c r="Q170" s="227"/>
      <c r="R170" s="136"/>
      <c r="T170" s="137"/>
      <c r="U170" s="134"/>
      <c r="V170" s="134"/>
      <c r="W170" s="138">
        <f>SUM($W$171:$W$174)</f>
        <v>0</v>
      </c>
      <c r="X170" s="134"/>
      <c r="Y170" s="138">
        <f>SUM($Y$171:$Y$174)</f>
        <v>61.72573</v>
      </c>
      <c r="Z170" s="134"/>
      <c r="AA170" s="139">
        <f>SUM($AA$171:$AA$174)</f>
        <v>0</v>
      </c>
      <c r="AR170" s="140" t="s">
        <v>22</v>
      </c>
      <c r="AT170" s="140" t="s">
        <v>79</v>
      </c>
      <c r="AU170" s="140" t="s">
        <v>22</v>
      </c>
      <c r="AY170" s="140" t="s">
        <v>167</v>
      </c>
      <c r="BK170" s="141">
        <f>SUM($BK$171:$BK$174)</f>
        <v>0</v>
      </c>
    </row>
    <row r="171" spans="2:65" s="6" customFormat="1" ht="27" customHeight="1">
      <c r="B171" s="23"/>
      <c r="C171" s="143" t="s">
        <v>295</v>
      </c>
      <c r="D171" s="143" t="s">
        <v>168</v>
      </c>
      <c r="E171" s="144" t="s">
        <v>638</v>
      </c>
      <c r="F171" s="216" t="s">
        <v>639</v>
      </c>
      <c r="G171" s="217"/>
      <c r="H171" s="217"/>
      <c r="I171" s="217"/>
      <c r="J171" s="145" t="s">
        <v>205</v>
      </c>
      <c r="K171" s="146">
        <v>152.9</v>
      </c>
      <c r="L171" s="218">
        <v>0</v>
      </c>
      <c r="M171" s="217"/>
      <c r="N171" s="219">
        <f>ROUND($L$171*$K$171,2)</f>
        <v>0</v>
      </c>
      <c r="O171" s="217"/>
      <c r="P171" s="217"/>
      <c r="Q171" s="217"/>
      <c r="R171" s="25"/>
      <c r="T171" s="147"/>
      <c r="U171" s="31" t="s">
        <v>45</v>
      </c>
      <c r="V171" s="24"/>
      <c r="W171" s="148">
        <f>$V$171*$K$171</f>
        <v>0</v>
      </c>
      <c r="X171" s="148">
        <v>0</v>
      </c>
      <c r="Y171" s="148">
        <f>$X$171*$K$171</f>
        <v>0</v>
      </c>
      <c r="Z171" s="148">
        <v>0</v>
      </c>
      <c r="AA171" s="149">
        <f>$Z$171*$K$171</f>
        <v>0</v>
      </c>
      <c r="AR171" s="6" t="s">
        <v>172</v>
      </c>
      <c r="AT171" s="6" t="s">
        <v>168</v>
      </c>
      <c r="AU171" s="6" t="s">
        <v>110</v>
      </c>
      <c r="AY171" s="6" t="s">
        <v>167</v>
      </c>
      <c r="BE171" s="93">
        <f>IF($U$171="základní",$N$171,0)</f>
        <v>0</v>
      </c>
      <c r="BF171" s="93">
        <f>IF($U$171="snížená",$N$171,0)</f>
        <v>0</v>
      </c>
      <c r="BG171" s="93">
        <f>IF($U$171="zákl. přenesená",$N$171,0)</f>
        <v>0</v>
      </c>
      <c r="BH171" s="93">
        <f>IF($U$171="sníž. přenesená",$N$171,0)</f>
        <v>0</v>
      </c>
      <c r="BI171" s="93">
        <f>IF($U$171="nulová",$N$171,0)</f>
        <v>0</v>
      </c>
      <c r="BJ171" s="6" t="s">
        <v>22</v>
      </c>
      <c r="BK171" s="93">
        <f>ROUND($L$171*$K$171,2)</f>
        <v>0</v>
      </c>
      <c r="BL171" s="6" t="s">
        <v>172</v>
      </c>
      <c r="BM171" s="6" t="s">
        <v>640</v>
      </c>
    </row>
    <row r="172" spans="2:65" s="6" customFormat="1" ht="27" customHeight="1">
      <c r="B172" s="23"/>
      <c r="C172" s="143" t="s">
        <v>299</v>
      </c>
      <c r="D172" s="143" t="s">
        <v>168</v>
      </c>
      <c r="E172" s="144" t="s">
        <v>641</v>
      </c>
      <c r="F172" s="216" t="s">
        <v>642</v>
      </c>
      <c r="G172" s="217"/>
      <c r="H172" s="217"/>
      <c r="I172" s="217"/>
      <c r="J172" s="145" t="s">
        <v>205</v>
      </c>
      <c r="K172" s="146">
        <v>46.1</v>
      </c>
      <c r="L172" s="218">
        <v>0</v>
      </c>
      <c r="M172" s="217"/>
      <c r="N172" s="219">
        <f>ROUND($L$172*$K$172,2)</f>
        <v>0</v>
      </c>
      <c r="O172" s="217"/>
      <c r="P172" s="217"/>
      <c r="Q172" s="217"/>
      <c r="R172" s="25"/>
      <c r="T172" s="147"/>
      <c r="U172" s="31" t="s">
        <v>45</v>
      </c>
      <c r="V172" s="24"/>
      <c r="W172" s="148">
        <f>$V$172*$K$172</f>
        <v>0</v>
      </c>
      <c r="X172" s="148">
        <v>0</v>
      </c>
      <c r="Y172" s="148">
        <f>$X$172*$K$172</f>
        <v>0</v>
      </c>
      <c r="Z172" s="148">
        <v>0</v>
      </c>
      <c r="AA172" s="149">
        <f>$Z$172*$K$172</f>
        <v>0</v>
      </c>
      <c r="AR172" s="6" t="s">
        <v>172</v>
      </c>
      <c r="AT172" s="6" t="s">
        <v>168</v>
      </c>
      <c r="AU172" s="6" t="s">
        <v>110</v>
      </c>
      <c r="AY172" s="6" t="s">
        <v>167</v>
      </c>
      <c r="BE172" s="93">
        <f>IF($U$172="základní",$N$172,0)</f>
        <v>0</v>
      </c>
      <c r="BF172" s="93">
        <f>IF($U$172="snížená",$N$172,0)</f>
        <v>0</v>
      </c>
      <c r="BG172" s="93">
        <f>IF($U$172="zákl. přenesená",$N$172,0)</f>
        <v>0</v>
      </c>
      <c r="BH172" s="93">
        <f>IF($U$172="sníž. přenesená",$N$172,0)</f>
        <v>0</v>
      </c>
      <c r="BI172" s="93">
        <f>IF($U$172="nulová",$N$172,0)</f>
        <v>0</v>
      </c>
      <c r="BJ172" s="6" t="s">
        <v>22</v>
      </c>
      <c r="BK172" s="93">
        <f>ROUND($L$172*$K$172,2)</f>
        <v>0</v>
      </c>
      <c r="BL172" s="6" t="s">
        <v>172</v>
      </c>
      <c r="BM172" s="6" t="s">
        <v>643</v>
      </c>
    </row>
    <row r="173" spans="2:65" s="6" customFormat="1" ht="27" customHeight="1">
      <c r="B173" s="23"/>
      <c r="C173" s="143" t="s">
        <v>303</v>
      </c>
      <c r="D173" s="143" t="s">
        <v>168</v>
      </c>
      <c r="E173" s="144" t="s">
        <v>644</v>
      </c>
      <c r="F173" s="216" t="s">
        <v>645</v>
      </c>
      <c r="G173" s="217"/>
      <c r="H173" s="217"/>
      <c r="I173" s="217"/>
      <c r="J173" s="145" t="s">
        <v>205</v>
      </c>
      <c r="K173" s="146">
        <v>152.9</v>
      </c>
      <c r="L173" s="218">
        <v>0</v>
      </c>
      <c r="M173" s="217"/>
      <c r="N173" s="219">
        <f>ROUND($L$173*$K$173,2)</f>
        <v>0</v>
      </c>
      <c r="O173" s="217"/>
      <c r="P173" s="217"/>
      <c r="Q173" s="217"/>
      <c r="R173" s="25"/>
      <c r="T173" s="147"/>
      <c r="U173" s="31" t="s">
        <v>45</v>
      </c>
      <c r="V173" s="24"/>
      <c r="W173" s="148">
        <f>$V$173*$K$173</f>
        <v>0</v>
      </c>
      <c r="X173" s="148">
        <v>0.1837</v>
      </c>
      <c r="Y173" s="148">
        <f>$X$173*$K$173</f>
        <v>28.08773</v>
      </c>
      <c r="Z173" s="148">
        <v>0</v>
      </c>
      <c r="AA173" s="149">
        <f>$Z$173*$K$173</f>
        <v>0</v>
      </c>
      <c r="AR173" s="6" t="s">
        <v>172</v>
      </c>
      <c r="AT173" s="6" t="s">
        <v>168</v>
      </c>
      <c r="AU173" s="6" t="s">
        <v>110</v>
      </c>
      <c r="AY173" s="6" t="s">
        <v>167</v>
      </c>
      <c r="BE173" s="93">
        <f>IF($U$173="základní",$N$173,0)</f>
        <v>0</v>
      </c>
      <c r="BF173" s="93">
        <f>IF($U$173="snížená",$N$173,0)</f>
        <v>0</v>
      </c>
      <c r="BG173" s="93">
        <f>IF($U$173="zákl. přenesená",$N$173,0)</f>
        <v>0</v>
      </c>
      <c r="BH173" s="93">
        <f>IF($U$173="sníž. přenesená",$N$173,0)</f>
        <v>0</v>
      </c>
      <c r="BI173" s="93">
        <f>IF($U$173="nulová",$N$173,0)</f>
        <v>0</v>
      </c>
      <c r="BJ173" s="6" t="s">
        <v>22</v>
      </c>
      <c r="BK173" s="93">
        <f>ROUND($L$173*$K$173,2)</f>
        <v>0</v>
      </c>
      <c r="BL173" s="6" t="s">
        <v>172</v>
      </c>
      <c r="BM173" s="6" t="s">
        <v>646</v>
      </c>
    </row>
    <row r="174" spans="2:65" s="6" customFormat="1" ht="15.75" customHeight="1">
      <c r="B174" s="23"/>
      <c r="C174" s="150" t="s">
        <v>307</v>
      </c>
      <c r="D174" s="150" t="s">
        <v>197</v>
      </c>
      <c r="E174" s="151" t="s">
        <v>647</v>
      </c>
      <c r="F174" s="220" t="s">
        <v>648</v>
      </c>
      <c r="G174" s="221"/>
      <c r="H174" s="221"/>
      <c r="I174" s="221"/>
      <c r="J174" s="152" t="s">
        <v>200</v>
      </c>
      <c r="K174" s="153">
        <v>33.638</v>
      </c>
      <c r="L174" s="222">
        <v>0</v>
      </c>
      <c r="M174" s="221"/>
      <c r="N174" s="223">
        <f>ROUND($L$174*$K$174,2)</f>
        <v>0</v>
      </c>
      <c r="O174" s="217"/>
      <c r="P174" s="217"/>
      <c r="Q174" s="217"/>
      <c r="R174" s="25"/>
      <c r="T174" s="147"/>
      <c r="U174" s="31" t="s">
        <v>45</v>
      </c>
      <c r="V174" s="24"/>
      <c r="W174" s="148">
        <f>$V$174*$K$174</f>
        <v>0</v>
      </c>
      <c r="X174" s="148">
        <v>1</v>
      </c>
      <c r="Y174" s="148">
        <f>$X$174*$K$174</f>
        <v>33.638</v>
      </c>
      <c r="Z174" s="148">
        <v>0</v>
      </c>
      <c r="AA174" s="149">
        <f>$Z$174*$K$174</f>
        <v>0</v>
      </c>
      <c r="AR174" s="6" t="s">
        <v>196</v>
      </c>
      <c r="AT174" s="6" t="s">
        <v>197</v>
      </c>
      <c r="AU174" s="6" t="s">
        <v>110</v>
      </c>
      <c r="AY174" s="6" t="s">
        <v>167</v>
      </c>
      <c r="BE174" s="93">
        <f>IF($U$174="základní",$N$174,0)</f>
        <v>0</v>
      </c>
      <c r="BF174" s="93">
        <f>IF($U$174="snížená",$N$174,0)</f>
        <v>0</v>
      </c>
      <c r="BG174" s="93">
        <f>IF($U$174="zákl. přenesená",$N$174,0)</f>
        <v>0</v>
      </c>
      <c r="BH174" s="93">
        <f>IF($U$174="sníž. přenesená",$N$174,0)</f>
        <v>0</v>
      </c>
      <c r="BI174" s="93">
        <f>IF($U$174="nulová",$N$174,0)</f>
        <v>0</v>
      </c>
      <c r="BJ174" s="6" t="s">
        <v>22</v>
      </c>
      <c r="BK174" s="93">
        <f>ROUND($L$174*$K$174,2)</f>
        <v>0</v>
      </c>
      <c r="BL174" s="6" t="s">
        <v>172</v>
      </c>
      <c r="BM174" s="6" t="s">
        <v>649</v>
      </c>
    </row>
    <row r="175" spans="2:63" s="132" customFormat="1" ht="30.75" customHeight="1">
      <c r="B175" s="133"/>
      <c r="C175" s="134"/>
      <c r="D175" s="142" t="s">
        <v>540</v>
      </c>
      <c r="E175" s="142"/>
      <c r="F175" s="142"/>
      <c r="G175" s="142"/>
      <c r="H175" s="142"/>
      <c r="I175" s="142"/>
      <c r="J175" s="142"/>
      <c r="K175" s="142"/>
      <c r="L175" s="142"/>
      <c r="M175" s="142"/>
      <c r="N175" s="228">
        <f>$BK$175</f>
        <v>0</v>
      </c>
      <c r="O175" s="227"/>
      <c r="P175" s="227"/>
      <c r="Q175" s="227"/>
      <c r="R175" s="136"/>
      <c r="T175" s="137"/>
      <c r="U175" s="134"/>
      <c r="V175" s="134"/>
      <c r="W175" s="138">
        <f>SUM($W$176:$W$180)</f>
        <v>0</v>
      </c>
      <c r="X175" s="134"/>
      <c r="Y175" s="138">
        <f>SUM($Y$176:$Y$180)</f>
        <v>6.196301000000001</v>
      </c>
      <c r="Z175" s="134"/>
      <c r="AA175" s="139">
        <f>SUM($AA$176:$AA$180)</f>
        <v>0</v>
      </c>
      <c r="AR175" s="140" t="s">
        <v>22</v>
      </c>
      <c r="AT175" s="140" t="s">
        <v>79</v>
      </c>
      <c r="AU175" s="140" t="s">
        <v>22</v>
      </c>
      <c r="AY175" s="140" t="s">
        <v>167</v>
      </c>
      <c r="BK175" s="141">
        <f>SUM($BK$176:$BK$180)</f>
        <v>0</v>
      </c>
    </row>
    <row r="176" spans="2:65" s="6" customFormat="1" ht="27" customHeight="1">
      <c r="B176" s="23"/>
      <c r="C176" s="143" t="s">
        <v>311</v>
      </c>
      <c r="D176" s="143" t="s">
        <v>168</v>
      </c>
      <c r="E176" s="144" t="s">
        <v>650</v>
      </c>
      <c r="F176" s="216" t="s">
        <v>651</v>
      </c>
      <c r="G176" s="217"/>
      <c r="H176" s="217"/>
      <c r="I176" s="217"/>
      <c r="J176" s="145" t="s">
        <v>205</v>
      </c>
      <c r="K176" s="146">
        <v>221.28</v>
      </c>
      <c r="L176" s="218">
        <v>0</v>
      </c>
      <c r="M176" s="217"/>
      <c r="N176" s="219">
        <f>ROUND($L$176*$K$176,2)</f>
        <v>0</v>
      </c>
      <c r="O176" s="217"/>
      <c r="P176" s="217"/>
      <c r="Q176" s="217"/>
      <c r="R176" s="25"/>
      <c r="T176" s="147"/>
      <c r="U176" s="31" t="s">
        <v>45</v>
      </c>
      <c r="V176" s="24"/>
      <c r="W176" s="148">
        <f>$V$176*$K$176</f>
        <v>0</v>
      </c>
      <c r="X176" s="148">
        <v>0.0037</v>
      </c>
      <c r="Y176" s="148">
        <f>$X$176*$K$176</f>
        <v>0.818736</v>
      </c>
      <c r="Z176" s="148">
        <v>0</v>
      </c>
      <c r="AA176" s="149">
        <f>$Z$176*$K$176</f>
        <v>0</v>
      </c>
      <c r="AR176" s="6" t="s">
        <v>172</v>
      </c>
      <c r="AT176" s="6" t="s">
        <v>168</v>
      </c>
      <c r="AU176" s="6" t="s">
        <v>110</v>
      </c>
      <c r="AY176" s="6" t="s">
        <v>167</v>
      </c>
      <c r="BE176" s="93">
        <f>IF($U$176="základní",$N$176,0)</f>
        <v>0</v>
      </c>
      <c r="BF176" s="93">
        <f>IF($U$176="snížená",$N$176,0)</f>
        <v>0</v>
      </c>
      <c r="BG176" s="93">
        <f>IF($U$176="zákl. přenesená",$N$176,0)</f>
        <v>0</v>
      </c>
      <c r="BH176" s="93">
        <f>IF($U$176="sníž. přenesená",$N$176,0)</f>
        <v>0</v>
      </c>
      <c r="BI176" s="93">
        <f>IF($U$176="nulová",$N$176,0)</f>
        <v>0</v>
      </c>
      <c r="BJ176" s="6" t="s">
        <v>22</v>
      </c>
      <c r="BK176" s="93">
        <f>ROUND($L$176*$K$176,2)</f>
        <v>0</v>
      </c>
      <c r="BL176" s="6" t="s">
        <v>172</v>
      </c>
      <c r="BM176" s="6" t="s">
        <v>652</v>
      </c>
    </row>
    <row r="177" spans="2:65" s="6" customFormat="1" ht="27" customHeight="1">
      <c r="B177" s="23"/>
      <c r="C177" s="143" t="s">
        <v>315</v>
      </c>
      <c r="D177" s="143" t="s">
        <v>168</v>
      </c>
      <c r="E177" s="144" t="s">
        <v>653</v>
      </c>
      <c r="F177" s="216" t="s">
        <v>654</v>
      </c>
      <c r="G177" s="217"/>
      <c r="H177" s="217"/>
      <c r="I177" s="217"/>
      <c r="J177" s="145" t="s">
        <v>205</v>
      </c>
      <c r="K177" s="146">
        <v>221.28</v>
      </c>
      <c r="L177" s="218">
        <v>0</v>
      </c>
      <c r="M177" s="217"/>
      <c r="N177" s="219">
        <f>ROUND($L$177*$K$177,2)</f>
        <v>0</v>
      </c>
      <c r="O177" s="217"/>
      <c r="P177" s="217"/>
      <c r="Q177" s="217"/>
      <c r="R177" s="25"/>
      <c r="T177" s="147"/>
      <c r="U177" s="31" t="s">
        <v>45</v>
      </c>
      <c r="V177" s="24"/>
      <c r="W177" s="148">
        <f>$V$177*$K$177</f>
        <v>0</v>
      </c>
      <c r="X177" s="148">
        <v>0.00735</v>
      </c>
      <c r="Y177" s="148">
        <f>$X$177*$K$177</f>
        <v>1.6264079999999999</v>
      </c>
      <c r="Z177" s="148">
        <v>0</v>
      </c>
      <c r="AA177" s="149">
        <f>$Z$177*$K$177</f>
        <v>0</v>
      </c>
      <c r="AR177" s="6" t="s">
        <v>172</v>
      </c>
      <c r="AT177" s="6" t="s">
        <v>168</v>
      </c>
      <c r="AU177" s="6" t="s">
        <v>110</v>
      </c>
      <c r="AY177" s="6" t="s">
        <v>167</v>
      </c>
      <c r="BE177" s="93">
        <f>IF($U$177="základní",$N$177,0)</f>
        <v>0</v>
      </c>
      <c r="BF177" s="93">
        <f>IF($U$177="snížená",$N$177,0)</f>
        <v>0</v>
      </c>
      <c r="BG177" s="93">
        <f>IF($U$177="zákl. přenesená",$N$177,0)</f>
        <v>0</v>
      </c>
      <c r="BH177" s="93">
        <f>IF($U$177="sníž. přenesená",$N$177,0)</f>
        <v>0</v>
      </c>
      <c r="BI177" s="93">
        <f>IF($U$177="nulová",$N$177,0)</f>
        <v>0</v>
      </c>
      <c r="BJ177" s="6" t="s">
        <v>22</v>
      </c>
      <c r="BK177" s="93">
        <f>ROUND($L$177*$K$177,2)</f>
        <v>0</v>
      </c>
      <c r="BL177" s="6" t="s">
        <v>172</v>
      </c>
      <c r="BM177" s="6" t="s">
        <v>655</v>
      </c>
    </row>
    <row r="178" spans="2:65" s="6" customFormat="1" ht="15.75" customHeight="1">
      <c r="B178" s="23"/>
      <c r="C178" s="143" t="s">
        <v>319</v>
      </c>
      <c r="D178" s="143" t="s">
        <v>168</v>
      </c>
      <c r="E178" s="144" t="s">
        <v>656</v>
      </c>
      <c r="F178" s="216" t="s">
        <v>657</v>
      </c>
      <c r="G178" s="217"/>
      <c r="H178" s="217"/>
      <c r="I178" s="217"/>
      <c r="J178" s="145" t="s">
        <v>205</v>
      </c>
      <c r="K178" s="146">
        <v>221.28</v>
      </c>
      <c r="L178" s="218">
        <v>0</v>
      </c>
      <c r="M178" s="217"/>
      <c r="N178" s="219">
        <f>ROUND($L$178*$K$178,2)</f>
        <v>0</v>
      </c>
      <c r="O178" s="217"/>
      <c r="P178" s="217"/>
      <c r="Q178" s="217"/>
      <c r="R178" s="25"/>
      <c r="T178" s="147"/>
      <c r="U178" s="31" t="s">
        <v>45</v>
      </c>
      <c r="V178" s="24"/>
      <c r="W178" s="148">
        <f>$V$178*$K$178</f>
        <v>0</v>
      </c>
      <c r="X178" s="148">
        <v>0</v>
      </c>
      <c r="Y178" s="148">
        <f>$X$178*$K$178</f>
        <v>0</v>
      </c>
      <c r="Z178" s="148">
        <v>0</v>
      </c>
      <c r="AA178" s="149">
        <f>$Z$178*$K$178</f>
        <v>0</v>
      </c>
      <c r="AR178" s="6" t="s">
        <v>172</v>
      </c>
      <c r="AT178" s="6" t="s">
        <v>168</v>
      </c>
      <c r="AU178" s="6" t="s">
        <v>110</v>
      </c>
      <c r="AY178" s="6" t="s">
        <v>167</v>
      </c>
      <c r="BE178" s="93">
        <f>IF($U$178="základní",$N$178,0)</f>
        <v>0</v>
      </c>
      <c r="BF178" s="93">
        <f>IF($U$178="snížená",$N$178,0)</f>
        <v>0</v>
      </c>
      <c r="BG178" s="93">
        <f>IF($U$178="zákl. přenesená",$N$178,0)</f>
        <v>0</v>
      </c>
      <c r="BH178" s="93">
        <f>IF($U$178="sníž. přenesená",$N$178,0)</f>
        <v>0</v>
      </c>
      <c r="BI178" s="93">
        <f>IF($U$178="nulová",$N$178,0)</f>
        <v>0</v>
      </c>
      <c r="BJ178" s="6" t="s">
        <v>22</v>
      </c>
      <c r="BK178" s="93">
        <f>ROUND($L$178*$K$178,2)</f>
        <v>0</v>
      </c>
      <c r="BL178" s="6" t="s">
        <v>172</v>
      </c>
      <c r="BM178" s="6" t="s">
        <v>658</v>
      </c>
    </row>
    <row r="179" spans="2:65" s="6" customFormat="1" ht="27" customHeight="1">
      <c r="B179" s="23"/>
      <c r="C179" s="143" t="s">
        <v>323</v>
      </c>
      <c r="D179" s="143" t="s">
        <v>168</v>
      </c>
      <c r="E179" s="144" t="s">
        <v>659</v>
      </c>
      <c r="F179" s="216" t="s">
        <v>660</v>
      </c>
      <c r="G179" s="217"/>
      <c r="H179" s="217"/>
      <c r="I179" s="217"/>
      <c r="J179" s="145" t="s">
        <v>205</v>
      </c>
      <c r="K179" s="146">
        <v>46.1</v>
      </c>
      <c r="L179" s="218">
        <v>0</v>
      </c>
      <c r="M179" s="217"/>
      <c r="N179" s="219">
        <f>ROUND($L$179*$K$179,2)</f>
        <v>0</v>
      </c>
      <c r="O179" s="217"/>
      <c r="P179" s="217"/>
      <c r="Q179" s="217"/>
      <c r="R179" s="25"/>
      <c r="T179" s="147"/>
      <c r="U179" s="31" t="s">
        <v>45</v>
      </c>
      <c r="V179" s="24"/>
      <c r="W179" s="148">
        <f>$V$179*$K$179</f>
        <v>0</v>
      </c>
      <c r="X179" s="148">
        <v>0.0568</v>
      </c>
      <c r="Y179" s="148">
        <f>$X$179*$K$179</f>
        <v>2.6184800000000004</v>
      </c>
      <c r="Z179" s="148">
        <v>0</v>
      </c>
      <c r="AA179" s="149">
        <f>$Z$179*$K$179</f>
        <v>0</v>
      </c>
      <c r="AR179" s="6" t="s">
        <v>172</v>
      </c>
      <c r="AT179" s="6" t="s">
        <v>168</v>
      </c>
      <c r="AU179" s="6" t="s">
        <v>110</v>
      </c>
      <c r="AY179" s="6" t="s">
        <v>167</v>
      </c>
      <c r="BE179" s="93">
        <f>IF($U$179="základní",$N$179,0)</f>
        <v>0</v>
      </c>
      <c r="BF179" s="93">
        <f>IF($U$179="snížená",$N$179,0)</f>
        <v>0</v>
      </c>
      <c r="BG179" s="93">
        <f>IF($U$179="zákl. přenesená",$N$179,0)</f>
        <v>0</v>
      </c>
      <c r="BH179" s="93">
        <f>IF($U$179="sníž. přenesená",$N$179,0)</f>
        <v>0</v>
      </c>
      <c r="BI179" s="93">
        <f>IF($U$179="nulová",$N$179,0)</f>
        <v>0</v>
      </c>
      <c r="BJ179" s="6" t="s">
        <v>22</v>
      </c>
      <c r="BK179" s="93">
        <f>ROUND($L$179*$K$179,2)</f>
        <v>0</v>
      </c>
      <c r="BL179" s="6" t="s">
        <v>172</v>
      </c>
      <c r="BM179" s="6" t="s">
        <v>661</v>
      </c>
    </row>
    <row r="180" spans="2:65" s="6" customFormat="1" ht="39" customHeight="1">
      <c r="B180" s="23"/>
      <c r="C180" s="143" t="s">
        <v>327</v>
      </c>
      <c r="D180" s="143" t="s">
        <v>168</v>
      </c>
      <c r="E180" s="144" t="s">
        <v>662</v>
      </c>
      <c r="F180" s="216" t="s">
        <v>663</v>
      </c>
      <c r="G180" s="217"/>
      <c r="H180" s="217"/>
      <c r="I180" s="217"/>
      <c r="J180" s="145" t="s">
        <v>205</v>
      </c>
      <c r="K180" s="146">
        <v>46.1</v>
      </c>
      <c r="L180" s="218">
        <v>0</v>
      </c>
      <c r="M180" s="217"/>
      <c r="N180" s="219">
        <f>ROUND($L$180*$K$180,2)</f>
        <v>0</v>
      </c>
      <c r="O180" s="217"/>
      <c r="P180" s="217"/>
      <c r="Q180" s="217"/>
      <c r="R180" s="25"/>
      <c r="T180" s="147"/>
      <c r="U180" s="31" t="s">
        <v>45</v>
      </c>
      <c r="V180" s="24"/>
      <c r="W180" s="148">
        <f>$V$180*$K$180</f>
        <v>0</v>
      </c>
      <c r="X180" s="148">
        <v>0.02457</v>
      </c>
      <c r="Y180" s="148">
        <f>$X$180*$K$180</f>
        <v>1.1326770000000002</v>
      </c>
      <c r="Z180" s="148">
        <v>0</v>
      </c>
      <c r="AA180" s="149">
        <f>$Z$180*$K$180</f>
        <v>0</v>
      </c>
      <c r="AR180" s="6" t="s">
        <v>172</v>
      </c>
      <c r="AT180" s="6" t="s">
        <v>168</v>
      </c>
      <c r="AU180" s="6" t="s">
        <v>110</v>
      </c>
      <c r="AY180" s="6" t="s">
        <v>167</v>
      </c>
      <c r="BE180" s="93">
        <f>IF($U$180="základní",$N$180,0)</f>
        <v>0</v>
      </c>
      <c r="BF180" s="93">
        <f>IF($U$180="snížená",$N$180,0)</f>
        <v>0</v>
      </c>
      <c r="BG180" s="93">
        <f>IF($U$180="zákl. přenesená",$N$180,0)</f>
        <v>0</v>
      </c>
      <c r="BH180" s="93">
        <f>IF($U$180="sníž. přenesená",$N$180,0)</f>
        <v>0</v>
      </c>
      <c r="BI180" s="93">
        <f>IF($U$180="nulová",$N$180,0)</f>
        <v>0</v>
      </c>
      <c r="BJ180" s="6" t="s">
        <v>22</v>
      </c>
      <c r="BK180" s="93">
        <f>ROUND($L$180*$K$180,2)</f>
        <v>0</v>
      </c>
      <c r="BL180" s="6" t="s">
        <v>172</v>
      </c>
      <c r="BM180" s="6" t="s">
        <v>664</v>
      </c>
    </row>
    <row r="181" spans="2:63" s="132" customFormat="1" ht="30.75" customHeight="1">
      <c r="B181" s="133"/>
      <c r="C181" s="134"/>
      <c r="D181" s="142" t="s">
        <v>541</v>
      </c>
      <c r="E181" s="142"/>
      <c r="F181" s="142"/>
      <c r="G181" s="142"/>
      <c r="H181" s="142"/>
      <c r="I181" s="142"/>
      <c r="J181" s="142"/>
      <c r="K181" s="142"/>
      <c r="L181" s="142"/>
      <c r="M181" s="142"/>
      <c r="N181" s="228">
        <f>$BK$181</f>
        <v>0</v>
      </c>
      <c r="O181" s="227"/>
      <c r="P181" s="227"/>
      <c r="Q181" s="227"/>
      <c r="R181" s="136"/>
      <c r="T181" s="137"/>
      <c r="U181" s="134"/>
      <c r="V181" s="134"/>
      <c r="W181" s="138">
        <f>SUM($W$182:$W$191)</f>
        <v>0</v>
      </c>
      <c r="X181" s="134"/>
      <c r="Y181" s="138">
        <f>SUM($Y$182:$Y$191)</f>
        <v>0.36099000000000003</v>
      </c>
      <c r="Z181" s="134"/>
      <c r="AA181" s="139">
        <f>SUM($AA$182:$AA$191)</f>
        <v>0</v>
      </c>
      <c r="AR181" s="140" t="s">
        <v>22</v>
      </c>
      <c r="AT181" s="140" t="s">
        <v>79</v>
      </c>
      <c r="AU181" s="140" t="s">
        <v>22</v>
      </c>
      <c r="AY181" s="140" t="s">
        <v>167</v>
      </c>
      <c r="BK181" s="141">
        <f>SUM($BK$182:$BK$191)</f>
        <v>0</v>
      </c>
    </row>
    <row r="182" spans="2:65" s="6" customFormat="1" ht="27" customHeight="1">
      <c r="B182" s="23"/>
      <c r="C182" s="143" t="s">
        <v>331</v>
      </c>
      <c r="D182" s="143" t="s">
        <v>168</v>
      </c>
      <c r="E182" s="144" t="s">
        <v>665</v>
      </c>
      <c r="F182" s="216" t="s">
        <v>666</v>
      </c>
      <c r="G182" s="217"/>
      <c r="H182" s="217"/>
      <c r="I182" s="217"/>
      <c r="J182" s="145" t="s">
        <v>233</v>
      </c>
      <c r="K182" s="146">
        <v>1</v>
      </c>
      <c r="L182" s="218">
        <v>0</v>
      </c>
      <c r="M182" s="217"/>
      <c r="N182" s="219">
        <f>ROUND($L$182*$K$182,2)</f>
        <v>0</v>
      </c>
      <c r="O182" s="217"/>
      <c r="P182" s="217"/>
      <c r="Q182" s="217"/>
      <c r="R182" s="25"/>
      <c r="T182" s="147"/>
      <c r="U182" s="31" t="s">
        <v>45</v>
      </c>
      <c r="V182" s="24"/>
      <c r="W182" s="148">
        <f>$V$182*$K$182</f>
        <v>0</v>
      </c>
      <c r="X182" s="148">
        <v>0</v>
      </c>
      <c r="Y182" s="148">
        <f>$X$182*$K$182</f>
        <v>0</v>
      </c>
      <c r="Z182" s="148">
        <v>0</v>
      </c>
      <c r="AA182" s="149">
        <f>$Z$182*$K$182</f>
        <v>0</v>
      </c>
      <c r="AR182" s="6" t="s">
        <v>172</v>
      </c>
      <c r="AT182" s="6" t="s">
        <v>168</v>
      </c>
      <c r="AU182" s="6" t="s">
        <v>110</v>
      </c>
      <c r="AY182" s="6" t="s">
        <v>167</v>
      </c>
      <c r="BE182" s="93">
        <f>IF($U$182="základní",$N$182,0)</f>
        <v>0</v>
      </c>
      <c r="BF182" s="93">
        <f>IF($U$182="snížená",$N$182,0)</f>
        <v>0</v>
      </c>
      <c r="BG182" s="93">
        <f>IF($U$182="zákl. přenesená",$N$182,0)</f>
        <v>0</v>
      </c>
      <c r="BH182" s="93">
        <f>IF($U$182="sníž. přenesená",$N$182,0)</f>
        <v>0</v>
      </c>
      <c r="BI182" s="93">
        <f>IF($U$182="nulová",$N$182,0)</f>
        <v>0</v>
      </c>
      <c r="BJ182" s="6" t="s">
        <v>22</v>
      </c>
      <c r="BK182" s="93">
        <f>ROUND($L$182*$K$182,2)</f>
        <v>0</v>
      </c>
      <c r="BL182" s="6" t="s">
        <v>172</v>
      </c>
      <c r="BM182" s="6" t="s">
        <v>667</v>
      </c>
    </row>
    <row r="183" spans="2:65" s="6" customFormat="1" ht="27" customHeight="1">
      <c r="B183" s="23"/>
      <c r="C183" s="143" t="s">
        <v>335</v>
      </c>
      <c r="D183" s="143" t="s">
        <v>168</v>
      </c>
      <c r="E183" s="144" t="s">
        <v>668</v>
      </c>
      <c r="F183" s="216" t="s">
        <v>669</v>
      </c>
      <c r="G183" s="217"/>
      <c r="H183" s="217"/>
      <c r="I183" s="217"/>
      <c r="J183" s="145" t="s">
        <v>225</v>
      </c>
      <c r="K183" s="146">
        <v>10</v>
      </c>
      <c r="L183" s="218">
        <v>0</v>
      </c>
      <c r="M183" s="217"/>
      <c r="N183" s="219">
        <f>ROUND($L$183*$K$183,2)</f>
        <v>0</v>
      </c>
      <c r="O183" s="217"/>
      <c r="P183" s="217"/>
      <c r="Q183" s="217"/>
      <c r="R183" s="25"/>
      <c r="T183" s="147"/>
      <c r="U183" s="31" t="s">
        <v>45</v>
      </c>
      <c r="V183" s="24"/>
      <c r="W183" s="148">
        <f>$V$183*$K$183</f>
        <v>0</v>
      </c>
      <c r="X183" s="148">
        <v>0.00273</v>
      </c>
      <c r="Y183" s="148">
        <f>$X$183*$K$183</f>
        <v>0.027299999999999998</v>
      </c>
      <c r="Z183" s="148">
        <v>0</v>
      </c>
      <c r="AA183" s="149">
        <f>$Z$183*$K$183</f>
        <v>0</v>
      </c>
      <c r="AR183" s="6" t="s">
        <v>172</v>
      </c>
      <c r="AT183" s="6" t="s">
        <v>168</v>
      </c>
      <c r="AU183" s="6" t="s">
        <v>110</v>
      </c>
      <c r="AY183" s="6" t="s">
        <v>167</v>
      </c>
      <c r="BE183" s="93">
        <f>IF($U$183="základní",$N$183,0)</f>
        <v>0</v>
      </c>
      <c r="BF183" s="93">
        <f>IF($U$183="snížená",$N$183,0)</f>
        <v>0</v>
      </c>
      <c r="BG183" s="93">
        <f>IF($U$183="zákl. přenesená",$N$183,0)</f>
        <v>0</v>
      </c>
      <c r="BH183" s="93">
        <f>IF($U$183="sníž. přenesená",$N$183,0)</f>
        <v>0</v>
      </c>
      <c r="BI183" s="93">
        <f>IF($U$183="nulová",$N$183,0)</f>
        <v>0</v>
      </c>
      <c r="BJ183" s="6" t="s">
        <v>22</v>
      </c>
      <c r="BK183" s="93">
        <f>ROUND($L$183*$K$183,2)</f>
        <v>0</v>
      </c>
      <c r="BL183" s="6" t="s">
        <v>172</v>
      </c>
      <c r="BM183" s="6" t="s">
        <v>670</v>
      </c>
    </row>
    <row r="184" spans="2:65" s="6" customFormat="1" ht="15.75" customHeight="1">
      <c r="B184" s="23"/>
      <c r="C184" s="143" t="s">
        <v>339</v>
      </c>
      <c r="D184" s="143" t="s">
        <v>168</v>
      </c>
      <c r="E184" s="144" t="s">
        <v>671</v>
      </c>
      <c r="F184" s="216" t="s">
        <v>672</v>
      </c>
      <c r="G184" s="217"/>
      <c r="H184" s="217"/>
      <c r="I184" s="217"/>
      <c r="J184" s="145" t="s">
        <v>233</v>
      </c>
      <c r="K184" s="146">
        <v>1</v>
      </c>
      <c r="L184" s="218">
        <v>0</v>
      </c>
      <c r="M184" s="217"/>
      <c r="N184" s="219">
        <f>ROUND($L$184*$K$184,2)</f>
        <v>0</v>
      </c>
      <c r="O184" s="217"/>
      <c r="P184" s="217"/>
      <c r="Q184" s="217"/>
      <c r="R184" s="25"/>
      <c r="T184" s="147"/>
      <c r="U184" s="31" t="s">
        <v>45</v>
      </c>
      <c r="V184" s="24"/>
      <c r="W184" s="148">
        <f>$V$184*$K$184</f>
        <v>0</v>
      </c>
      <c r="X184" s="148">
        <v>0.00285</v>
      </c>
      <c r="Y184" s="148">
        <f>$X$184*$K$184</f>
        <v>0.00285</v>
      </c>
      <c r="Z184" s="148">
        <v>0</v>
      </c>
      <c r="AA184" s="149">
        <f>$Z$184*$K$184</f>
        <v>0</v>
      </c>
      <c r="AR184" s="6" t="s">
        <v>172</v>
      </c>
      <c r="AT184" s="6" t="s">
        <v>168</v>
      </c>
      <c r="AU184" s="6" t="s">
        <v>110</v>
      </c>
      <c r="AY184" s="6" t="s">
        <v>167</v>
      </c>
      <c r="BE184" s="93">
        <f>IF($U$184="základní",$N$184,0)</f>
        <v>0</v>
      </c>
      <c r="BF184" s="93">
        <f>IF($U$184="snížená",$N$184,0)</f>
        <v>0</v>
      </c>
      <c r="BG184" s="93">
        <f>IF($U$184="zákl. přenesená",$N$184,0)</f>
        <v>0</v>
      </c>
      <c r="BH184" s="93">
        <f>IF($U$184="sníž. přenesená",$N$184,0)</f>
        <v>0</v>
      </c>
      <c r="BI184" s="93">
        <f>IF($U$184="nulová",$N$184,0)</f>
        <v>0</v>
      </c>
      <c r="BJ184" s="6" t="s">
        <v>22</v>
      </c>
      <c r="BK184" s="93">
        <f>ROUND($L$184*$K$184,2)</f>
        <v>0</v>
      </c>
      <c r="BL184" s="6" t="s">
        <v>172</v>
      </c>
      <c r="BM184" s="6" t="s">
        <v>673</v>
      </c>
    </row>
    <row r="185" spans="2:65" s="6" customFormat="1" ht="27" customHeight="1">
      <c r="B185" s="23"/>
      <c r="C185" s="150" t="s">
        <v>343</v>
      </c>
      <c r="D185" s="150" t="s">
        <v>197</v>
      </c>
      <c r="E185" s="151" t="s">
        <v>674</v>
      </c>
      <c r="F185" s="220" t="s">
        <v>675</v>
      </c>
      <c r="G185" s="221"/>
      <c r="H185" s="221"/>
      <c r="I185" s="221"/>
      <c r="J185" s="152" t="s">
        <v>233</v>
      </c>
      <c r="K185" s="153">
        <v>1</v>
      </c>
      <c r="L185" s="222">
        <v>0</v>
      </c>
      <c r="M185" s="221"/>
      <c r="N185" s="223">
        <f>ROUND($L$185*$K$185,2)</f>
        <v>0</v>
      </c>
      <c r="O185" s="217"/>
      <c r="P185" s="217"/>
      <c r="Q185" s="217"/>
      <c r="R185" s="25"/>
      <c r="T185" s="147"/>
      <c r="U185" s="31" t="s">
        <v>45</v>
      </c>
      <c r="V185" s="24"/>
      <c r="W185" s="148">
        <f>$V$185*$K$185</f>
        <v>0</v>
      </c>
      <c r="X185" s="148">
        <v>0.006</v>
      </c>
      <c r="Y185" s="148">
        <f>$X$185*$K$185</f>
        <v>0.006</v>
      </c>
      <c r="Z185" s="148">
        <v>0</v>
      </c>
      <c r="AA185" s="149">
        <f>$Z$185*$K$185</f>
        <v>0</v>
      </c>
      <c r="AR185" s="6" t="s">
        <v>196</v>
      </c>
      <c r="AT185" s="6" t="s">
        <v>197</v>
      </c>
      <c r="AU185" s="6" t="s">
        <v>110</v>
      </c>
      <c r="AY185" s="6" t="s">
        <v>167</v>
      </c>
      <c r="BE185" s="93">
        <f>IF($U$185="základní",$N$185,0)</f>
        <v>0</v>
      </c>
      <c r="BF185" s="93">
        <f>IF($U$185="snížená",$N$185,0)</f>
        <v>0</v>
      </c>
      <c r="BG185" s="93">
        <f>IF($U$185="zákl. přenesená",$N$185,0)</f>
        <v>0</v>
      </c>
      <c r="BH185" s="93">
        <f>IF($U$185="sníž. přenesená",$N$185,0)</f>
        <v>0</v>
      </c>
      <c r="BI185" s="93">
        <f>IF($U$185="nulová",$N$185,0)</f>
        <v>0</v>
      </c>
      <c r="BJ185" s="6" t="s">
        <v>22</v>
      </c>
      <c r="BK185" s="93">
        <f>ROUND($L$185*$K$185,2)</f>
        <v>0</v>
      </c>
      <c r="BL185" s="6" t="s">
        <v>172</v>
      </c>
      <c r="BM185" s="6" t="s">
        <v>676</v>
      </c>
    </row>
    <row r="186" spans="2:65" s="6" customFormat="1" ht="27" customHeight="1">
      <c r="B186" s="23"/>
      <c r="C186" s="143" t="s">
        <v>347</v>
      </c>
      <c r="D186" s="143" t="s">
        <v>168</v>
      </c>
      <c r="E186" s="144" t="s">
        <v>677</v>
      </c>
      <c r="F186" s="216" t="s">
        <v>678</v>
      </c>
      <c r="G186" s="217"/>
      <c r="H186" s="217"/>
      <c r="I186" s="217"/>
      <c r="J186" s="145" t="s">
        <v>233</v>
      </c>
      <c r="K186" s="146">
        <v>4</v>
      </c>
      <c r="L186" s="218">
        <v>0</v>
      </c>
      <c r="M186" s="217"/>
      <c r="N186" s="219">
        <f>ROUND($L$186*$K$186,2)</f>
        <v>0</v>
      </c>
      <c r="O186" s="217"/>
      <c r="P186" s="217"/>
      <c r="Q186" s="217"/>
      <c r="R186" s="25"/>
      <c r="T186" s="147"/>
      <c r="U186" s="31" t="s">
        <v>45</v>
      </c>
      <c r="V186" s="24"/>
      <c r="W186" s="148">
        <f>$V$186*$K$186</f>
        <v>0</v>
      </c>
      <c r="X186" s="148">
        <v>0.06387</v>
      </c>
      <c r="Y186" s="148">
        <f>$X$186*$K$186</f>
        <v>0.25548</v>
      </c>
      <c r="Z186" s="148">
        <v>0</v>
      </c>
      <c r="AA186" s="149">
        <f>$Z$186*$K$186</f>
        <v>0</v>
      </c>
      <c r="AR186" s="6" t="s">
        <v>172</v>
      </c>
      <c r="AT186" s="6" t="s">
        <v>168</v>
      </c>
      <c r="AU186" s="6" t="s">
        <v>110</v>
      </c>
      <c r="AY186" s="6" t="s">
        <v>167</v>
      </c>
      <c r="BE186" s="93">
        <f>IF($U$186="základní",$N$186,0)</f>
        <v>0</v>
      </c>
      <c r="BF186" s="93">
        <f>IF($U$186="snížená",$N$186,0)</f>
        <v>0</v>
      </c>
      <c r="BG186" s="93">
        <f>IF($U$186="zákl. přenesená",$N$186,0)</f>
        <v>0</v>
      </c>
      <c r="BH186" s="93">
        <f>IF($U$186="sníž. přenesená",$N$186,0)</f>
        <v>0</v>
      </c>
      <c r="BI186" s="93">
        <f>IF($U$186="nulová",$N$186,0)</f>
        <v>0</v>
      </c>
      <c r="BJ186" s="6" t="s">
        <v>22</v>
      </c>
      <c r="BK186" s="93">
        <f>ROUND($L$186*$K$186,2)</f>
        <v>0</v>
      </c>
      <c r="BL186" s="6" t="s">
        <v>172</v>
      </c>
      <c r="BM186" s="6" t="s">
        <v>679</v>
      </c>
    </row>
    <row r="187" spans="2:65" s="6" customFormat="1" ht="39" customHeight="1">
      <c r="B187" s="23"/>
      <c r="C187" s="143" t="s">
        <v>351</v>
      </c>
      <c r="D187" s="143" t="s">
        <v>168</v>
      </c>
      <c r="E187" s="144" t="s">
        <v>680</v>
      </c>
      <c r="F187" s="216" t="s">
        <v>681</v>
      </c>
      <c r="G187" s="217"/>
      <c r="H187" s="217"/>
      <c r="I187" s="217"/>
      <c r="J187" s="145" t="s">
        <v>233</v>
      </c>
      <c r="K187" s="146">
        <v>4</v>
      </c>
      <c r="L187" s="218">
        <v>0</v>
      </c>
      <c r="M187" s="217"/>
      <c r="N187" s="219">
        <f>ROUND($L$187*$K$187,2)</f>
        <v>0</v>
      </c>
      <c r="O187" s="217"/>
      <c r="P187" s="217"/>
      <c r="Q187" s="217"/>
      <c r="R187" s="25"/>
      <c r="T187" s="147"/>
      <c r="U187" s="31" t="s">
        <v>45</v>
      </c>
      <c r="V187" s="24"/>
      <c r="W187" s="148">
        <f>$V$187*$K$187</f>
        <v>0</v>
      </c>
      <c r="X187" s="148">
        <v>0.01028</v>
      </c>
      <c r="Y187" s="148">
        <f>$X$187*$K$187</f>
        <v>0.04112</v>
      </c>
      <c r="Z187" s="148">
        <v>0</v>
      </c>
      <c r="AA187" s="149">
        <f>$Z$187*$K$187</f>
        <v>0</v>
      </c>
      <c r="AR187" s="6" t="s">
        <v>172</v>
      </c>
      <c r="AT187" s="6" t="s">
        <v>168</v>
      </c>
      <c r="AU187" s="6" t="s">
        <v>110</v>
      </c>
      <c r="AY187" s="6" t="s">
        <v>167</v>
      </c>
      <c r="BE187" s="93">
        <f>IF($U$187="základní",$N$187,0)</f>
        <v>0</v>
      </c>
      <c r="BF187" s="93">
        <f>IF($U$187="snížená",$N$187,0)</f>
        <v>0</v>
      </c>
      <c r="BG187" s="93">
        <f>IF($U$187="zákl. přenesená",$N$187,0)</f>
        <v>0</v>
      </c>
      <c r="BH187" s="93">
        <f>IF($U$187="sníž. přenesená",$N$187,0)</f>
        <v>0</v>
      </c>
      <c r="BI187" s="93">
        <f>IF($U$187="nulová",$N$187,0)</f>
        <v>0</v>
      </c>
      <c r="BJ187" s="6" t="s">
        <v>22</v>
      </c>
      <c r="BK187" s="93">
        <f>ROUND($L$187*$K$187,2)</f>
        <v>0</v>
      </c>
      <c r="BL187" s="6" t="s">
        <v>172</v>
      </c>
      <c r="BM187" s="6" t="s">
        <v>682</v>
      </c>
    </row>
    <row r="188" spans="2:65" s="6" customFormat="1" ht="27" customHeight="1">
      <c r="B188" s="23"/>
      <c r="C188" s="143" t="s">
        <v>355</v>
      </c>
      <c r="D188" s="143" t="s">
        <v>168</v>
      </c>
      <c r="E188" s="144" t="s">
        <v>683</v>
      </c>
      <c r="F188" s="216" t="s">
        <v>684</v>
      </c>
      <c r="G188" s="217"/>
      <c r="H188" s="217"/>
      <c r="I188" s="217"/>
      <c r="J188" s="145" t="s">
        <v>233</v>
      </c>
      <c r="K188" s="146">
        <v>4</v>
      </c>
      <c r="L188" s="218">
        <v>0</v>
      </c>
      <c r="M188" s="217"/>
      <c r="N188" s="219">
        <f>ROUND($L$188*$K$188,2)</f>
        <v>0</v>
      </c>
      <c r="O188" s="217"/>
      <c r="P188" s="217"/>
      <c r="Q188" s="217"/>
      <c r="R188" s="25"/>
      <c r="T188" s="147"/>
      <c r="U188" s="31" t="s">
        <v>45</v>
      </c>
      <c r="V188" s="24"/>
      <c r="W188" s="148">
        <f>$V$188*$K$188</f>
        <v>0</v>
      </c>
      <c r="X188" s="148">
        <v>0</v>
      </c>
      <c r="Y188" s="148">
        <f>$X$188*$K$188</f>
        <v>0</v>
      </c>
      <c r="Z188" s="148">
        <v>0</v>
      </c>
      <c r="AA188" s="149">
        <f>$Z$188*$K$188</f>
        <v>0</v>
      </c>
      <c r="AR188" s="6" t="s">
        <v>172</v>
      </c>
      <c r="AT188" s="6" t="s">
        <v>168</v>
      </c>
      <c r="AU188" s="6" t="s">
        <v>110</v>
      </c>
      <c r="AY188" s="6" t="s">
        <v>167</v>
      </c>
      <c r="BE188" s="93">
        <f>IF($U$188="základní",$N$188,0)</f>
        <v>0</v>
      </c>
      <c r="BF188" s="93">
        <f>IF($U$188="snížená",$N$188,0)</f>
        <v>0</v>
      </c>
      <c r="BG188" s="93">
        <f>IF($U$188="zákl. přenesená",$N$188,0)</f>
        <v>0</v>
      </c>
      <c r="BH188" s="93">
        <f>IF($U$188="sníž. přenesená",$N$188,0)</f>
        <v>0</v>
      </c>
      <c r="BI188" s="93">
        <f>IF($U$188="nulová",$N$188,0)</f>
        <v>0</v>
      </c>
      <c r="BJ188" s="6" t="s">
        <v>22</v>
      </c>
      <c r="BK188" s="93">
        <f>ROUND($L$188*$K$188,2)</f>
        <v>0</v>
      </c>
      <c r="BL188" s="6" t="s">
        <v>172</v>
      </c>
      <c r="BM188" s="6" t="s">
        <v>685</v>
      </c>
    </row>
    <row r="189" spans="2:65" s="6" customFormat="1" ht="27" customHeight="1">
      <c r="B189" s="23"/>
      <c r="C189" s="143" t="s">
        <v>359</v>
      </c>
      <c r="D189" s="143" t="s">
        <v>168</v>
      </c>
      <c r="E189" s="144" t="s">
        <v>686</v>
      </c>
      <c r="F189" s="216" t="s">
        <v>687</v>
      </c>
      <c r="G189" s="217"/>
      <c r="H189" s="217"/>
      <c r="I189" s="217"/>
      <c r="J189" s="145" t="s">
        <v>233</v>
      </c>
      <c r="K189" s="146">
        <v>4</v>
      </c>
      <c r="L189" s="218">
        <v>0</v>
      </c>
      <c r="M189" s="217"/>
      <c r="N189" s="219">
        <f>ROUND($L$189*$K$189,2)</f>
        <v>0</v>
      </c>
      <c r="O189" s="217"/>
      <c r="P189" s="217"/>
      <c r="Q189" s="217"/>
      <c r="R189" s="25"/>
      <c r="T189" s="147"/>
      <c r="U189" s="31" t="s">
        <v>45</v>
      </c>
      <c r="V189" s="24"/>
      <c r="W189" s="148">
        <f>$V$189*$K$189</f>
        <v>0</v>
      </c>
      <c r="X189" s="148">
        <v>0.00626</v>
      </c>
      <c r="Y189" s="148">
        <f>$X$189*$K$189</f>
        <v>0.02504</v>
      </c>
      <c r="Z189" s="148">
        <v>0</v>
      </c>
      <c r="AA189" s="149">
        <f>$Z$189*$K$189</f>
        <v>0</v>
      </c>
      <c r="AR189" s="6" t="s">
        <v>172</v>
      </c>
      <c r="AT189" s="6" t="s">
        <v>168</v>
      </c>
      <c r="AU189" s="6" t="s">
        <v>110</v>
      </c>
      <c r="AY189" s="6" t="s">
        <v>167</v>
      </c>
      <c r="BE189" s="93">
        <f>IF($U$189="základní",$N$189,0)</f>
        <v>0</v>
      </c>
      <c r="BF189" s="93">
        <f>IF($U$189="snížená",$N$189,0)</f>
        <v>0</v>
      </c>
      <c r="BG189" s="93">
        <f>IF($U$189="zákl. přenesená",$N$189,0)</f>
        <v>0</v>
      </c>
      <c r="BH189" s="93">
        <f>IF($U$189="sníž. přenesená",$N$189,0)</f>
        <v>0</v>
      </c>
      <c r="BI189" s="93">
        <f>IF($U$189="nulová",$N$189,0)</f>
        <v>0</v>
      </c>
      <c r="BJ189" s="6" t="s">
        <v>22</v>
      </c>
      <c r="BK189" s="93">
        <f>ROUND($L$189*$K$189,2)</f>
        <v>0</v>
      </c>
      <c r="BL189" s="6" t="s">
        <v>172</v>
      </c>
      <c r="BM189" s="6" t="s">
        <v>688</v>
      </c>
    </row>
    <row r="190" spans="2:65" s="6" customFormat="1" ht="15.75" customHeight="1">
      <c r="B190" s="23"/>
      <c r="C190" s="143" t="s">
        <v>363</v>
      </c>
      <c r="D190" s="143" t="s">
        <v>168</v>
      </c>
      <c r="E190" s="144" t="s">
        <v>689</v>
      </c>
      <c r="F190" s="216" t="s">
        <v>690</v>
      </c>
      <c r="G190" s="217"/>
      <c r="H190" s="217"/>
      <c r="I190" s="217"/>
      <c r="J190" s="145" t="s">
        <v>225</v>
      </c>
      <c r="K190" s="146">
        <v>10</v>
      </c>
      <c r="L190" s="218">
        <v>0</v>
      </c>
      <c r="M190" s="217"/>
      <c r="N190" s="219">
        <f>ROUND($L$190*$K$190,2)</f>
        <v>0</v>
      </c>
      <c r="O190" s="217"/>
      <c r="P190" s="217"/>
      <c r="Q190" s="217"/>
      <c r="R190" s="25"/>
      <c r="T190" s="147"/>
      <c r="U190" s="31" t="s">
        <v>45</v>
      </c>
      <c r="V190" s="24"/>
      <c r="W190" s="148">
        <f>$V$190*$K$190</f>
        <v>0</v>
      </c>
      <c r="X190" s="148">
        <v>0.00019</v>
      </c>
      <c r="Y190" s="148">
        <f>$X$190*$K$190</f>
        <v>0.0019000000000000002</v>
      </c>
      <c r="Z190" s="148">
        <v>0</v>
      </c>
      <c r="AA190" s="149">
        <f>$Z$190*$K$190</f>
        <v>0</v>
      </c>
      <c r="AR190" s="6" t="s">
        <v>172</v>
      </c>
      <c r="AT190" s="6" t="s">
        <v>168</v>
      </c>
      <c r="AU190" s="6" t="s">
        <v>110</v>
      </c>
      <c r="AY190" s="6" t="s">
        <v>167</v>
      </c>
      <c r="BE190" s="93">
        <f>IF($U$190="základní",$N$190,0)</f>
        <v>0</v>
      </c>
      <c r="BF190" s="93">
        <f>IF($U$190="snížená",$N$190,0)</f>
        <v>0</v>
      </c>
      <c r="BG190" s="93">
        <f>IF($U$190="zákl. přenesená",$N$190,0)</f>
        <v>0</v>
      </c>
      <c r="BH190" s="93">
        <f>IF($U$190="sníž. přenesená",$N$190,0)</f>
        <v>0</v>
      </c>
      <c r="BI190" s="93">
        <f>IF($U$190="nulová",$N$190,0)</f>
        <v>0</v>
      </c>
      <c r="BJ190" s="6" t="s">
        <v>22</v>
      </c>
      <c r="BK190" s="93">
        <f>ROUND($L$190*$K$190,2)</f>
        <v>0</v>
      </c>
      <c r="BL190" s="6" t="s">
        <v>172</v>
      </c>
      <c r="BM190" s="6" t="s">
        <v>691</v>
      </c>
    </row>
    <row r="191" spans="2:65" s="6" customFormat="1" ht="27" customHeight="1">
      <c r="B191" s="23"/>
      <c r="C191" s="143" t="s">
        <v>367</v>
      </c>
      <c r="D191" s="143" t="s">
        <v>168</v>
      </c>
      <c r="E191" s="144" t="s">
        <v>692</v>
      </c>
      <c r="F191" s="216" t="s">
        <v>693</v>
      </c>
      <c r="G191" s="217"/>
      <c r="H191" s="217"/>
      <c r="I191" s="217"/>
      <c r="J191" s="145" t="s">
        <v>225</v>
      </c>
      <c r="K191" s="146">
        <v>10</v>
      </c>
      <c r="L191" s="218">
        <v>0</v>
      </c>
      <c r="M191" s="217"/>
      <c r="N191" s="219">
        <f>ROUND($L$191*$K$191,2)</f>
        <v>0</v>
      </c>
      <c r="O191" s="217"/>
      <c r="P191" s="217"/>
      <c r="Q191" s="217"/>
      <c r="R191" s="25"/>
      <c r="T191" s="147"/>
      <c r="U191" s="31" t="s">
        <v>45</v>
      </c>
      <c r="V191" s="24"/>
      <c r="W191" s="148">
        <f>$V$191*$K$191</f>
        <v>0</v>
      </c>
      <c r="X191" s="148">
        <v>0.00013</v>
      </c>
      <c r="Y191" s="148">
        <f>$X$191*$K$191</f>
        <v>0.0013</v>
      </c>
      <c r="Z191" s="148">
        <v>0</v>
      </c>
      <c r="AA191" s="149">
        <f>$Z$191*$K$191</f>
        <v>0</v>
      </c>
      <c r="AR191" s="6" t="s">
        <v>172</v>
      </c>
      <c r="AT191" s="6" t="s">
        <v>168</v>
      </c>
      <c r="AU191" s="6" t="s">
        <v>110</v>
      </c>
      <c r="AY191" s="6" t="s">
        <v>167</v>
      </c>
      <c r="BE191" s="93">
        <f>IF($U$191="základní",$N$191,0)</f>
        <v>0</v>
      </c>
      <c r="BF191" s="93">
        <f>IF($U$191="snížená",$N$191,0)</f>
        <v>0</v>
      </c>
      <c r="BG191" s="93">
        <f>IF($U$191="zákl. přenesená",$N$191,0)</f>
        <v>0</v>
      </c>
      <c r="BH191" s="93">
        <f>IF($U$191="sníž. přenesená",$N$191,0)</f>
        <v>0</v>
      </c>
      <c r="BI191" s="93">
        <f>IF($U$191="nulová",$N$191,0)</f>
        <v>0</v>
      </c>
      <c r="BJ191" s="6" t="s">
        <v>22</v>
      </c>
      <c r="BK191" s="93">
        <f>ROUND($L$191*$K$191,2)</f>
        <v>0</v>
      </c>
      <c r="BL191" s="6" t="s">
        <v>172</v>
      </c>
      <c r="BM191" s="6" t="s">
        <v>694</v>
      </c>
    </row>
    <row r="192" spans="2:63" s="132" customFormat="1" ht="30.75" customHeight="1">
      <c r="B192" s="133"/>
      <c r="C192" s="134"/>
      <c r="D192" s="142" t="s">
        <v>542</v>
      </c>
      <c r="E192" s="142"/>
      <c r="F192" s="142"/>
      <c r="G192" s="142"/>
      <c r="H192" s="142"/>
      <c r="I192" s="142"/>
      <c r="J192" s="142"/>
      <c r="K192" s="142"/>
      <c r="L192" s="142"/>
      <c r="M192" s="142"/>
      <c r="N192" s="228">
        <f>$BK$192</f>
        <v>0</v>
      </c>
      <c r="O192" s="227"/>
      <c r="P192" s="227"/>
      <c r="Q192" s="227"/>
      <c r="R192" s="136"/>
      <c r="T192" s="137"/>
      <c r="U192" s="134"/>
      <c r="V192" s="134"/>
      <c r="W192" s="138">
        <f>$W$193</f>
        <v>0</v>
      </c>
      <c r="X192" s="134"/>
      <c r="Y192" s="138">
        <f>$Y$193</f>
        <v>0</v>
      </c>
      <c r="Z192" s="134"/>
      <c r="AA192" s="139">
        <f>$AA$193</f>
        <v>3.0979200000000002</v>
      </c>
      <c r="AR192" s="140" t="s">
        <v>22</v>
      </c>
      <c r="AT192" s="140" t="s">
        <v>79</v>
      </c>
      <c r="AU192" s="140" t="s">
        <v>22</v>
      </c>
      <c r="AY192" s="140" t="s">
        <v>167</v>
      </c>
      <c r="BK192" s="141">
        <f>$BK$193</f>
        <v>0</v>
      </c>
    </row>
    <row r="193" spans="2:65" s="6" customFormat="1" ht="15.75" customHeight="1">
      <c r="B193" s="23"/>
      <c r="C193" s="143" t="s">
        <v>371</v>
      </c>
      <c r="D193" s="143" t="s">
        <v>168</v>
      </c>
      <c r="E193" s="144" t="s">
        <v>695</v>
      </c>
      <c r="F193" s="216" t="s">
        <v>696</v>
      </c>
      <c r="G193" s="217"/>
      <c r="H193" s="217"/>
      <c r="I193" s="217"/>
      <c r="J193" s="145" t="s">
        <v>205</v>
      </c>
      <c r="K193" s="146">
        <v>221.28</v>
      </c>
      <c r="L193" s="218">
        <v>0</v>
      </c>
      <c r="M193" s="217"/>
      <c r="N193" s="219">
        <f>ROUND($L$193*$K$193,2)</f>
        <v>0</v>
      </c>
      <c r="O193" s="217"/>
      <c r="P193" s="217"/>
      <c r="Q193" s="217"/>
      <c r="R193" s="25"/>
      <c r="T193" s="147"/>
      <c r="U193" s="31" t="s">
        <v>45</v>
      </c>
      <c r="V193" s="24"/>
      <c r="W193" s="148">
        <f>$V$193*$K$193</f>
        <v>0</v>
      </c>
      <c r="X193" s="148">
        <v>0</v>
      </c>
      <c r="Y193" s="148">
        <f>$X$193*$K$193</f>
        <v>0</v>
      </c>
      <c r="Z193" s="148">
        <v>0.014</v>
      </c>
      <c r="AA193" s="149">
        <f>$Z$193*$K$193</f>
        <v>3.0979200000000002</v>
      </c>
      <c r="AR193" s="6" t="s">
        <v>172</v>
      </c>
      <c r="AT193" s="6" t="s">
        <v>168</v>
      </c>
      <c r="AU193" s="6" t="s">
        <v>110</v>
      </c>
      <c r="AY193" s="6" t="s">
        <v>167</v>
      </c>
      <c r="BE193" s="93">
        <f>IF($U$193="základní",$N$193,0)</f>
        <v>0</v>
      </c>
      <c r="BF193" s="93">
        <f>IF($U$193="snížená",$N$193,0)</f>
        <v>0</v>
      </c>
      <c r="BG193" s="93">
        <f>IF($U$193="zákl. přenesená",$N$193,0)</f>
        <v>0</v>
      </c>
      <c r="BH193" s="93">
        <f>IF($U$193="sníž. přenesená",$N$193,0)</f>
        <v>0</v>
      </c>
      <c r="BI193" s="93">
        <f>IF($U$193="nulová",$N$193,0)</f>
        <v>0</v>
      </c>
      <c r="BJ193" s="6" t="s">
        <v>22</v>
      </c>
      <c r="BK193" s="93">
        <f>ROUND($L$193*$K$193,2)</f>
        <v>0</v>
      </c>
      <c r="BL193" s="6" t="s">
        <v>172</v>
      </c>
      <c r="BM193" s="6" t="s">
        <v>697</v>
      </c>
    </row>
    <row r="194" spans="2:63" s="132" customFormat="1" ht="30.75" customHeight="1">
      <c r="B194" s="133"/>
      <c r="C194" s="134"/>
      <c r="D194" s="142" t="s">
        <v>543</v>
      </c>
      <c r="E194" s="142"/>
      <c r="F194" s="142"/>
      <c r="G194" s="142"/>
      <c r="H194" s="142"/>
      <c r="I194" s="142"/>
      <c r="J194" s="142"/>
      <c r="K194" s="142"/>
      <c r="L194" s="142"/>
      <c r="M194" s="142"/>
      <c r="N194" s="228">
        <f>$BK$194</f>
        <v>0</v>
      </c>
      <c r="O194" s="227"/>
      <c r="P194" s="227"/>
      <c r="Q194" s="227"/>
      <c r="R194" s="136"/>
      <c r="T194" s="137"/>
      <c r="U194" s="134"/>
      <c r="V194" s="134"/>
      <c r="W194" s="138">
        <f>SUM($W$195:$W$197)</f>
        <v>0</v>
      </c>
      <c r="X194" s="134"/>
      <c r="Y194" s="138">
        <f>SUM($Y$195:$Y$197)</f>
        <v>0</v>
      </c>
      <c r="Z194" s="134"/>
      <c r="AA194" s="139">
        <f>SUM($AA$195:$AA$197)</f>
        <v>0</v>
      </c>
      <c r="AR194" s="140" t="s">
        <v>22</v>
      </c>
      <c r="AT194" s="140" t="s">
        <v>79</v>
      </c>
      <c r="AU194" s="140" t="s">
        <v>22</v>
      </c>
      <c r="AY194" s="140" t="s">
        <v>167</v>
      </c>
      <c r="BK194" s="141">
        <f>SUM($BK$195:$BK$197)</f>
        <v>0</v>
      </c>
    </row>
    <row r="195" spans="2:65" s="6" customFormat="1" ht="27" customHeight="1">
      <c r="B195" s="23"/>
      <c r="C195" s="143" t="s">
        <v>375</v>
      </c>
      <c r="D195" s="143" t="s">
        <v>168</v>
      </c>
      <c r="E195" s="144" t="s">
        <v>698</v>
      </c>
      <c r="F195" s="216" t="s">
        <v>699</v>
      </c>
      <c r="G195" s="217"/>
      <c r="H195" s="217"/>
      <c r="I195" s="217"/>
      <c r="J195" s="145" t="s">
        <v>200</v>
      </c>
      <c r="K195" s="146">
        <v>71.329</v>
      </c>
      <c r="L195" s="218">
        <v>0</v>
      </c>
      <c r="M195" s="217"/>
      <c r="N195" s="219">
        <f>ROUND($L$195*$K$195,2)</f>
        <v>0</v>
      </c>
      <c r="O195" s="217"/>
      <c r="P195" s="217"/>
      <c r="Q195" s="217"/>
      <c r="R195" s="25"/>
      <c r="T195" s="147"/>
      <c r="U195" s="31" t="s">
        <v>45</v>
      </c>
      <c r="V195" s="24"/>
      <c r="W195" s="148">
        <f>$V$195*$K$195</f>
        <v>0</v>
      </c>
      <c r="X195" s="148">
        <v>0</v>
      </c>
      <c r="Y195" s="148">
        <f>$X$195*$K$195</f>
        <v>0</v>
      </c>
      <c r="Z195" s="148">
        <v>0</v>
      </c>
      <c r="AA195" s="149">
        <f>$Z$195*$K$195</f>
        <v>0</v>
      </c>
      <c r="AR195" s="6" t="s">
        <v>172</v>
      </c>
      <c r="AT195" s="6" t="s">
        <v>168</v>
      </c>
      <c r="AU195" s="6" t="s">
        <v>110</v>
      </c>
      <c r="AY195" s="6" t="s">
        <v>167</v>
      </c>
      <c r="BE195" s="93">
        <f>IF($U$195="základní",$N$195,0)</f>
        <v>0</v>
      </c>
      <c r="BF195" s="93">
        <f>IF($U$195="snížená",$N$195,0)</f>
        <v>0</v>
      </c>
      <c r="BG195" s="93">
        <f>IF($U$195="zákl. přenesená",$N$195,0)</f>
        <v>0</v>
      </c>
      <c r="BH195" s="93">
        <f>IF($U$195="sníž. přenesená",$N$195,0)</f>
        <v>0</v>
      </c>
      <c r="BI195" s="93">
        <f>IF($U$195="nulová",$N$195,0)</f>
        <v>0</v>
      </c>
      <c r="BJ195" s="6" t="s">
        <v>22</v>
      </c>
      <c r="BK195" s="93">
        <f>ROUND($L$195*$K$195,2)</f>
        <v>0</v>
      </c>
      <c r="BL195" s="6" t="s">
        <v>172</v>
      </c>
      <c r="BM195" s="6" t="s">
        <v>700</v>
      </c>
    </row>
    <row r="196" spans="2:65" s="6" customFormat="1" ht="27" customHeight="1">
      <c r="B196" s="23"/>
      <c r="C196" s="143" t="s">
        <v>379</v>
      </c>
      <c r="D196" s="143" t="s">
        <v>168</v>
      </c>
      <c r="E196" s="144" t="s">
        <v>701</v>
      </c>
      <c r="F196" s="216" t="s">
        <v>702</v>
      </c>
      <c r="G196" s="217"/>
      <c r="H196" s="217"/>
      <c r="I196" s="217"/>
      <c r="J196" s="145" t="s">
        <v>200</v>
      </c>
      <c r="K196" s="146">
        <v>123.18</v>
      </c>
      <c r="L196" s="218">
        <v>0</v>
      </c>
      <c r="M196" s="217"/>
      <c r="N196" s="219">
        <f>ROUND($L$196*$K$196,2)</f>
        <v>0</v>
      </c>
      <c r="O196" s="217"/>
      <c r="P196" s="217"/>
      <c r="Q196" s="217"/>
      <c r="R196" s="25"/>
      <c r="T196" s="147"/>
      <c r="U196" s="31" t="s">
        <v>45</v>
      </c>
      <c r="V196" s="24"/>
      <c r="W196" s="148">
        <f>$V$196*$K$196</f>
        <v>0</v>
      </c>
      <c r="X196" s="148">
        <v>0</v>
      </c>
      <c r="Y196" s="148">
        <f>$X$196*$K$196</f>
        <v>0</v>
      </c>
      <c r="Z196" s="148">
        <v>0</v>
      </c>
      <c r="AA196" s="149">
        <f>$Z$196*$K$196</f>
        <v>0</v>
      </c>
      <c r="AR196" s="6" t="s">
        <v>172</v>
      </c>
      <c r="AT196" s="6" t="s">
        <v>168</v>
      </c>
      <c r="AU196" s="6" t="s">
        <v>110</v>
      </c>
      <c r="AY196" s="6" t="s">
        <v>167</v>
      </c>
      <c r="BE196" s="93">
        <f>IF($U$196="základní",$N$196,0)</f>
        <v>0</v>
      </c>
      <c r="BF196" s="93">
        <f>IF($U$196="snížená",$N$196,0)</f>
        <v>0</v>
      </c>
      <c r="BG196" s="93">
        <f>IF($U$196="zákl. přenesená",$N$196,0)</f>
        <v>0</v>
      </c>
      <c r="BH196" s="93">
        <f>IF($U$196="sníž. přenesená",$N$196,0)</f>
        <v>0</v>
      </c>
      <c r="BI196" s="93">
        <f>IF($U$196="nulová",$N$196,0)</f>
        <v>0</v>
      </c>
      <c r="BJ196" s="6" t="s">
        <v>22</v>
      </c>
      <c r="BK196" s="93">
        <f>ROUND($L$196*$K$196,2)</f>
        <v>0</v>
      </c>
      <c r="BL196" s="6" t="s">
        <v>172</v>
      </c>
      <c r="BM196" s="6" t="s">
        <v>703</v>
      </c>
    </row>
    <row r="197" spans="2:65" s="6" customFormat="1" ht="27" customHeight="1">
      <c r="B197" s="23"/>
      <c r="C197" s="143" t="s">
        <v>383</v>
      </c>
      <c r="D197" s="143" t="s">
        <v>168</v>
      </c>
      <c r="E197" s="144" t="s">
        <v>704</v>
      </c>
      <c r="F197" s="216" t="s">
        <v>705</v>
      </c>
      <c r="G197" s="217"/>
      <c r="H197" s="217"/>
      <c r="I197" s="217"/>
      <c r="J197" s="145" t="s">
        <v>200</v>
      </c>
      <c r="K197" s="146">
        <v>71.329</v>
      </c>
      <c r="L197" s="218">
        <v>0</v>
      </c>
      <c r="M197" s="217"/>
      <c r="N197" s="219">
        <f>ROUND($L$197*$K$197,2)</f>
        <v>0</v>
      </c>
      <c r="O197" s="217"/>
      <c r="P197" s="217"/>
      <c r="Q197" s="217"/>
      <c r="R197" s="25"/>
      <c r="T197" s="147"/>
      <c r="U197" s="31" t="s">
        <v>45</v>
      </c>
      <c r="V197" s="24"/>
      <c r="W197" s="148">
        <f>$V$197*$K$197</f>
        <v>0</v>
      </c>
      <c r="X197" s="148">
        <v>0</v>
      </c>
      <c r="Y197" s="148">
        <f>$X$197*$K$197</f>
        <v>0</v>
      </c>
      <c r="Z197" s="148">
        <v>0</v>
      </c>
      <c r="AA197" s="149">
        <f>$Z$197*$K$197</f>
        <v>0</v>
      </c>
      <c r="AR197" s="6" t="s">
        <v>172</v>
      </c>
      <c r="AT197" s="6" t="s">
        <v>168</v>
      </c>
      <c r="AU197" s="6" t="s">
        <v>110</v>
      </c>
      <c r="AY197" s="6" t="s">
        <v>167</v>
      </c>
      <c r="BE197" s="93">
        <f>IF($U$197="základní",$N$197,0)</f>
        <v>0</v>
      </c>
      <c r="BF197" s="93">
        <f>IF($U$197="snížená",$N$197,0)</f>
        <v>0</v>
      </c>
      <c r="BG197" s="93">
        <f>IF($U$197="zákl. přenesená",$N$197,0)</f>
        <v>0</v>
      </c>
      <c r="BH197" s="93">
        <f>IF($U$197="sníž. přenesená",$N$197,0)</f>
        <v>0</v>
      </c>
      <c r="BI197" s="93">
        <f>IF($U$197="nulová",$N$197,0)</f>
        <v>0</v>
      </c>
      <c r="BJ197" s="6" t="s">
        <v>22</v>
      </c>
      <c r="BK197" s="93">
        <f>ROUND($L$197*$K$197,2)</f>
        <v>0</v>
      </c>
      <c r="BL197" s="6" t="s">
        <v>172</v>
      </c>
      <c r="BM197" s="6" t="s">
        <v>706</v>
      </c>
    </row>
    <row r="198" spans="2:63" s="132" customFormat="1" ht="30.75" customHeight="1">
      <c r="B198" s="133"/>
      <c r="C198" s="134"/>
      <c r="D198" s="142" t="s">
        <v>544</v>
      </c>
      <c r="E198" s="142"/>
      <c r="F198" s="142"/>
      <c r="G198" s="142"/>
      <c r="H198" s="142"/>
      <c r="I198" s="142"/>
      <c r="J198" s="142"/>
      <c r="K198" s="142"/>
      <c r="L198" s="142"/>
      <c r="M198" s="142"/>
      <c r="N198" s="228">
        <f>$BK$198</f>
        <v>0</v>
      </c>
      <c r="O198" s="227"/>
      <c r="P198" s="227"/>
      <c r="Q198" s="227"/>
      <c r="R198" s="136"/>
      <c r="T198" s="137"/>
      <c r="U198" s="134"/>
      <c r="V198" s="134"/>
      <c r="W198" s="138">
        <f>$W$199</f>
        <v>0</v>
      </c>
      <c r="X198" s="134"/>
      <c r="Y198" s="138">
        <f>$Y$199</f>
        <v>0</v>
      </c>
      <c r="Z198" s="134"/>
      <c r="AA198" s="139">
        <f>$AA$199</f>
        <v>0</v>
      </c>
      <c r="AR198" s="140" t="s">
        <v>22</v>
      </c>
      <c r="AT198" s="140" t="s">
        <v>79</v>
      </c>
      <c r="AU198" s="140" t="s">
        <v>22</v>
      </c>
      <c r="AY198" s="140" t="s">
        <v>167</v>
      </c>
      <c r="BK198" s="141">
        <f>$BK$199</f>
        <v>0</v>
      </c>
    </row>
    <row r="199" spans="2:65" s="6" customFormat="1" ht="27" customHeight="1">
      <c r="B199" s="23"/>
      <c r="C199" s="143" t="s">
        <v>387</v>
      </c>
      <c r="D199" s="143" t="s">
        <v>168</v>
      </c>
      <c r="E199" s="144" t="s">
        <v>707</v>
      </c>
      <c r="F199" s="216" t="s">
        <v>708</v>
      </c>
      <c r="G199" s="217"/>
      <c r="H199" s="217"/>
      <c r="I199" s="217"/>
      <c r="J199" s="145" t="s">
        <v>200</v>
      </c>
      <c r="K199" s="146">
        <v>110.825</v>
      </c>
      <c r="L199" s="218">
        <v>0</v>
      </c>
      <c r="M199" s="217"/>
      <c r="N199" s="219">
        <f>ROUND($L$199*$K$199,2)</f>
        <v>0</v>
      </c>
      <c r="O199" s="217"/>
      <c r="P199" s="217"/>
      <c r="Q199" s="217"/>
      <c r="R199" s="25"/>
      <c r="T199" s="147"/>
      <c r="U199" s="31" t="s">
        <v>45</v>
      </c>
      <c r="V199" s="24"/>
      <c r="W199" s="148">
        <f>$V$199*$K$199</f>
        <v>0</v>
      </c>
      <c r="X199" s="148">
        <v>0</v>
      </c>
      <c r="Y199" s="148">
        <f>$X$199*$K$199</f>
        <v>0</v>
      </c>
      <c r="Z199" s="148">
        <v>0</v>
      </c>
      <c r="AA199" s="149">
        <f>$Z$199*$K$199</f>
        <v>0</v>
      </c>
      <c r="AR199" s="6" t="s">
        <v>172</v>
      </c>
      <c r="AT199" s="6" t="s">
        <v>168</v>
      </c>
      <c r="AU199" s="6" t="s">
        <v>110</v>
      </c>
      <c r="AY199" s="6" t="s">
        <v>167</v>
      </c>
      <c r="BE199" s="93">
        <f>IF($U$199="základní",$N$199,0)</f>
        <v>0</v>
      </c>
      <c r="BF199" s="93">
        <f>IF($U$199="snížená",$N$199,0)</f>
        <v>0</v>
      </c>
      <c r="BG199" s="93">
        <f>IF($U$199="zákl. přenesená",$N$199,0)</f>
        <v>0</v>
      </c>
      <c r="BH199" s="93">
        <f>IF($U$199="sníž. přenesená",$N$199,0)</f>
        <v>0</v>
      </c>
      <c r="BI199" s="93">
        <f>IF($U$199="nulová",$N$199,0)</f>
        <v>0</v>
      </c>
      <c r="BJ199" s="6" t="s">
        <v>22</v>
      </c>
      <c r="BK199" s="93">
        <f>ROUND($L$199*$K$199,2)</f>
        <v>0</v>
      </c>
      <c r="BL199" s="6" t="s">
        <v>172</v>
      </c>
      <c r="BM199" s="6" t="s">
        <v>709</v>
      </c>
    </row>
    <row r="200" spans="2:63" s="132" customFormat="1" ht="37.5" customHeight="1">
      <c r="B200" s="133"/>
      <c r="C200" s="134"/>
      <c r="D200" s="135" t="s">
        <v>129</v>
      </c>
      <c r="E200" s="135"/>
      <c r="F200" s="135"/>
      <c r="G200" s="135"/>
      <c r="H200" s="135"/>
      <c r="I200" s="135"/>
      <c r="J200" s="135"/>
      <c r="K200" s="135"/>
      <c r="L200" s="135"/>
      <c r="M200" s="135"/>
      <c r="N200" s="212">
        <f>$BK$200</f>
        <v>0</v>
      </c>
      <c r="O200" s="227"/>
      <c r="P200" s="227"/>
      <c r="Q200" s="227"/>
      <c r="R200" s="136"/>
      <c r="T200" s="137"/>
      <c r="U200" s="134"/>
      <c r="V200" s="134"/>
      <c r="W200" s="138">
        <f>$W$201+$W$208</f>
        <v>0</v>
      </c>
      <c r="X200" s="134"/>
      <c r="Y200" s="138">
        <f>$Y$201+$Y$208</f>
        <v>1.0477608</v>
      </c>
      <c r="Z200" s="134"/>
      <c r="AA200" s="139">
        <f>$AA$201+$AA$208</f>
        <v>0.97271</v>
      </c>
      <c r="AR200" s="140" t="s">
        <v>110</v>
      </c>
      <c r="AT200" s="140" t="s">
        <v>79</v>
      </c>
      <c r="AU200" s="140" t="s">
        <v>80</v>
      </c>
      <c r="AY200" s="140" t="s">
        <v>167</v>
      </c>
      <c r="BK200" s="141">
        <f>$BK$201+$BK$208</f>
        <v>0</v>
      </c>
    </row>
    <row r="201" spans="2:63" s="132" customFormat="1" ht="21" customHeight="1">
      <c r="B201" s="133"/>
      <c r="C201" s="134"/>
      <c r="D201" s="142" t="s">
        <v>545</v>
      </c>
      <c r="E201" s="142"/>
      <c r="F201" s="142"/>
      <c r="G201" s="142"/>
      <c r="H201" s="142"/>
      <c r="I201" s="142"/>
      <c r="J201" s="142"/>
      <c r="K201" s="142"/>
      <c r="L201" s="142"/>
      <c r="M201" s="142"/>
      <c r="N201" s="228">
        <f>$BK$201</f>
        <v>0</v>
      </c>
      <c r="O201" s="227"/>
      <c r="P201" s="227"/>
      <c r="Q201" s="227"/>
      <c r="R201" s="136"/>
      <c r="T201" s="137"/>
      <c r="U201" s="134"/>
      <c r="V201" s="134"/>
      <c r="W201" s="138">
        <f>SUM($W$202:$W$207)</f>
        <v>0</v>
      </c>
      <c r="X201" s="134"/>
      <c r="Y201" s="138">
        <f>SUM($Y$202:$Y$207)</f>
        <v>1.0477608</v>
      </c>
      <c r="Z201" s="134"/>
      <c r="AA201" s="139">
        <f>SUM($AA$202:$AA$207)</f>
        <v>0.97271</v>
      </c>
      <c r="AR201" s="140" t="s">
        <v>110</v>
      </c>
      <c r="AT201" s="140" t="s">
        <v>79</v>
      </c>
      <c r="AU201" s="140" t="s">
        <v>22</v>
      </c>
      <c r="AY201" s="140" t="s">
        <v>167</v>
      </c>
      <c r="BK201" s="141">
        <f>SUM($BK$202:$BK$207)</f>
        <v>0</v>
      </c>
    </row>
    <row r="202" spans="2:65" s="6" customFormat="1" ht="27" customHeight="1">
      <c r="B202" s="23"/>
      <c r="C202" s="143" t="s">
        <v>391</v>
      </c>
      <c r="D202" s="143" t="s">
        <v>168</v>
      </c>
      <c r="E202" s="144" t="s">
        <v>710</v>
      </c>
      <c r="F202" s="216" t="s">
        <v>711</v>
      </c>
      <c r="G202" s="217"/>
      <c r="H202" s="217"/>
      <c r="I202" s="217"/>
      <c r="J202" s="145" t="s">
        <v>205</v>
      </c>
      <c r="K202" s="146">
        <v>46.1</v>
      </c>
      <c r="L202" s="218">
        <v>0</v>
      </c>
      <c r="M202" s="217"/>
      <c r="N202" s="219">
        <f>ROUND($L$202*$K$202,2)</f>
        <v>0</v>
      </c>
      <c r="O202" s="217"/>
      <c r="P202" s="217"/>
      <c r="Q202" s="217"/>
      <c r="R202" s="25"/>
      <c r="T202" s="147"/>
      <c r="U202" s="31" t="s">
        <v>45</v>
      </c>
      <c r="V202" s="24"/>
      <c r="W202" s="148">
        <f>$V$202*$K$202</f>
        <v>0</v>
      </c>
      <c r="X202" s="148">
        <v>0.004</v>
      </c>
      <c r="Y202" s="148">
        <f>$X$202*$K$202</f>
        <v>0.1844</v>
      </c>
      <c r="Z202" s="148">
        <v>0</v>
      </c>
      <c r="AA202" s="149">
        <f>$Z$202*$K$202</f>
        <v>0</v>
      </c>
      <c r="AR202" s="6" t="s">
        <v>230</v>
      </c>
      <c r="AT202" s="6" t="s">
        <v>168</v>
      </c>
      <c r="AU202" s="6" t="s">
        <v>110</v>
      </c>
      <c r="AY202" s="6" t="s">
        <v>167</v>
      </c>
      <c r="BE202" s="93">
        <f>IF($U$202="základní",$N$202,0)</f>
        <v>0</v>
      </c>
      <c r="BF202" s="93">
        <f>IF($U$202="snížená",$N$202,0)</f>
        <v>0</v>
      </c>
      <c r="BG202" s="93">
        <f>IF($U$202="zákl. přenesená",$N$202,0)</f>
        <v>0</v>
      </c>
      <c r="BH202" s="93">
        <f>IF($U$202="sníž. přenesená",$N$202,0)</f>
        <v>0</v>
      </c>
      <c r="BI202" s="93">
        <f>IF($U$202="nulová",$N$202,0)</f>
        <v>0</v>
      </c>
      <c r="BJ202" s="6" t="s">
        <v>22</v>
      </c>
      <c r="BK202" s="93">
        <f>ROUND($L$202*$K$202,2)</f>
        <v>0</v>
      </c>
      <c r="BL202" s="6" t="s">
        <v>230</v>
      </c>
      <c r="BM202" s="6" t="s">
        <v>712</v>
      </c>
    </row>
    <row r="203" spans="2:65" s="6" customFormat="1" ht="27" customHeight="1">
      <c r="B203" s="23"/>
      <c r="C203" s="143" t="s">
        <v>395</v>
      </c>
      <c r="D203" s="143" t="s">
        <v>168</v>
      </c>
      <c r="E203" s="144" t="s">
        <v>713</v>
      </c>
      <c r="F203" s="216" t="s">
        <v>714</v>
      </c>
      <c r="G203" s="217"/>
      <c r="H203" s="217"/>
      <c r="I203" s="217"/>
      <c r="J203" s="145" t="s">
        <v>205</v>
      </c>
      <c r="K203" s="146">
        <v>175.18</v>
      </c>
      <c r="L203" s="218">
        <v>0</v>
      </c>
      <c r="M203" s="217"/>
      <c r="N203" s="219">
        <f>ROUND($L$203*$K$203,2)</f>
        <v>0</v>
      </c>
      <c r="O203" s="217"/>
      <c r="P203" s="217"/>
      <c r="Q203" s="217"/>
      <c r="R203" s="25"/>
      <c r="T203" s="147"/>
      <c r="U203" s="31" t="s">
        <v>45</v>
      </c>
      <c r="V203" s="24"/>
      <c r="W203" s="148">
        <f>$V$203*$K$203</f>
        <v>0</v>
      </c>
      <c r="X203" s="148">
        <v>0.004</v>
      </c>
      <c r="Y203" s="148">
        <f>$X$203*$K$203</f>
        <v>0.70072</v>
      </c>
      <c r="Z203" s="148">
        <v>0</v>
      </c>
      <c r="AA203" s="149">
        <f>$Z$203*$K$203</f>
        <v>0</v>
      </c>
      <c r="AR203" s="6" t="s">
        <v>230</v>
      </c>
      <c r="AT203" s="6" t="s">
        <v>168</v>
      </c>
      <c r="AU203" s="6" t="s">
        <v>110</v>
      </c>
      <c r="AY203" s="6" t="s">
        <v>167</v>
      </c>
      <c r="BE203" s="93">
        <f>IF($U$203="základní",$N$203,0)</f>
        <v>0</v>
      </c>
      <c r="BF203" s="93">
        <f>IF($U$203="snížená",$N$203,0)</f>
        <v>0</v>
      </c>
      <c r="BG203" s="93">
        <f>IF($U$203="zákl. přenesená",$N$203,0)</f>
        <v>0</v>
      </c>
      <c r="BH203" s="93">
        <f>IF($U$203="sníž. přenesená",$N$203,0)</f>
        <v>0</v>
      </c>
      <c r="BI203" s="93">
        <f>IF($U$203="nulová",$N$203,0)</f>
        <v>0</v>
      </c>
      <c r="BJ203" s="6" t="s">
        <v>22</v>
      </c>
      <c r="BK203" s="93">
        <f>ROUND($L$203*$K$203,2)</f>
        <v>0</v>
      </c>
      <c r="BL203" s="6" t="s">
        <v>230</v>
      </c>
      <c r="BM203" s="6" t="s">
        <v>715</v>
      </c>
    </row>
    <row r="204" spans="2:65" s="6" customFormat="1" ht="27" customHeight="1">
      <c r="B204" s="23"/>
      <c r="C204" s="143" t="s">
        <v>399</v>
      </c>
      <c r="D204" s="143" t="s">
        <v>168</v>
      </c>
      <c r="E204" s="144" t="s">
        <v>716</v>
      </c>
      <c r="F204" s="216" t="s">
        <v>717</v>
      </c>
      <c r="G204" s="217"/>
      <c r="H204" s="217"/>
      <c r="I204" s="217"/>
      <c r="J204" s="145" t="s">
        <v>205</v>
      </c>
      <c r="K204" s="146">
        <v>46.1</v>
      </c>
      <c r="L204" s="218">
        <v>0</v>
      </c>
      <c r="M204" s="217"/>
      <c r="N204" s="219">
        <f>ROUND($L$204*$K$204,2)</f>
        <v>0</v>
      </c>
      <c r="O204" s="217"/>
      <c r="P204" s="217"/>
      <c r="Q204" s="217"/>
      <c r="R204" s="25"/>
      <c r="T204" s="147"/>
      <c r="U204" s="31" t="s">
        <v>45</v>
      </c>
      <c r="V204" s="24"/>
      <c r="W204" s="148">
        <f>$V$204*$K$204</f>
        <v>0</v>
      </c>
      <c r="X204" s="148">
        <v>0</v>
      </c>
      <c r="Y204" s="148">
        <f>$X$204*$K$204</f>
        <v>0</v>
      </c>
      <c r="Z204" s="148">
        <v>0.004</v>
      </c>
      <c r="AA204" s="149">
        <f>$Z$204*$K$204</f>
        <v>0.1844</v>
      </c>
      <c r="AR204" s="6" t="s">
        <v>230</v>
      </c>
      <c r="AT204" s="6" t="s">
        <v>168</v>
      </c>
      <c r="AU204" s="6" t="s">
        <v>110</v>
      </c>
      <c r="AY204" s="6" t="s">
        <v>167</v>
      </c>
      <c r="BE204" s="93">
        <f>IF($U$204="základní",$N$204,0)</f>
        <v>0</v>
      </c>
      <c r="BF204" s="93">
        <f>IF($U$204="snížená",$N$204,0)</f>
        <v>0</v>
      </c>
      <c r="BG204" s="93">
        <f>IF($U$204="zákl. přenesená",$N$204,0)</f>
        <v>0</v>
      </c>
      <c r="BH204" s="93">
        <f>IF($U$204="sníž. přenesená",$N$204,0)</f>
        <v>0</v>
      </c>
      <c r="BI204" s="93">
        <f>IF($U$204="nulová",$N$204,0)</f>
        <v>0</v>
      </c>
      <c r="BJ204" s="6" t="s">
        <v>22</v>
      </c>
      <c r="BK204" s="93">
        <f>ROUND($L$204*$K$204,2)</f>
        <v>0</v>
      </c>
      <c r="BL204" s="6" t="s">
        <v>230</v>
      </c>
      <c r="BM204" s="6" t="s">
        <v>718</v>
      </c>
    </row>
    <row r="205" spans="2:65" s="6" customFormat="1" ht="15.75" customHeight="1">
      <c r="B205" s="23"/>
      <c r="C205" s="143" t="s">
        <v>403</v>
      </c>
      <c r="D205" s="143" t="s">
        <v>168</v>
      </c>
      <c r="E205" s="144" t="s">
        <v>719</v>
      </c>
      <c r="F205" s="216" t="s">
        <v>720</v>
      </c>
      <c r="G205" s="217"/>
      <c r="H205" s="217"/>
      <c r="I205" s="217"/>
      <c r="J205" s="145" t="s">
        <v>205</v>
      </c>
      <c r="K205" s="146">
        <v>175.18</v>
      </c>
      <c r="L205" s="218">
        <v>0</v>
      </c>
      <c r="M205" s="217"/>
      <c r="N205" s="219">
        <f>ROUND($L$205*$K$205,2)</f>
        <v>0</v>
      </c>
      <c r="O205" s="217"/>
      <c r="P205" s="217"/>
      <c r="Q205" s="217"/>
      <c r="R205" s="25"/>
      <c r="T205" s="147"/>
      <c r="U205" s="31" t="s">
        <v>45</v>
      </c>
      <c r="V205" s="24"/>
      <c r="W205" s="148">
        <f>$V$205*$K$205</f>
        <v>0</v>
      </c>
      <c r="X205" s="148">
        <v>0</v>
      </c>
      <c r="Y205" s="148">
        <f>$X$205*$K$205</f>
        <v>0</v>
      </c>
      <c r="Z205" s="148">
        <v>0.0045</v>
      </c>
      <c r="AA205" s="149">
        <f>$Z$205*$K$205</f>
        <v>0.78831</v>
      </c>
      <c r="AR205" s="6" t="s">
        <v>230</v>
      </c>
      <c r="AT205" s="6" t="s">
        <v>168</v>
      </c>
      <c r="AU205" s="6" t="s">
        <v>110</v>
      </c>
      <c r="AY205" s="6" t="s">
        <v>167</v>
      </c>
      <c r="BE205" s="93">
        <f>IF($U$205="základní",$N$205,0)</f>
        <v>0</v>
      </c>
      <c r="BF205" s="93">
        <f>IF($U$205="snížená",$N$205,0)</f>
        <v>0</v>
      </c>
      <c r="BG205" s="93">
        <f>IF($U$205="zákl. přenesená",$N$205,0)</f>
        <v>0</v>
      </c>
      <c r="BH205" s="93">
        <f>IF($U$205="sníž. přenesená",$N$205,0)</f>
        <v>0</v>
      </c>
      <c r="BI205" s="93">
        <f>IF($U$205="nulová",$N$205,0)</f>
        <v>0</v>
      </c>
      <c r="BJ205" s="6" t="s">
        <v>22</v>
      </c>
      <c r="BK205" s="93">
        <f>ROUND($L$205*$K$205,2)</f>
        <v>0</v>
      </c>
      <c r="BL205" s="6" t="s">
        <v>230</v>
      </c>
      <c r="BM205" s="6" t="s">
        <v>721</v>
      </c>
    </row>
    <row r="206" spans="2:65" s="6" customFormat="1" ht="39" customHeight="1">
      <c r="B206" s="23"/>
      <c r="C206" s="143" t="s">
        <v>407</v>
      </c>
      <c r="D206" s="143" t="s">
        <v>168</v>
      </c>
      <c r="E206" s="144" t="s">
        <v>722</v>
      </c>
      <c r="F206" s="216" t="s">
        <v>723</v>
      </c>
      <c r="G206" s="217"/>
      <c r="H206" s="217"/>
      <c r="I206" s="217"/>
      <c r="J206" s="145" t="s">
        <v>205</v>
      </c>
      <c r="K206" s="146">
        <v>193.62</v>
      </c>
      <c r="L206" s="218">
        <v>0</v>
      </c>
      <c r="M206" s="217"/>
      <c r="N206" s="219">
        <f>ROUND($L$206*$K$206,2)</f>
        <v>0</v>
      </c>
      <c r="O206" s="217"/>
      <c r="P206" s="217"/>
      <c r="Q206" s="217"/>
      <c r="R206" s="25"/>
      <c r="T206" s="147"/>
      <c r="U206" s="31" t="s">
        <v>45</v>
      </c>
      <c r="V206" s="24"/>
      <c r="W206" s="148">
        <f>$V$206*$K$206</f>
        <v>0</v>
      </c>
      <c r="X206" s="148">
        <v>0.00084</v>
      </c>
      <c r="Y206" s="148">
        <f>$X$206*$K$206</f>
        <v>0.1626408</v>
      </c>
      <c r="Z206" s="148">
        <v>0</v>
      </c>
      <c r="AA206" s="149">
        <f>$Z$206*$K$206</f>
        <v>0</v>
      </c>
      <c r="AR206" s="6" t="s">
        <v>230</v>
      </c>
      <c r="AT206" s="6" t="s">
        <v>168</v>
      </c>
      <c r="AU206" s="6" t="s">
        <v>110</v>
      </c>
      <c r="AY206" s="6" t="s">
        <v>167</v>
      </c>
      <c r="BE206" s="93">
        <f>IF($U$206="základní",$N$206,0)</f>
        <v>0</v>
      </c>
      <c r="BF206" s="93">
        <f>IF($U$206="snížená",$N$206,0)</f>
        <v>0</v>
      </c>
      <c r="BG206" s="93">
        <f>IF($U$206="zákl. přenesená",$N$206,0)</f>
        <v>0</v>
      </c>
      <c r="BH206" s="93">
        <f>IF($U$206="sníž. přenesená",$N$206,0)</f>
        <v>0</v>
      </c>
      <c r="BI206" s="93">
        <f>IF($U$206="nulová",$N$206,0)</f>
        <v>0</v>
      </c>
      <c r="BJ206" s="6" t="s">
        <v>22</v>
      </c>
      <c r="BK206" s="93">
        <f>ROUND($L$206*$K$206,2)</f>
        <v>0</v>
      </c>
      <c r="BL206" s="6" t="s">
        <v>230</v>
      </c>
      <c r="BM206" s="6" t="s">
        <v>724</v>
      </c>
    </row>
    <row r="207" spans="2:65" s="6" customFormat="1" ht="27" customHeight="1">
      <c r="B207" s="23"/>
      <c r="C207" s="143" t="s">
        <v>411</v>
      </c>
      <c r="D207" s="143" t="s">
        <v>168</v>
      </c>
      <c r="E207" s="144" t="s">
        <v>725</v>
      </c>
      <c r="F207" s="216" t="s">
        <v>726</v>
      </c>
      <c r="G207" s="217"/>
      <c r="H207" s="217"/>
      <c r="I207" s="217"/>
      <c r="J207" s="145" t="s">
        <v>200</v>
      </c>
      <c r="K207" s="146">
        <v>1.048</v>
      </c>
      <c r="L207" s="218">
        <v>0</v>
      </c>
      <c r="M207" s="217"/>
      <c r="N207" s="219">
        <f>ROUND($L$207*$K$207,2)</f>
        <v>0</v>
      </c>
      <c r="O207" s="217"/>
      <c r="P207" s="217"/>
      <c r="Q207" s="217"/>
      <c r="R207" s="25"/>
      <c r="T207" s="147"/>
      <c r="U207" s="31" t="s">
        <v>45</v>
      </c>
      <c r="V207" s="24"/>
      <c r="W207" s="148">
        <f>$V$207*$K$207</f>
        <v>0</v>
      </c>
      <c r="X207" s="148">
        <v>0</v>
      </c>
      <c r="Y207" s="148">
        <f>$X$207*$K$207</f>
        <v>0</v>
      </c>
      <c r="Z207" s="148">
        <v>0</v>
      </c>
      <c r="AA207" s="149">
        <f>$Z$207*$K$207</f>
        <v>0</v>
      </c>
      <c r="AR207" s="6" t="s">
        <v>230</v>
      </c>
      <c r="AT207" s="6" t="s">
        <v>168</v>
      </c>
      <c r="AU207" s="6" t="s">
        <v>110</v>
      </c>
      <c r="AY207" s="6" t="s">
        <v>167</v>
      </c>
      <c r="BE207" s="93">
        <f>IF($U$207="základní",$N$207,0)</f>
        <v>0</v>
      </c>
      <c r="BF207" s="93">
        <f>IF($U$207="snížená",$N$207,0)</f>
        <v>0</v>
      </c>
      <c r="BG207" s="93">
        <f>IF($U$207="zákl. přenesená",$N$207,0)</f>
        <v>0</v>
      </c>
      <c r="BH207" s="93">
        <f>IF($U$207="sníž. přenesená",$N$207,0)</f>
        <v>0</v>
      </c>
      <c r="BI207" s="93">
        <f>IF($U$207="nulová",$N$207,0)</f>
        <v>0</v>
      </c>
      <c r="BJ207" s="6" t="s">
        <v>22</v>
      </c>
      <c r="BK207" s="93">
        <f>ROUND($L$207*$K$207,2)</f>
        <v>0</v>
      </c>
      <c r="BL207" s="6" t="s">
        <v>230</v>
      </c>
      <c r="BM207" s="6" t="s">
        <v>727</v>
      </c>
    </row>
    <row r="208" spans="2:63" s="132" customFormat="1" ht="30.75" customHeight="1">
      <c r="B208" s="133"/>
      <c r="C208" s="134"/>
      <c r="D208" s="142" t="s">
        <v>130</v>
      </c>
      <c r="E208" s="142"/>
      <c r="F208" s="142"/>
      <c r="G208" s="142"/>
      <c r="H208" s="142"/>
      <c r="I208" s="142"/>
      <c r="J208" s="142"/>
      <c r="K208" s="142"/>
      <c r="L208" s="142"/>
      <c r="M208" s="142"/>
      <c r="N208" s="228">
        <f>$BK$208</f>
        <v>0</v>
      </c>
      <c r="O208" s="227"/>
      <c r="P208" s="227"/>
      <c r="Q208" s="227"/>
      <c r="R208" s="136"/>
      <c r="T208" s="137"/>
      <c r="U208" s="134"/>
      <c r="V208" s="134"/>
      <c r="W208" s="138">
        <f>$W$209</f>
        <v>0</v>
      </c>
      <c r="X208" s="134"/>
      <c r="Y208" s="138">
        <f>$Y$209</f>
        <v>0</v>
      </c>
      <c r="Z208" s="134"/>
      <c r="AA208" s="139">
        <f>$AA$209</f>
        <v>0</v>
      </c>
      <c r="AR208" s="140" t="s">
        <v>110</v>
      </c>
      <c r="AT208" s="140" t="s">
        <v>79</v>
      </c>
      <c r="AU208" s="140" t="s">
        <v>22</v>
      </c>
      <c r="AY208" s="140" t="s">
        <v>167</v>
      </c>
      <c r="BK208" s="141">
        <f>$BK$209</f>
        <v>0</v>
      </c>
    </row>
    <row r="209" spans="2:65" s="6" customFormat="1" ht="27" customHeight="1">
      <c r="B209" s="23"/>
      <c r="C209" s="143" t="s">
        <v>415</v>
      </c>
      <c r="D209" s="143" t="s">
        <v>168</v>
      </c>
      <c r="E209" s="144" t="s">
        <v>728</v>
      </c>
      <c r="F209" s="216" t="s">
        <v>729</v>
      </c>
      <c r="G209" s="217"/>
      <c r="H209" s="217"/>
      <c r="I209" s="217"/>
      <c r="J209" s="145" t="s">
        <v>225</v>
      </c>
      <c r="K209" s="146">
        <v>10</v>
      </c>
      <c r="L209" s="218">
        <v>0</v>
      </c>
      <c r="M209" s="217"/>
      <c r="N209" s="219">
        <f>ROUND($L$209*$K$209,2)</f>
        <v>0</v>
      </c>
      <c r="O209" s="217"/>
      <c r="P209" s="217"/>
      <c r="Q209" s="217"/>
      <c r="R209" s="25"/>
      <c r="T209" s="147"/>
      <c r="U209" s="31" t="s">
        <v>45</v>
      </c>
      <c r="V209" s="24"/>
      <c r="W209" s="148">
        <f>$V$209*$K$209</f>
        <v>0</v>
      </c>
      <c r="X209" s="148">
        <v>0</v>
      </c>
      <c r="Y209" s="148">
        <f>$X$209*$K$209</f>
        <v>0</v>
      </c>
      <c r="Z209" s="148">
        <v>0</v>
      </c>
      <c r="AA209" s="149">
        <f>$Z$209*$K$209</f>
        <v>0</v>
      </c>
      <c r="AR209" s="6" t="s">
        <v>230</v>
      </c>
      <c r="AT209" s="6" t="s">
        <v>168</v>
      </c>
      <c r="AU209" s="6" t="s">
        <v>110</v>
      </c>
      <c r="AY209" s="6" t="s">
        <v>167</v>
      </c>
      <c r="BE209" s="93">
        <f>IF($U$209="základní",$N$209,0)</f>
        <v>0</v>
      </c>
      <c r="BF209" s="93">
        <f>IF($U$209="snížená",$N$209,0)</f>
        <v>0</v>
      </c>
      <c r="BG209" s="93">
        <f>IF($U$209="zákl. přenesená",$N$209,0)</f>
        <v>0</v>
      </c>
      <c r="BH209" s="93">
        <f>IF($U$209="sníž. přenesená",$N$209,0)</f>
        <v>0</v>
      </c>
      <c r="BI209" s="93">
        <f>IF($U$209="nulová",$N$209,0)</f>
        <v>0</v>
      </c>
      <c r="BJ209" s="6" t="s">
        <v>22</v>
      </c>
      <c r="BK209" s="93">
        <f>ROUND($L$209*$K$209,2)</f>
        <v>0</v>
      </c>
      <c r="BL209" s="6" t="s">
        <v>230</v>
      </c>
      <c r="BM209" s="6" t="s">
        <v>730</v>
      </c>
    </row>
    <row r="210" spans="2:63" s="132" customFormat="1" ht="37.5" customHeight="1">
      <c r="B210" s="133"/>
      <c r="C210" s="134"/>
      <c r="D210" s="135" t="s">
        <v>137</v>
      </c>
      <c r="E210" s="135"/>
      <c r="F210" s="135"/>
      <c r="G210" s="135"/>
      <c r="H210" s="135"/>
      <c r="I210" s="135"/>
      <c r="J210" s="135"/>
      <c r="K210" s="135"/>
      <c r="L210" s="135"/>
      <c r="M210" s="135"/>
      <c r="N210" s="212">
        <f>$BK$210</f>
        <v>0</v>
      </c>
      <c r="O210" s="227"/>
      <c r="P210" s="227"/>
      <c r="Q210" s="227"/>
      <c r="R210" s="136"/>
      <c r="T210" s="137"/>
      <c r="U210" s="134"/>
      <c r="V210" s="134"/>
      <c r="W210" s="138">
        <f>$W$211</f>
        <v>0</v>
      </c>
      <c r="X210" s="134"/>
      <c r="Y210" s="138">
        <f>$Y$211</f>
        <v>0.003666</v>
      </c>
      <c r="Z210" s="134"/>
      <c r="AA210" s="139">
        <f>$AA$211</f>
        <v>0</v>
      </c>
      <c r="AR210" s="140" t="s">
        <v>177</v>
      </c>
      <c r="AT210" s="140" t="s">
        <v>79</v>
      </c>
      <c r="AU210" s="140" t="s">
        <v>80</v>
      </c>
      <c r="AY210" s="140" t="s">
        <v>167</v>
      </c>
      <c r="BK210" s="141">
        <f>$BK$211</f>
        <v>0</v>
      </c>
    </row>
    <row r="211" spans="2:63" s="132" customFormat="1" ht="21" customHeight="1">
      <c r="B211" s="133"/>
      <c r="C211" s="134"/>
      <c r="D211" s="142" t="s">
        <v>546</v>
      </c>
      <c r="E211" s="142"/>
      <c r="F211" s="142"/>
      <c r="G211" s="142"/>
      <c r="H211" s="142"/>
      <c r="I211" s="142"/>
      <c r="J211" s="142"/>
      <c r="K211" s="142"/>
      <c r="L211" s="142"/>
      <c r="M211" s="142"/>
      <c r="N211" s="228">
        <f>$BK$211</f>
        <v>0</v>
      </c>
      <c r="O211" s="227"/>
      <c r="P211" s="227"/>
      <c r="Q211" s="227"/>
      <c r="R211" s="136"/>
      <c r="T211" s="137"/>
      <c r="U211" s="134"/>
      <c r="V211" s="134"/>
      <c r="W211" s="138">
        <f>$W$212</f>
        <v>0</v>
      </c>
      <c r="X211" s="134"/>
      <c r="Y211" s="138">
        <f>$Y$212</f>
        <v>0.003666</v>
      </c>
      <c r="Z211" s="134"/>
      <c r="AA211" s="139">
        <f>$AA$212</f>
        <v>0</v>
      </c>
      <c r="AR211" s="140" t="s">
        <v>177</v>
      </c>
      <c r="AT211" s="140" t="s">
        <v>79</v>
      </c>
      <c r="AU211" s="140" t="s">
        <v>22</v>
      </c>
      <c r="AY211" s="140" t="s">
        <v>167</v>
      </c>
      <c r="BK211" s="141">
        <f>$BK$212</f>
        <v>0</v>
      </c>
    </row>
    <row r="212" spans="2:65" s="6" customFormat="1" ht="15.75" customHeight="1">
      <c r="B212" s="23"/>
      <c r="C212" s="143" t="s">
        <v>419</v>
      </c>
      <c r="D212" s="143" t="s">
        <v>168</v>
      </c>
      <c r="E212" s="144" t="s">
        <v>731</v>
      </c>
      <c r="F212" s="216" t="s">
        <v>732</v>
      </c>
      <c r="G212" s="217"/>
      <c r="H212" s="217"/>
      <c r="I212" s="217"/>
      <c r="J212" s="145" t="s">
        <v>205</v>
      </c>
      <c r="K212" s="146">
        <v>122.2</v>
      </c>
      <c r="L212" s="218">
        <v>0</v>
      </c>
      <c r="M212" s="217"/>
      <c r="N212" s="219">
        <f>ROUND($L$212*$K$212,2)</f>
        <v>0</v>
      </c>
      <c r="O212" s="217"/>
      <c r="P212" s="217"/>
      <c r="Q212" s="217"/>
      <c r="R212" s="25"/>
      <c r="T212" s="147"/>
      <c r="U212" s="31" t="s">
        <v>45</v>
      </c>
      <c r="V212" s="24"/>
      <c r="W212" s="148">
        <f>$V$212*$K$212</f>
        <v>0</v>
      </c>
      <c r="X212" s="148">
        <v>3E-05</v>
      </c>
      <c r="Y212" s="148">
        <f>$X$212*$K$212</f>
        <v>0.003666</v>
      </c>
      <c r="Z212" s="148">
        <v>0</v>
      </c>
      <c r="AA212" s="149">
        <f>$Z$212*$K$212</f>
        <v>0</v>
      </c>
      <c r="AR212" s="6" t="s">
        <v>423</v>
      </c>
      <c r="AT212" s="6" t="s">
        <v>168</v>
      </c>
      <c r="AU212" s="6" t="s">
        <v>110</v>
      </c>
      <c r="AY212" s="6" t="s">
        <v>167</v>
      </c>
      <c r="BE212" s="93">
        <f>IF($U$212="základní",$N$212,0)</f>
        <v>0</v>
      </c>
      <c r="BF212" s="93">
        <f>IF($U$212="snížená",$N$212,0)</f>
        <v>0</v>
      </c>
      <c r="BG212" s="93">
        <f>IF($U$212="zákl. přenesená",$N$212,0)</f>
        <v>0</v>
      </c>
      <c r="BH212" s="93">
        <f>IF($U$212="sníž. přenesená",$N$212,0)</f>
        <v>0</v>
      </c>
      <c r="BI212" s="93">
        <f>IF($U$212="nulová",$N$212,0)</f>
        <v>0</v>
      </c>
      <c r="BJ212" s="6" t="s">
        <v>22</v>
      </c>
      <c r="BK212" s="93">
        <f>ROUND($L$212*$K$212,2)</f>
        <v>0</v>
      </c>
      <c r="BL212" s="6" t="s">
        <v>423</v>
      </c>
      <c r="BM212" s="6" t="s">
        <v>733</v>
      </c>
    </row>
    <row r="213" spans="2:63" s="132" customFormat="1" ht="37.5" customHeight="1">
      <c r="B213" s="133"/>
      <c r="C213" s="134"/>
      <c r="D213" s="135" t="s">
        <v>140</v>
      </c>
      <c r="E213" s="135"/>
      <c r="F213" s="135"/>
      <c r="G213" s="135"/>
      <c r="H213" s="135"/>
      <c r="I213" s="135"/>
      <c r="J213" s="135"/>
      <c r="K213" s="135"/>
      <c r="L213" s="135"/>
      <c r="M213" s="135"/>
      <c r="N213" s="212">
        <f>$BK$213</f>
        <v>0</v>
      </c>
      <c r="O213" s="227"/>
      <c r="P213" s="227"/>
      <c r="Q213" s="227"/>
      <c r="R213" s="136"/>
      <c r="T213" s="137"/>
      <c r="U213" s="134"/>
      <c r="V213" s="134"/>
      <c r="W213" s="138">
        <f>$W$214+$W$216</f>
        <v>0</v>
      </c>
      <c r="X213" s="134"/>
      <c r="Y213" s="138">
        <f>$Y$214+$Y$216</f>
        <v>0</v>
      </c>
      <c r="Z213" s="134"/>
      <c r="AA213" s="139">
        <f>$AA$214+$AA$216</f>
        <v>0</v>
      </c>
      <c r="AR213" s="140" t="s">
        <v>184</v>
      </c>
      <c r="AT213" s="140" t="s">
        <v>79</v>
      </c>
      <c r="AU213" s="140" t="s">
        <v>80</v>
      </c>
      <c r="AY213" s="140" t="s">
        <v>167</v>
      </c>
      <c r="BK213" s="141">
        <f>$BK$214+$BK$216</f>
        <v>0</v>
      </c>
    </row>
    <row r="214" spans="2:63" s="132" customFormat="1" ht="21" customHeight="1">
      <c r="B214" s="133"/>
      <c r="C214" s="134"/>
      <c r="D214" s="142" t="s">
        <v>547</v>
      </c>
      <c r="E214" s="142"/>
      <c r="F214" s="142"/>
      <c r="G214" s="142"/>
      <c r="H214" s="142"/>
      <c r="I214" s="142"/>
      <c r="J214" s="142"/>
      <c r="K214" s="142"/>
      <c r="L214" s="142"/>
      <c r="M214" s="142"/>
      <c r="N214" s="228">
        <f>$BK$214</f>
        <v>0</v>
      </c>
      <c r="O214" s="227"/>
      <c r="P214" s="227"/>
      <c r="Q214" s="227"/>
      <c r="R214" s="136"/>
      <c r="T214" s="137"/>
      <c r="U214" s="134"/>
      <c r="V214" s="134"/>
      <c r="W214" s="138">
        <f>$W$215</f>
        <v>0</v>
      </c>
      <c r="X214" s="134"/>
      <c r="Y214" s="138">
        <f>$Y$215</f>
        <v>0</v>
      </c>
      <c r="Z214" s="134"/>
      <c r="AA214" s="139">
        <f>$AA$215</f>
        <v>0</v>
      </c>
      <c r="AR214" s="140" t="s">
        <v>184</v>
      </c>
      <c r="AT214" s="140" t="s">
        <v>79</v>
      </c>
      <c r="AU214" s="140" t="s">
        <v>22</v>
      </c>
      <c r="AY214" s="140" t="s">
        <v>167</v>
      </c>
      <c r="BK214" s="141">
        <f>$BK$215</f>
        <v>0</v>
      </c>
    </row>
    <row r="215" spans="2:65" s="6" customFormat="1" ht="15.75" customHeight="1">
      <c r="B215" s="23"/>
      <c r="C215" s="143" t="s">
        <v>423</v>
      </c>
      <c r="D215" s="143" t="s">
        <v>168</v>
      </c>
      <c r="E215" s="144" t="s">
        <v>734</v>
      </c>
      <c r="F215" s="216" t="s">
        <v>735</v>
      </c>
      <c r="G215" s="217"/>
      <c r="H215" s="217"/>
      <c r="I215" s="217"/>
      <c r="J215" s="145" t="s">
        <v>736</v>
      </c>
      <c r="K215" s="146">
        <v>1</v>
      </c>
      <c r="L215" s="218">
        <v>0</v>
      </c>
      <c r="M215" s="217"/>
      <c r="N215" s="219">
        <f>ROUND($L$215*$K$215,2)</f>
        <v>0</v>
      </c>
      <c r="O215" s="217"/>
      <c r="P215" s="217"/>
      <c r="Q215" s="217"/>
      <c r="R215" s="25"/>
      <c r="T215" s="147"/>
      <c r="U215" s="31" t="s">
        <v>45</v>
      </c>
      <c r="V215" s="24"/>
      <c r="W215" s="148">
        <f>$V$215*$K$215</f>
        <v>0</v>
      </c>
      <c r="X215" s="148">
        <v>0</v>
      </c>
      <c r="Y215" s="148">
        <f>$X$215*$K$215</f>
        <v>0</v>
      </c>
      <c r="Z215" s="148">
        <v>0</v>
      </c>
      <c r="AA215" s="149">
        <f>$Z$215*$K$215</f>
        <v>0</v>
      </c>
      <c r="AR215" s="6" t="s">
        <v>534</v>
      </c>
      <c r="AT215" s="6" t="s">
        <v>168</v>
      </c>
      <c r="AU215" s="6" t="s">
        <v>110</v>
      </c>
      <c r="AY215" s="6" t="s">
        <v>167</v>
      </c>
      <c r="BE215" s="93">
        <f>IF($U$215="základní",$N$215,0)</f>
        <v>0</v>
      </c>
      <c r="BF215" s="93">
        <f>IF($U$215="snížená",$N$215,0)</f>
        <v>0</v>
      </c>
      <c r="BG215" s="93">
        <f>IF($U$215="zákl. přenesená",$N$215,0)</f>
        <v>0</v>
      </c>
      <c r="BH215" s="93">
        <f>IF($U$215="sníž. přenesená",$N$215,0)</f>
        <v>0</v>
      </c>
      <c r="BI215" s="93">
        <f>IF($U$215="nulová",$N$215,0)</f>
        <v>0</v>
      </c>
      <c r="BJ215" s="6" t="s">
        <v>22</v>
      </c>
      <c r="BK215" s="93">
        <f>ROUND($L$215*$K$215,2)</f>
        <v>0</v>
      </c>
      <c r="BL215" s="6" t="s">
        <v>534</v>
      </c>
      <c r="BM215" s="6" t="s">
        <v>737</v>
      </c>
    </row>
    <row r="216" spans="2:63" s="132" customFormat="1" ht="30.75" customHeight="1">
      <c r="B216" s="133"/>
      <c r="C216" s="134"/>
      <c r="D216" s="142" t="s">
        <v>548</v>
      </c>
      <c r="E216" s="142"/>
      <c r="F216" s="142"/>
      <c r="G216" s="142"/>
      <c r="H216" s="142"/>
      <c r="I216" s="142"/>
      <c r="J216" s="142"/>
      <c r="K216" s="142"/>
      <c r="L216" s="142"/>
      <c r="M216" s="142"/>
      <c r="N216" s="228">
        <f>$BK$216</f>
        <v>0</v>
      </c>
      <c r="O216" s="227"/>
      <c r="P216" s="227"/>
      <c r="Q216" s="227"/>
      <c r="R216" s="136"/>
      <c r="T216" s="137"/>
      <c r="U216" s="134"/>
      <c r="V216" s="134"/>
      <c r="W216" s="138">
        <f>$W$217</f>
        <v>0</v>
      </c>
      <c r="X216" s="134"/>
      <c r="Y216" s="138">
        <f>$Y$217</f>
        <v>0</v>
      </c>
      <c r="Z216" s="134"/>
      <c r="AA216" s="139">
        <f>$AA$217</f>
        <v>0</v>
      </c>
      <c r="AR216" s="140" t="s">
        <v>184</v>
      </c>
      <c r="AT216" s="140" t="s">
        <v>79</v>
      </c>
      <c r="AU216" s="140" t="s">
        <v>22</v>
      </c>
      <c r="AY216" s="140" t="s">
        <v>167</v>
      </c>
      <c r="BK216" s="141">
        <f>$BK$217</f>
        <v>0</v>
      </c>
    </row>
    <row r="217" spans="2:65" s="6" customFormat="1" ht="15.75" customHeight="1">
      <c r="B217" s="23"/>
      <c r="C217" s="143" t="s">
        <v>427</v>
      </c>
      <c r="D217" s="143" t="s">
        <v>168</v>
      </c>
      <c r="E217" s="144" t="s">
        <v>738</v>
      </c>
      <c r="F217" s="216" t="s">
        <v>144</v>
      </c>
      <c r="G217" s="217"/>
      <c r="H217" s="217"/>
      <c r="I217" s="217"/>
      <c r="J217" s="145" t="s">
        <v>736</v>
      </c>
      <c r="K217" s="146">
        <v>1</v>
      </c>
      <c r="L217" s="218">
        <v>0</v>
      </c>
      <c r="M217" s="217"/>
      <c r="N217" s="219">
        <f>ROUND($L$217*$K$217,2)</f>
        <v>0</v>
      </c>
      <c r="O217" s="217"/>
      <c r="P217" s="217"/>
      <c r="Q217" s="217"/>
      <c r="R217" s="25"/>
      <c r="T217" s="147"/>
      <c r="U217" s="31" t="s">
        <v>45</v>
      </c>
      <c r="V217" s="24"/>
      <c r="W217" s="148">
        <f>$V$217*$K$217</f>
        <v>0</v>
      </c>
      <c r="X217" s="148">
        <v>0</v>
      </c>
      <c r="Y217" s="148">
        <f>$X$217*$K$217</f>
        <v>0</v>
      </c>
      <c r="Z217" s="148">
        <v>0</v>
      </c>
      <c r="AA217" s="149">
        <f>$Z$217*$K$217</f>
        <v>0</v>
      </c>
      <c r="AR217" s="6" t="s">
        <v>534</v>
      </c>
      <c r="AT217" s="6" t="s">
        <v>168</v>
      </c>
      <c r="AU217" s="6" t="s">
        <v>110</v>
      </c>
      <c r="AY217" s="6" t="s">
        <v>167</v>
      </c>
      <c r="BE217" s="93">
        <f>IF($U$217="základní",$N$217,0)</f>
        <v>0</v>
      </c>
      <c r="BF217" s="93">
        <f>IF($U$217="snížená",$N$217,0)</f>
        <v>0</v>
      </c>
      <c r="BG217" s="93">
        <f>IF($U$217="zákl. přenesená",$N$217,0)</f>
        <v>0</v>
      </c>
      <c r="BH217" s="93">
        <f>IF($U$217="sníž. přenesená",$N$217,0)</f>
        <v>0</v>
      </c>
      <c r="BI217" s="93">
        <f>IF($U$217="nulová",$N$217,0)</f>
        <v>0</v>
      </c>
      <c r="BJ217" s="6" t="s">
        <v>22</v>
      </c>
      <c r="BK217" s="93">
        <f>ROUND($L$217*$K$217,2)</f>
        <v>0</v>
      </c>
      <c r="BL217" s="6" t="s">
        <v>534</v>
      </c>
      <c r="BM217" s="6" t="s">
        <v>739</v>
      </c>
    </row>
    <row r="218" spans="2:63" s="6" customFormat="1" ht="51" customHeight="1">
      <c r="B218" s="23"/>
      <c r="C218" s="24"/>
      <c r="D218" s="135" t="s">
        <v>536</v>
      </c>
      <c r="E218" s="24"/>
      <c r="F218" s="24"/>
      <c r="G218" s="24"/>
      <c r="H218" s="24"/>
      <c r="I218" s="24"/>
      <c r="J218" s="24"/>
      <c r="K218" s="24"/>
      <c r="L218" s="24"/>
      <c r="M218" s="24"/>
      <c r="N218" s="212">
        <f>$BK$218</f>
        <v>0</v>
      </c>
      <c r="O218" s="180"/>
      <c r="P218" s="180"/>
      <c r="Q218" s="180"/>
      <c r="R218" s="25"/>
      <c r="T218" s="64"/>
      <c r="U218" s="24"/>
      <c r="V218" s="24"/>
      <c r="W218" s="24"/>
      <c r="X218" s="24"/>
      <c r="Y218" s="24"/>
      <c r="Z218" s="24"/>
      <c r="AA218" s="65"/>
      <c r="AT218" s="6" t="s">
        <v>79</v>
      </c>
      <c r="AU218" s="6" t="s">
        <v>80</v>
      </c>
      <c r="AY218" s="6" t="s">
        <v>537</v>
      </c>
      <c r="BK218" s="93">
        <f>SUM($BK$219:$BK$223)</f>
        <v>0</v>
      </c>
    </row>
    <row r="219" spans="2:63" s="6" customFormat="1" ht="23.25" customHeight="1">
      <c r="B219" s="23"/>
      <c r="C219" s="154"/>
      <c r="D219" s="154" t="s">
        <v>168</v>
      </c>
      <c r="E219" s="155"/>
      <c r="F219" s="224"/>
      <c r="G219" s="225"/>
      <c r="H219" s="225"/>
      <c r="I219" s="225"/>
      <c r="J219" s="156"/>
      <c r="K219" s="157"/>
      <c r="L219" s="218"/>
      <c r="M219" s="217"/>
      <c r="N219" s="219">
        <f>$BK$219</f>
        <v>0</v>
      </c>
      <c r="O219" s="217"/>
      <c r="P219" s="217"/>
      <c r="Q219" s="217"/>
      <c r="R219" s="25"/>
      <c r="T219" s="147"/>
      <c r="U219" s="158" t="s">
        <v>45</v>
      </c>
      <c r="V219" s="24"/>
      <c r="W219" s="24"/>
      <c r="X219" s="24"/>
      <c r="Y219" s="24"/>
      <c r="Z219" s="24"/>
      <c r="AA219" s="65"/>
      <c r="AT219" s="6" t="s">
        <v>537</v>
      </c>
      <c r="AU219" s="6" t="s">
        <v>22</v>
      </c>
      <c r="AY219" s="6" t="s">
        <v>537</v>
      </c>
      <c r="BE219" s="93">
        <f>IF($U$219="základní",$N$219,0)</f>
        <v>0</v>
      </c>
      <c r="BF219" s="93">
        <f>IF($U$219="snížená",$N$219,0)</f>
        <v>0</v>
      </c>
      <c r="BG219" s="93">
        <f>IF($U$219="zákl. přenesená",$N$219,0)</f>
        <v>0</v>
      </c>
      <c r="BH219" s="93">
        <f>IF($U$219="sníž. přenesená",$N$219,0)</f>
        <v>0</v>
      </c>
      <c r="BI219" s="93">
        <f>IF($U$219="nulová",$N$219,0)</f>
        <v>0</v>
      </c>
      <c r="BJ219" s="6" t="s">
        <v>22</v>
      </c>
      <c r="BK219" s="93">
        <f>$L$219*$K$219</f>
        <v>0</v>
      </c>
    </row>
    <row r="220" spans="2:63" s="6" customFormat="1" ht="23.25" customHeight="1">
      <c r="B220" s="23"/>
      <c r="C220" s="154"/>
      <c r="D220" s="154" t="s">
        <v>168</v>
      </c>
      <c r="E220" s="155"/>
      <c r="F220" s="224"/>
      <c r="G220" s="225"/>
      <c r="H220" s="225"/>
      <c r="I220" s="225"/>
      <c r="J220" s="156"/>
      <c r="K220" s="157"/>
      <c r="L220" s="218"/>
      <c r="M220" s="217"/>
      <c r="N220" s="219">
        <f>$BK$220</f>
        <v>0</v>
      </c>
      <c r="O220" s="217"/>
      <c r="P220" s="217"/>
      <c r="Q220" s="217"/>
      <c r="R220" s="25"/>
      <c r="T220" s="147"/>
      <c r="U220" s="158" t="s">
        <v>45</v>
      </c>
      <c r="V220" s="24"/>
      <c r="W220" s="24"/>
      <c r="X220" s="24"/>
      <c r="Y220" s="24"/>
      <c r="Z220" s="24"/>
      <c r="AA220" s="65"/>
      <c r="AT220" s="6" t="s">
        <v>537</v>
      </c>
      <c r="AU220" s="6" t="s">
        <v>22</v>
      </c>
      <c r="AY220" s="6" t="s">
        <v>537</v>
      </c>
      <c r="BE220" s="93">
        <f>IF($U$220="základní",$N$220,0)</f>
        <v>0</v>
      </c>
      <c r="BF220" s="93">
        <f>IF($U$220="snížená",$N$220,0)</f>
        <v>0</v>
      </c>
      <c r="BG220" s="93">
        <f>IF($U$220="zákl. přenesená",$N$220,0)</f>
        <v>0</v>
      </c>
      <c r="BH220" s="93">
        <f>IF($U$220="sníž. přenesená",$N$220,0)</f>
        <v>0</v>
      </c>
      <c r="BI220" s="93">
        <f>IF($U$220="nulová",$N$220,0)</f>
        <v>0</v>
      </c>
      <c r="BJ220" s="6" t="s">
        <v>22</v>
      </c>
      <c r="BK220" s="93">
        <f>$L$220*$K$220</f>
        <v>0</v>
      </c>
    </row>
    <row r="221" spans="2:63" s="6" customFormat="1" ht="23.25" customHeight="1">
      <c r="B221" s="23"/>
      <c r="C221" s="154"/>
      <c r="D221" s="154" t="s">
        <v>168</v>
      </c>
      <c r="E221" s="155"/>
      <c r="F221" s="224"/>
      <c r="G221" s="225"/>
      <c r="H221" s="225"/>
      <c r="I221" s="225"/>
      <c r="J221" s="156"/>
      <c r="K221" s="157"/>
      <c r="L221" s="218"/>
      <c r="M221" s="217"/>
      <c r="N221" s="219">
        <f>$BK$221</f>
        <v>0</v>
      </c>
      <c r="O221" s="217"/>
      <c r="P221" s="217"/>
      <c r="Q221" s="217"/>
      <c r="R221" s="25"/>
      <c r="T221" s="147"/>
      <c r="U221" s="158" t="s">
        <v>45</v>
      </c>
      <c r="V221" s="24"/>
      <c r="W221" s="24"/>
      <c r="X221" s="24"/>
      <c r="Y221" s="24"/>
      <c r="Z221" s="24"/>
      <c r="AA221" s="65"/>
      <c r="AT221" s="6" t="s">
        <v>537</v>
      </c>
      <c r="AU221" s="6" t="s">
        <v>22</v>
      </c>
      <c r="AY221" s="6" t="s">
        <v>537</v>
      </c>
      <c r="BE221" s="93">
        <f>IF($U$221="základní",$N$221,0)</f>
        <v>0</v>
      </c>
      <c r="BF221" s="93">
        <f>IF($U$221="snížená",$N$221,0)</f>
        <v>0</v>
      </c>
      <c r="BG221" s="93">
        <f>IF($U$221="zákl. přenesená",$N$221,0)</f>
        <v>0</v>
      </c>
      <c r="BH221" s="93">
        <f>IF($U$221="sníž. přenesená",$N$221,0)</f>
        <v>0</v>
      </c>
      <c r="BI221" s="93">
        <f>IF($U$221="nulová",$N$221,0)</f>
        <v>0</v>
      </c>
      <c r="BJ221" s="6" t="s">
        <v>22</v>
      </c>
      <c r="BK221" s="93">
        <f>$L$221*$K$221</f>
        <v>0</v>
      </c>
    </row>
    <row r="222" spans="2:63" s="6" customFormat="1" ht="23.25" customHeight="1">
      <c r="B222" s="23"/>
      <c r="C222" s="154"/>
      <c r="D222" s="154" t="s">
        <v>168</v>
      </c>
      <c r="E222" s="155"/>
      <c r="F222" s="224"/>
      <c r="G222" s="225"/>
      <c r="H222" s="225"/>
      <c r="I222" s="225"/>
      <c r="J222" s="156"/>
      <c r="K222" s="157"/>
      <c r="L222" s="218"/>
      <c r="M222" s="217"/>
      <c r="N222" s="219">
        <f>$BK$222</f>
        <v>0</v>
      </c>
      <c r="O222" s="217"/>
      <c r="P222" s="217"/>
      <c r="Q222" s="217"/>
      <c r="R222" s="25"/>
      <c r="T222" s="147"/>
      <c r="U222" s="158" t="s">
        <v>45</v>
      </c>
      <c r="V222" s="24"/>
      <c r="W222" s="24"/>
      <c r="X222" s="24"/>
      <c r="Y222" s="24"/>
      <c r="Z222" s="24"/>
      <c r="AA222" s="65"/>
      <c r="AT222" s="6" t="s">
        <v>537</v>
      </c>
      <c r="AU222" s="6" t="s">
        <v>22</v>
      </c>
      <c r="AY222" s="6" t="s">
        <v>537</v>
      </c>
      <c r="BE222" s="93">
        <f>IF($U$222="základní",$N$222,0)</f>
        <v>0</v>
      </c>
      <c r="BF222" s="93">
        <f>IF($U$222="snížená",$N$222,0)</f>
        <v>0</v>
      </c>
      <c r="BG222" s="93">
        <f>IF($U$222="zákl. přenesená",$N$222,0)</f>
        <v>0</v>
      </c>
      <c r="BH222" s="93">
        <f>IF($U$222="sníž. přenesená",$N$222,0)</f>
        <v>0</v>
      </c>
      <c r="BI222" s="93">
        <f>IF($U$222="nulová",$N$222,0)</f>
        <v>0</v>
      </c>
      <c r="BJ222" s="6" t="s">
        <v>22</v>
      </c>
      <c r="BK222" s="93">
        <f>$L$222*$K$222</f>
        <v>0</v>
      </c>
    </row>
    <row r="223" spans="2:63" s="6" customFormat="1" ht="23.25" customHeight="1">
      <c r="B223" s="23"/>
      <c r="C223" s="154"/>
      <c r="D223" s="154" t="s">
        <v>168</v>
      </c>
      <c r="E223" s="155"/>
      <c r="F223" s="224"/>
      <c r="G223" s="225"/>
      <c r="H223" s="225"/>
      <c r="I223" s="225"/>
      <c r="J223" s="156"/>
      <c r="K223" s="157"/>
      <c r="L223" s="218"/>
      <c r="M223" s="217"/>
      <c r="N223" s="219">
        <f>$BK$223</f>
        <v>0</v>
      </c>
      <c r="O223" s="217"/>
      <c r="P223" s="217"/>
      <c r="Q223" s="217"/>
      <c r="R223" s="25"/>
      <c r="T223" s="147"/>
      <c r="U223" s="158" t="s">
        <v>45</v>
      </c>
      <c r="V223" s="43"/>
      <c r="W223" s="43"/>
      <c r="X223" s="43"/>
      <c r="Y223" s="43"/>
      <c r="Z223" s="43"/>
      <c r="AA223" s="45"/>
      <c r="AT223" s="6" t="s">
        <v>537</v>
      </c>
      <c r="AU223" s="6" t="s">
        <v>22</v>
      </c>
      <c r="AY223" s="6" t="s">
        <v>537</v>
      </c>
      <c r="BE223" s="93">
        <f>IF($U$223="základní",$N$223,0)</f>
        <v>0</v>
      </c>
      <c r="BF223" s="93">
        <f>IF($U$223="snížená",$N$223,0)</f>
        <v>0</v>
      </c>
      <c r="BG223" s="93">
        <f>IF($U$223="zákl. přenesená",$N$223,0)</f>
        <v>0</v>
      </c>
      <c r="BH223" s="93">
        <f>IF($U$223="sníž. přenesená",$N$223,0)</f>
        <v>0</v>
      </c>
      <c r="BI223" s="93">
        <f>IF($U$223="nulová",$N$223,0)</f>
        <v>0</v>
      </c>
      <c r="BJ223" s="6" t="s">
        <v>22</v>
      </c>
      <c r="BK223" s="93">
        <f>$L$223*$K$223</f>
        <v>0</v>
      </c>
    </row>
    <row r="224" spans="2:18" s="6" customFormat="1" ht="7.5" customHeight="1">
      <c r="B224" s="46"/>
      <c r="C224" s="47"/>
      <c r="D224" s="47"/>
      <c r="E224" s="47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8"/>
    </row>
    <row r="257" s="2" customFormat="1" ht="14.25" customHeight="1"/>
  </sheetData>
  <sheetProtection password="CC35" sheet="1" objects="1" scenarios="1" formatColumns="0" formatRows="0" sort="0" autoFilter="0"/>
  <mergeCells count="311">
    <mergeCell ref="N213:Q213"/>
    <mergeCell ref="N214:Q214"/>
    <mergeCell ref="N216:Q216"/>
    <mergeCell ref="N218:Q218"/>
    <mergeCell ref="H1:K1"/>
    <mergeCell ref="S2:AC2"/>
    <mergeCell ref="N194:Q194"/>
    <mergeCell ref="N198:Q198"/>
    <mergeCell ref="N200:Q200"/>
    <mergeCell ref="N201:Q201"/>
    <mergeCell ref="N208:Q208"/>
    <mergeCell ref="N210:Q210"/>
    <mergeCell ref="F223:I223"/>
    <mergeCell ref="L223:M223"/>
    <mergeCell ref="N223:Q223"/>
    <mergeCell ref="N134:Q134"/>
    <mergeCell ref="N135:Q135"/>
    <mergeCell ref="N136:Q136"/>
    <mergeCell ref="N160:Q160"/>
    <mergeCell ref="N167:Q167"/>
    <mergeCell ref="N170:Q170"/>
    <mergeCell ref="N175:Q175"/>
    <mergeCell ref="F221:I221"/>
    <mergeCell ref="L221:M221"/>
    <mergeCell ref="N221:Q221"/>
    <mergeCell ref="F222:I222"/>
    <mergeCell ref="L222:M222"/>
    <mergeCell ref="N222:Q222"/>
    <mergeCell ref="F219:I219"/>
    <mergeCell ref="L219:M219"/>
    <mergeCell ref="N219:Q219"/>
    <mergeCell ref="F220:I220"/>
    <mergeCell ref="L220:M220"/>
    <mergeCell ref="N220:Q220"/>
    <mergeCell ref="F215:I215"/>
    <mergeCell ref="L215:M215"/>
    <mergeCell ref="N215:Q215"/>
    <mergeCell ref="F217:I217"/>
    <mergeCell ref="L217:M217"/>
    <mergeCell ref="N217:Q217"/>
    <mergeCell ref="F209:I209"/>
    <mergeCell ref="L209:M209"/>
    <mergeCell ref="N209:Q209"/>
    <mergeCell ref="F212:I212"/>
    <mergeCell ref="L212:M212"/>
    <mergeCell ref="N212:Q212"/>
    <mergeCell ref="N211:Q211"/>
    <mergeCell ref="F206:I206"/>
    <mergeCell ref="L206:M206"/>
    <mergeCell ref="N206:Q206"/>
    <mergeCell ref="F207:I207"/>
    <mergeCell ref="L207:M207"/>
    <mergeCell ref="N207:Q207"/>
    <mergeCell ref="F204:I204"/>
    <mergeCell ref="L204:M204"/>
    <mergeCell ref="N204:Q204"/>
    <mergeCell ref="F205:I205"/>
    <mergeCell ref="L205:M205"/>
    <mergeCell ref="N205:Q205"/>
    <mergeCell ref="F202:I202"/>
    <mergeCell ref="L202:M202"/>
    <mergeCell ref="N202:Q202"/>
    <mergeCell ref="F203:I203"/>
    <mergeCell ref="L203:M203"/>
    <mergeCell ref="N203:Q203"/>
    <mergeCell ref="F197:I197"/>
    <mergeCell ref="L197:M197"/>
    <mergeCell ref="N197:Q197"/>
    <mergeCell ref="F199:I199"/>
    <mergeCell ref="L199:M199"/>
    <mergeCell ref="N199:Q199"/>
    <mergeCell ref="F195:I195"/>
    <mergeCell ref="L195:M195"/>
    <mergeCell ref="N195:Q195"/>
    <mergeCell ref="F196:I196"/>
    <mergeCell ref="L196:M196"/>
    <mergeCell ref="N196:Q196"/>
    <mergeCell ref="F191:I191"/>
    <mergeCell ref="L191:M191"/>
    <mergeCell ref="N191:Q191"/>
    <mergeCell ref="F193:I193"/>
    <mergeCell ref="L193:M193"/>
    <mergeCell ref="N193:Q193"/>
    <mergeCell ref="N192:Q192"/>
    <mergeCell ref="F189:I189"/>
    <mergeCell ref="L189:M189"/>
    <mergeCell ref="N189:Q189"/>
    <mergeCell ref="F190:I190"/>
    <mergeCell ref="L190:M190"/>
    <mergeCell ref="N190:Q190"/>
    <mergeCell ref="F187:I187"/>
    <mergeCell ref="L187:M187"/>
    <mergeCell ref="N187:Q187"/>
    <mergeCell ref="F188:I188"/>
    <mergeCell ref="L188:M188"/>
    <mergeCell ref="N188:Q188"/>
    <mergeCell ref="F185:I185"/>
    <mergeCell ref="L185:M185"/>
    <mergeCell ref="N185:Q185"/>
    <mergeCell ref="F186:I186"/>
    <mergeCell ref="L186:M186"/>
    <mergeCell ref="N186:Q186"/>
    <mergeCell ref="F183:I183"/>
    <mergeCell ref="L183:M183"/>
    <mergeCell ref="N183:Q183"/>
    <mergeCell ref="F184:I184"/>
    <mergeCell ref="L184:M184"/>
    <mergeCell ref="N184:Q184"/>
    <mergeCell ref="F180:I180"/>
    <mergeCell ref="L180:M180"/>
    <mergeCell ref="N180:Q180"/>
    <mergeCell ref="F182:I182"/>
    <mergeCell ref="L182:M182"/>
    <mergeCell ref="N182:Q182"/>
    <mergeCell ref="N181:Q181"/>
    <mergeCell ref="F178:I178"/>
    <mergeCell ref="L178:M178"/>
    <mergeCell ref="N178:Q178"/>
    <mergeCell ref="F179:I179"/>
    <mergeCell ref="L179:M179"/>
    <mergeCell ref="N179:Q179"/>
    <mergeCell ref="F176:I176"/>
    <mergeCell ref="L176:M176"/>
    <mergeCell ref="N176:Q176"/>
    <mergeCell ref="F177:I177"/>
    <mergeCell ref="L177:M177"/>
    <mergeCell ref="N177:Q177"/>
    <mergeCell ref="F173:I173"/>
    <mergeCell ref="L173:M173"/>
    <mergeCell ref="N173:Q173"/>
    <mergeCell ref="F174:I174"/>
    <mergeCell ref="L174:M174"/>
    <mergeCell ref="N174:Q174"/>
    <mergeCell ref="F171:I171"/>
    <mergeCell ref="L171:M171"/>
    <mergeCell ref="N171:Q171"/>
    <mergeCell ref="F172:I172"/>
    <mergeCell ref="L172:M172"/>
    <mergeCell ref="N172:Q172"/>
    <mergeCell ref="F168:I168"/>
    <mergeCell ref="L168:M168"/>
    <mergeCell ref="N168:Q168"/>
    <mergeCell ref="F169:I169"/>
    <mergeCell ref="L169:M169"/>
    <mergeCell ref="N169:Q169"/>
    <mergeCell ref="F165:I165"/>
    <mergeCell ref="L165:M165"/>
    <mergeCell ref="N165:Q165"/>
    <mergeCell ref="F166:I166"/>
    <mergeCell ref="L166:M166"/>
    <mergeCell ref="N166:Q166"/>
    <mergeCell ref="F163:I163"/>
    <mergeCell ref="L163:M163"/>
    <mergeCell ref="N163:Q163"/>
    <mergeCell ref="F164:I164"/>
    <mergeCell ref="L164:M164"/>
    <mergeCell ref="N164:Q164"/>
    <mergeCell ref="F161:I161"/>
    <mergeCell ref="L161:M161"/>
    <mergeCell ref="N161:Q161"/>
    <mergeCell ref="F162:I162"/>
    <mergeCell ref="L162:M162"/>
    <mergeCell ref="N162:Q162"/>
    <mergeCell ref="F158:I158"/>
    <mergeCell ref="L158:M158"/>
    <mergeCell ref="N158:Q158"/>
    <mergeCell ref="F159:I159"/>
    <mergeCell ref="L159:M159"/>
    <mergeCell ref="N159:Q159"/>
    <mergeCell ref="F156:I156"/>
    <mergeCell ref="L156:M156"/>
    <mergeCell ref="N156:Q156"/>
    <mergeCell ref="F157:I157"/>
    <mergeCell ref="L157:M157"/>
    <mergeCell ref="N157:Q157"/>
    <mergeCell ref="F154:I154"/>
    <mergeCell ref="L154:M154"/>
    <mergeCell ref="N154:Q154"/>
    <mergeCell ref="F155:I155"/>
    <mergeCell ref="L155:M155"/>
    <mergeCell ref="N155:Q155"/>
    <mergeCell ref="F152:I152"/>
    <mergeCell ref="L152:M152"/>
    <mergeCell ref="N152:Q152"/>
    <mergeCell ref="F153:I153"/>
    <mergeCell ref="L153:M153"/>
    <mergeCell ref="N153:Q153"/>
    <mergeCell ref="F150:I150"/>
    <mergeCell ref="L150:M150"/>
    <mergeCell ref="N150:Q150"/>
    <mergeCell ref="F151:I151"/>
    <mergeCell ref="L151:M151"/>
    <mergeCell ref="N151:Q151"/>
    <mergeCell ref="F148:I148"/>
    <mergeCell ref="L148:M148"/>
    <mergeCell ref="N148:Q148"/>
    <mergeCell ref="F149:I149"/>
    <mergeCell ref="L149:M149"/>
    <mergeCell ref="N149:Q149"/>
    <mergeCell ref="F146:I146"/>
    <mergeCell ref="L146:M146"/>
    <mergeCell ref="N146:Q146"/>
    <mergeCell ref="F147:I147"/>
    <mergeCell ref="L147:M147"/>
    <mergeCell ref="N147:Q147"/>
    <mergeCell ref="F144:I144"/>
    <mergeCell ref="L144:M144"/>
    <mergeCell ref="N144:Q144"/>
    <mergeCell ref="F145:I145"/>
    <mergeCell ref="L145:M145"/>
    <mergeCell ref="N145:Q145"/>
    <mergeCell ref="F142:I142"/>
    <mergeCell ref="L142:M142"/>
    <mergeCell ref="N142:Q142"/>
    <mergeCell ref="F143:I143"/>
    <mergeCell ref="L143:M143"/>
    <mergeCell ref="N143:Q143"/>
    <mergeCell ref="F140:I140"/>
    <mergeCell ref="L140:M140"/>
    <mergeCell ref="N140:Q140"/>
    <mergeCell ref="F141:I141"/>
    <mergeCell ref="L141:M141"/>
    <mergeCell ref="N141:Q141"/>
    <mergeCell ref="F138:I138"/>
    <mergeCell ref="L138:M138"/>
    <mergeCell ref="N138:Q138"/>
    <mergeCell ref="F139:I139"/>
    <mergeCell ref="L139:M139"/>
    <mergeCell ref="N139:Q139"/>
    <mergeCell ref="M130:Q130"/>
    <mergeCell ref="M131:Q131"/>
    <mergeCell ref="F133:I133"/>
    <mergeCell ref="L133:M133"/>
    <mergeCell ref="N133:Q133"/>
    <mergeCell ref="F137:I137"/>
    <mergeCell ref="L137:M137"/>
    <mergeCell ref="N137:Q137"/>
    <mergeCell ref="N115:Q115"/>
    <mergeCell ref="L117:Q117"/>
    <mergeCell ref="C123:Q123"/>
    <mergeCell ref="F125:P125"/>
    <mergeCell ref="F126:P126"/>
    <mergeCell ref="M128:P128"/>
    <mergeCell ref="D112:H112"/>
    <mergeCell ref="N112:Q112"/>
    <mergeCell ref="D113:H113"/>
    <mergeCell ref="N113:Q113"/>
    <mergeCell ref="D114:H114"/>
    <mergeCell ref="N114:Q114"/>
    <mergeCell ref="N106:Q106"/>
    <mergeCell ref="N107:Q107"/>
    <mergeCell ref="N109:Q109"/>
    <mergeCell ref="D110:H110"/>
    <mergeCell ref="N110:Q110"/>
    <mergeCell ref="D111:H111"/>
    <mergeCell ref="N111:Q111"/>
    <mergeCell ref="N100:Q100"/>
    <mergeCell ref="N101:Q101"/>
    <mergeCell ref="N102:Q102"/>
    <mergeCell ref="N103:Q103"/>
    <mergeCell ref="N104:Q104"/>
    <mergeCell ref="N105:Q105"/>
    <mergeCell ref="N94:Q94"/>
    <mergeCell ref="N95:Q95"/>
    <mergeCell ref="N96:Q96"/>
    <mergeCell ref="N97:Q97"/>
    <mergeCell ref="N98:Q98"/>
    <mergeCell ref="N99:Q99"/>
    <mergeCell ref="N88:Q88"/>
    <mergeCell ref="N89:Q89"/>
    <mergeCell ref="N90:Q90"/>
    <mergeCell ref="N91:Q91"/>
    <mergeCell ref="N92:Q92"/>
    <mergeCell ref="N93:Q93"/>
    <mergeCell ref="F78:P78"/>
    <mergeCell ref="F79:P79"/>
    <mergeCell ref="M81:P81"/>
    <mergeCell ref="M83:Q83"/>
    <mergeCell ref="M84:Q84"/>
    <mergeCell ref="C86:G86"/>
    <mergeCell ref="N86:Q86"/>
    <mergeCell ref="H35:J35"/>
    <mergeCell ref="M35:P35"/>
    <mergeCell ref="H36:J36"/>
    <mergeCell ref="M36:P36"/>
    <mergeCell ref="L38:P38"/>
    <mergeCell ref="C76:Q76"/>
    <mergeCell ref="H32:J32"/>
    <mergeCell ref="M32:P32"/>
    <mergeCell ref="H33:J33"/>
    <mergeCell ref="M33:P33"/>
    <mergeCell ref="H34:J34"/>
    <mergeCell ref="M34:P34"/>
    <mergeCell ref="O20:P20"/>
    <mergeCell ref="O21:P21"/>
    <mergeCell ref="E24:L24"/>
    <mergeCell ref="M27:P27"/>
    <mergeCell ref="M28:P28"/>
    <mergeCell ref="M30:P30"/>
    <mergeCell ref="O12:P12"/>
    <mergeCell ref="O14:P14"/>
    <mergeCell ref="E15:L15"/>
    <mergeCell ref="O15:P15"/>
    <mergeCell ref="O17:P17"/>
    <mergeCell ref="O18:P18"/>
    <mergeCell ref="C2:Q2"/>
    <mergeCell ref="C4:Q4"/>
    <mergeCell ref="F6:P6"/>
    <mergeCell ref="F7:P7"/>
    <mergeCell ref="O9:P9"/>
    <mergeCell ref="O11:P11"/>
  </mergeCells>
  <dataValidations count="2">
    <dataValidation type="list" allowBlank="1" showInputMessage="1" showErrorMessage="1" error="Povoleny jsou hodnoty K a M." sqref="D219:D224">
      <formula1>"K,M"</formula1>
    </dataValidation>
    <dataValidation type="list" allowBlank="1" showInputMessage="1" showErrorMessage="1" error="Povoleny jsou hodnoty základní, snížená, zákl. přenesená, sníž. přenesená, nulová." sqref="U219:U224">
      <formula1>"základní,snížená,zákl. přenesená,sníž. přenesená,nulová"</formula1>
    </dataValidation>
  </dataValidations>
  <hyperlinks>
    <hyperlink ref="F1:G1" location="C2" tooltip="Krycí list rozpočtu" display="1) Krycí list rozpočtu"/>
    <hyperlink ref="H1:K1" location="C86" tooltip="Rekapitulace rozpočtu" display="2) Rekapitulace rozpočtu"/>
    <hyperlink ref="L1" location="C133" tooltip="Rozpočet" display="3) Rozpočet"/>
    <hyperlink ref="S1:T1" location="'Rekapitulace stavby'!C2" tooltip="Rekapitulace stavby" display="Rekapitulace stavby"/>
  </hyperlinks>
  <printOptions/>
  <pageMargins left="0.5902777910232544" right="0.5902777910232544" top="0.5208333730697632" bottom="0.4861111342906952" header="0" footer="0"/>
  <pageSetup blackAndWhite="1" fitToHeight="100" fitToWidth="1" horizontalDpi="600" verticalDpi="600" orientation="portrait" paperSize="9" scale="95" r:id="rId2"/>
  <headerFooter alignWithMargins="0"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Pavel Hruška</cp:lastModifiedBy>
  <dcterms:modified xsi:type="dcterms:W3CDTF">2019-11-01T10:38:47Z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