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<sst xmlns="http://schemas.openxmlformats.org/spreadsheetml/2006/main" count="1196" uniqueCount="491">
  <si>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</si>
  <si>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</si>
  <si>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</si>
  <si>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</si>
  <si>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</si>
  <si>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</si>
  <si>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</si>
  <si>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</si>
  <si>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</si>
  <si>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</si>
  <si>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</si>
  <si>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</si>
  <si>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</si>
  <si>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</si>
  <si>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</si>
  <si>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</si>
  <si>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</si>
  <si>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</si>
  <si>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</si>
  <si>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</si>
  <si>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</si>
  <si>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</si>
  <si>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</si>
  <si>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</si>
  <si>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</si>
  <si>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</si>
  <si>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</si>
  <si>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</si>
  <si>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</si>
  <si>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</si>
  <si>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</si>
  <si>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</si>
  <si>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</si>
  <si>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</si>
  <si>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</si>
  <si>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</si>
  <si>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</si>
  <si>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</si>
  <si>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</si>
  <si>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</si>
  <si>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</si>
  <si>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</si>
  <si>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</si>
  <si>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</si>
  <si>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</si>
  <si>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</si>
  <si>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</si>
  <si>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</si>
  <si>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</si>
  <si>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</si>
  <si>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</si>
  <si>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</si>
  <si>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</si>
  <si>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</si>
  <si>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</si>
  <si>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</si>
  <si>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</si>
  <si>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</si>
  <si>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</si>
  <si>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</si>
  <si>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</si>
  <si>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</si>
  <si>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</si>
  <si>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</si>
  <si>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</si>
  <si>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</si>
  <si>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</si>
  <si>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</si>
  <si>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</si>
  <si>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</si>
  <si>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</si>
  <si>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</si>
  <si>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</si>
  <si>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</si>
  <si>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</si>
  <si>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</si>
  <si>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</si>
  <si>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</si>
  <si>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</si>
  <si>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</si>
  <si>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</si>
  <si>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</si>
  <si>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</si>
  <si>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</si>
  <si>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</si>
  <si>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</si>
  <si>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</si>
  <si>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</si>
  <si>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</si>
  <si>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</si>
  <si>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</si>
  <si>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</si>
  <si>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</si>
  <si>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</si>
  <si>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Poznámka:</t>
  </si>
  <si>
    <t>Objekt</t>
  </si>
  <si>
    <t>Kód</t>
  </si>
  <si>
    <t>113153214R00</t>
  </si>
  <si>
    <t>113107510R00</t>
  </si>
  <si>
    <t>113109415R00</t>
  </si>
  <si>
    <t>113108305R00</t>
  </si>
  <si>
    <t>113202111R00</t>
  </si>
  <si>
    <t>113204111R00</t>
  </si>
  <si>
    <t>119001421R00</t>
  </si>
  <si>
    <t>121101103R00</t>
  </si>
  <si>
    <t>122202202R00</t>
  </si>
  <si>
    <t>122202209R00</t>
  </si>
  <si>
    <t>130001101R00</t>
  </si>
  <si>
    <t>133201101R00</t>
  </si>
  <si>
    <t>133201109R00</t>
  </si>
  <si>
    <t>162301101R00</t>
  </si>
  <si>
    <t>162701101R00</t>
  </si>
  <si>
    <t>167101102R00</t>
  </si>
  <si>
    <t>162701109R00</t>
  </si>
  <si>
    <t>171102102R00</t>
  </si>
  <si>
    <t>18320 R-12</t>
  </si>
  <si>
    <t>199000002R00</t>
  </si>
  <si>
    <t>56420 R-01</t>
  </si>
  <si>
    <t>56420 R-02</t>
  </si>
  <si>
    <t>56420 R-03</t>
  </si>
  <si>
    <t>56420 R-04</t>
  </si>
  <si>
    <t>56420 R-05</t>
  </si>
  <si>
    <t>56420 R-06</t>
  </si>
  <si>
    <t>564861111R00</t>
  </si>
  <si>
    <t>564871111R00</t>
  </si>
  <si>
    <t>565141211R00</t>
  </si>
  <si>
    <t>567122114R00</t>
  </si>
  <si>
    <t>69366204</t>
  </si>
  <si>
    <t>573191111R00</t>
  </si>
  <si>
    <t>577112123RT2</t>
  </si>
  <si>
    <t>596921114R00</t>
  </si>
  <si>
    <t>592452579</t>
  </si>
  <si>
    <t>596215021R00</t>
  </si>
  <si>
    <t>59245308</t>
  </si>
  <si>
    <t>599142111R00</t>
  </si>
  <si>
    <t>89</t>
  </si>
  <si>
    <t>894211121R00</t>
  </si>
  <si>
    <t>899231111R00</t>
  </si>
  <si>
    <t>90</t>
  </si>
  <si>
    <t>900      RT1</t>
  </si>
  <si>
    <t>900      RT2</t>
  </si>
  <si>
    <t>91</t>
  </si>
  <si>
    <t>914001111R00</t>
  </si>
  <si>
    <t>40444939.A</t>
  </si>
  <si>
    <t>40445020.A</t>
  </si>
  <si>
    <t>40445319</t>
  </si>
  <si>
    <t>40445341</t>
  </si>
  <si>
    <t>40445264</t>
  </si>
  <si>
    <t>404459502</t>
  </si>
  <si>
    <t>916561111RT4</t>
  </si>
  <si>
    <t>917862111RT8</t>
  </si>
  <si>
    <t>919731121R00</t>
  </si>
  <si>
    <t>919735111R00</t>
  </si>
  <si>
    <t>919794441R00</t>
  </si>
  <si>
    <t>915711121R00</t>
  </si>
  <si>
    <t>95</t>
  </si>
  <si>
    <t>952901411R00</t>
  </si>
  <si>
    <t>74910306</t>
  </si>
  <si>
    <t>74910215</t>
  </si>
  <si>
    <t>H22</t>
  </si>
  <si>
    <t>998223011R00</t>
  </si>
  <si>
    <t>998225111R00</t>
  </si>
  <si>
    <t>M21</t>
  </si>
  <si>
    <t>210010055R00</t>
  </si>
  <si>
    <t>210102002R00</t>
  </si>
  <si>
    <t>210202016R00</t>
  </si>
  <si>
    <t>210204002RT1</t>
  </si>
  <si>
    <t>210220021R00</t>
  </si>
  <si>
    <t>210800106RT1</t>
  </si>
  <si>
    <t>210120001R00</t>
  </si>
  <si>
    <t>210120002R00</t>
  </si>
  <si>
    <t>210204002R00</t>
  </si>
  <si>
    <t>905      R01</t>
  </si>
  <si>
    <t>M22</t>
  </si>
  <si>
    <t>22006 R-13</t>
  </si>
  <si>
    <t>M46</t>
  </si>
  <si>
    <t>460050004RT1</t>
  </si>
  <si>
    <t>460080001R00</t>
  </si>
  <si>
    <t>460200154RT2</t>
  </si>
  <si>
    <t>460420018RT3</t>
  </si>
  <si>
    <t>460560154R00</t>
  </si>
  <si>
    <t>460620014R00</t>
  </si>
  <si>
    <t>460490012R00</t>
  </si>
  <si>
    <t>S</t>
  </si>
  <si>
    <t>979083117R00</t>
  </si>
  <si>
    <t>979083191R00</t>
  </si>
  <si>
    <t>979087212R00</t>
  </si>
  <si>
    <t>979990103R00</t>
  </si>
  <si>
    <t>979990112R00</t>
  </si>
  <si>
    <t>REVITALIZACE VEŘ.PROSTRANSTVÍ -LOK.Č.2</t>
  </si>
  <si>
    <t>VII.REKONSTRUKCE MK+PŘILEHLÉ STÁNÍ A CHODNÍKY</t>
  </si>
  <si>
    <t>SO 101-DOPRAVNÍ ŘEŠENÍ-ČÁST-1</t>
  </si>
  <si>
    <t>Zkrácený popis</t>
  </si>
  <si>
    <t>Rozměry</t>
  </si>
  <si>
    <t>Přípravné a přidružené práce</t>
  </si>
  <si>
    <t>Fréz.asf.beton.krytu nad 500 m2, bez překážek, tl.5 cm</t>
  </si>
  <si>
    <t>(195+77)*3,5   komunikace</t>
  </si>
  <si>
    <t>10*5+5*10+12   náběhy</t>
  </si>
  <si>
    <t>42*2,5+42*2,5+49*2,5+5*7+5*16   stávající stání</t>
  </si>
  <si>
    <t>Odstranění podkladu pl. 50 m2,kam.drcené tl.5-10 cm</t>
  </si>
  <si>
    <t>1064   komunikace</t>
  </si>
  <si>
    <t>447,5   stání</t>
  </si>
  <si>
    <t>76,95   chodníky</t>
  </si>
  <si>
    <t>Odstranění podkladu pl.nad 50 m2, beton, tl. 15 cm</t>
  </si>
  <si>
    <t>Odstranění asfaltové vrstvy pl.do 50 m2, tl. 5 cm</t>
  </si>
  <si>
    <t>4*2,2+4,5*2,2+6*2,2+7*2,2+8*2+6,5*2,1   chodníky vybourat,nelze frézovat</t>
  </si>
  <si>
    <t>6*2,1+8,5*2,1+10*2,18,5*2,1+10*2,113*1,5</t>
  </si>
  <si>
    <t>Vytrhání obrub obrubníků silničních</t>
  </si>
  <si>
    <t>642</t>
  </si>
  <si>
    <t>Vytrhání obrubníků zahradních</t>
  </si>
  <si>
    <t>6+6+6,5+6,5+5+5+6+6+6,5+6,5+12+12</t>
  </si>
  <si>
    <t>9+9+6,5+6,5+8+8+11+11+8+8+10+10+20+20</t>
  </si>
  <si>
    <t>Dočasné zajištění kabelů - do počtu 3 kabelů</t>
  </si>
  <si>
    <t>Odkopávky a prokopávky</t>
  </si>
  <si>
    <t>Sejmutí ornice s přemístěním přes 100 do 250 m</t>
  </si>
  <si>
    <t>(20*2,1+15*2,2+12*2,1+17*2+11*2+3*1+11*2+3*1)*0,15   chodníky a stání</t>
  </si>
  <si>
    <t>(8*5+18*5+26*8+18*5+18*5+70*4,5+2,2*3,4)*0,15</t>
  </si>
  <si>
    <t>(6*2,2+9*2,277*2+6*8+105*5+30*5)*0,15</t>
  </si>
  <si>
    <t>Odkopávky pro silnice v hor. 3 do 1000 m3</t>
  </si>
  <si>
    <t>1399,75*0,20   stání</t>
  </si>
  <si>
    <t>973*0,20   chodníky</t>
  </si>
  <si>
    <t>Příplatek za lepivost - odkop. pro silnice v hor.3</t>
  </si>
  <si>
    <t>474,55</t>
  </si>
  <si>
    <t>Hloubené vykopávky</t>
  </si>
  <si>
    <t>Příplatek za ztížené hloubení v blízkosti vedení</t>
  </si>
  <si>
    <t>11,40</t>
  </si>
  <si>
    <t>Hloubení šachet v hor.3 do 100 m3</t>
  </si>
  <si>
    <t>1,8</t>
  </si>
  <si>
    <t>Příplatek za lepivost - hloubení šachet v hor.3</t>
  </si>
  <si>
    <t>Přemístění výkopku</t>
  </si>
  <si>
    <t>Vodorovné přemístění výkopku z hor.1-4 do 500 m</t>
  </si>
  <si>
    <t>74,20   dosypání obrubník a stávající  zeleň-ornice</t>
  </si>
  <si>
    <t>Vodorovné přemístění výkopku z hor.1-4 do 6000 m</t>
  </si>
  <si>
    <t>158,84+238,27+474,55+1,8</t>
  </si>
  <si>
    <t>Nakládání výkopku z hor.1-4 v množství nad 100 m3</t>
  </si>
  <si>
    <t>873,46</t>
  </si>
  <si>
    <t>Příplatek k vod. přemístění hor.1-4 za další 1 km</t>
  </si>
  <si>
    <t>873,46*38   řízená skládka Volfartice</t>
  </si>
  <si>
    <t>Konstrukce ze zemin</t>
  </si>
  <si>
    <t>Uložení sypaniny do násypů, zhutn, na 96% PS</t>
  </si>
  <si>
    <t>Povrchové úpravy terénu</t>
  </si>
  <si>
    <t>výsadba zeleně dle požadavků a určení investorem</t>
  </si>
  <si>
    <t>Hloubení pro podzemní stěny, ražení a hloubení důlní</t>
  </si>
  <si>
    <t>Poplatek za skládku horniny 1- 4</t>
  </si>
  <si>
    <t>Podkladní vrstvy komunikací, letišť a ploch</t>
  </si>
  <si>
    <t>Místní dorovnávka z hlinitého písku</t>
  </si>
  <si>
    <t>45*2,7+107*5,5*2+22,5*5,5-5*4,5   stání automobilů</t>
  </si>
  <si>
    <t>hutnění otvorů pomocí šablon</t>
  </si>
  <si>
    <t>1399,75</t>
  </si>
  <si>
    <t>Výplně otvorů vegetačních tvárnic</t>
  </si>
  <si>
    <t>1399,75   humusovitá zemina ,travní semena 8-12kg/m2</t>
  </si>
  <si>
    <t>0   sorbent ropných produktů v poměru 1:6 tl.80mm</t>
  </si>
  <si>
    <t>Podklad ze směsi kameniva 0-8 a hlinité zeminy</t>
  </si>
  <si>
    <t>Výplň vegetačních tvárnic směsí humusovité zeminy,rašeliny,písku tl.50mm</t>
  </si>
  <si>
    <t>Podklad ze kameniva  0-32mm a hlinité zeminy tl.100mm</t>
  </si>
  <si>
    <t>Podklad ze štěrkodrti po zhutnění tloušťky 20 cm</t>
  </si>
  <si>
    <t>150*3,5+42,35*3,5   komunikace</t>
  </si>
  <si>
    <t>14*5,6</t>
  </si>
  <si>
    <t>77*3,5</t>
  </si>
  <si>
    <t>5,6*7</t>
  </si>
  <si>
    <t>22   náběhy vozovky v místě napojení Západní ul.</t>
  </si>
  <si>
    <t>Podklad ze štěrkodrti po zhutnění tloušťky 25 cm</t>
  </si>
  <si>
    <t>973   chodníky</t>
  </si>
  <si>
    <t>Podklad z obal kam.ACP 16+,ACP 22+,nad 3 m,tl.6 cm</t>
  </si>
  <si>
    <t>1082,325   vozovka</t>
  </si>
  <si>
    <t>Podklad z kameniva zpev.cementem SC C8/10 tl.15 cm</t>
  </si>
  <si>
    <t>Geotextilie  500 g/m2 š. 200 cm PES</t>
  </si>
  <si>
    <t>Kryty pozemních komunikací, letišť a ploch z kameniva nebo živičné</t>
  </si>
  <si>
    <t>Nátěr infiltrační kationaktivní emulzí 1kg/m2</t>
  </si>
  <si>
    <t>Beton asfalt. ACO 11 S modifik. š.nad 3 m, tl.4 cm</t>
  </si>
  <si>
    <t>Kryty pozemních komunikací, letišť a ploch dlážděných (předlažby)</t>
  </si>
  <si>
    <t>Kladení bet.veget.dlaždic,lože 30 mm,pl.nad 500 m2</t>
  </si>
  <si>
    <t>1399,75   stání automobilů</t>
  </si>
  <si>
    <t>Dlažba zatravňovací 60x40x10cm přírodní</t>
  </si>
  <si>
    <t>;ztratné 2%; 27,995</t>
  </si>
  <si>
    <t>Kladení zámkové dlažby tl. 6 cm do drtě tl. 4 cm</t>
  </si>
  <si>
    <t>15*2+55*2+5*2,2+10*2,2+15*2,2+135*2,0</t>
  </si>
  <si>
    <t>3*2+3*2+2*2+2*2+3*2+8*2+6*2+70*2+18,0*2,1+2*2,2+3*2+4*2,2</t>
  </si>
  <si>
    <t>5*2,2+79,5*2+20*2+10*2+4*4</t>
  </si>
  <si>
    <t>Dlažba BEST KLASIKO přírodní  20x10x6</t>
  </si>
  <si>
    <t>973</t>
  </si>
  <si>
    <t>;ztratné 2%; 19,46</t>
  </si>
  <si>
    <t>Úprava zálivky dil.spár hloubky do 4 cm š. do 4 cm</t>
  </si>
  <si>
    <t>Ostatní konstrukce a práce na trubním vedení</t>
  </si>
  <si>
    <t>Šachty z betonu kruhové,dno C 25/30,potrubí DN 300</t>
  </si>
  <si>
    <t>Výšková úprava vstupu do 20 cm, zvýšení mříže</t>
  </si>
  <si>
    <t>Hodinové zúčtovací sazby (HZS)</t>
  </si>
  <si>
    <t>HZS-Geodetické vytyčení vozovky</t>
  </si>
  <si>
    <t>HZS-Geodetické vytyčení všech sítí</t>
  </si>
  <si>
    <t>HZSGeodetické zaměření komunikace</t>
  </si>
  <si>
    <t>HZS-dokladová část pro kolaudaci</t>
  </si>
  <si>
    <t>HZS-dokumentace skutečného provedení</t>
  </si>
  <si>
    <t>HZS pomocné práce zajišťující ochranu inž.sítí-ruční dokopávky</t>
  </si>
  <si>
    <t>1   předpoklad</t>
  </si>
  <si>
    <t>Doplňující konstrukce a práce na pozemních komunikacích a zpevněných plochách</t>
  </si>
  <si>
    <t>Osazení sloupků dopr.značky vč. beton. základu</t>
  </si>
  <si>
    <t>Značka dopr výstražná A1- A30 1250 mm fól1,EG7letá</t>
  </si>
  <si>
    <t>Značka doprav zákazová B1-B34 500 fól 1, EG 7letá</t>
  </si>
  <si>
    <t>Značka dopr.upr.přednost P8 500x500mm,poz.ref.tř.2</t>
  </si>
  <si>
    <t>Značka dopr.informat. IP1-IP7 500x500 mm,poz.ref.2</t>
  </si>
  <si>
    <t>Sloupek Fe pr.60 pozinkovaný, l= 2500 mm</t>
  </si>
  <si>
    <t>Osazení záhon.obrubníků do lože z C 12/15 s opěrou</t>
  </si>
  <si>
    <t>80+150+55+26+11+70*2+79,5+2+6,8+8,1+14+20   včetně obrubníku ABO 4-5  50/5/25</t>
  </si>
  <si>
    <t>20+18+2+1+1+2+3+3+2+5+5+2,2+4,5+4,5+2,2+8+6+2+1+1+2+1+1+2+1+1+2,2+2+2+2,2+4+4+2,2+3+3+2,2+4+4+2,2</t>
  </si>
  <si>
    <t>10+10+2,2+9+9+2,2+4+4+2,2+2,2</t>
  </si>
  <si>
    <t>Osazení stojat. obrub.bet. s opěrou,lože z C 12/15</t>
  </si>
  <si>
    <t>(150+45)*2   včetně obrubníku silniční 100/15/30</t>
  </si>
  <si>
    <t>14+14</t>
  </si>
  <si>
    <t>77*2</t>
  </si>
  <si>
    <t>10+10+3+2,7+2,7+6+6+6+6+5+5+6+6</t>
  </si>
  <si>
    <t>45+105+105+23</t>
  </si>
  <si>
    <t>Zarovnání styčné plochy živičné tl. do 5 cm</t>
  </si>
  <si>
    <t>Řezání stávajícího živičného krytu tl. do 5 cm</t>
  </si>
  <si>
    <t>Úprava ploch kolem hydrantů v živ.krytech do 2 m2</t>
  </si>
  <si>
    <t>Vodor.značení dělicích čar 12 cm plastem,nehlučné</t>
  </si>
  <si>
    <t>2,7*6   stání vozidel</t>
  </si>
  <si>
    <t>6,5*39*2</t>
  </si>
  <si>
    <t>5,5*6</t>
  </si>
  <si>
    <t>Různé dokončovací konstrukce a práce na pozemních stavbách</t>
  </si>
  <si>
    <t>Vyčištění staveniště</t>
  </si>
  <si>
    <t>6250</t>
  </si>
  <si>
    <t>Lavička  s osazením</t>
  </si>
  <si>
    <t>Koš odpadkový  71 l  360x410x860mm bez víka</t>
  </si>
  <si>
    <t>Komunikace pozemní a letiště</t>
  </si>
  <si>
    <t>Přesun hmot, pozemní komunikace, kryt dlážděný</t>
  </si>
  <si>
    <t>278,917+12,664+428,602</t>
  </si>
  <si>
    <t>Přesun hmot, pozemní komunikace, kryt živičný</t>
  </si>
  <si>
    <t>3647,829+112,638</t>
  </si>
  <si>
    <t>Elektromontáže</t>
  </si>
  <si>
    <t>Trubka pancéřová-chránička montáž a dodávka</t>
  </si>
  <si>
    <t>150+20</t>
  </si>
  <si>
    <t>Spojka epoxid. plast.kabely 1kV, SVPe 4x50</t>
  </si>
  <si>
    <t>Svítidlo výbojkové 4461070  70W SHC mimokom.</t>
  </si>
  <si>
    <t>Stožár osvětlovací sadový - ocelový</t>
  </si>
  <si>
    <t>15   včetně dodávky stožárů a elektrovýzbroje</t>
  </si>
  <si>
    <t>Vedení uzemňovací v zemi FeZn do 120 mm2 vč.svorek</t>
  </si>
  <si>
    <t>150+270</t>
  </si>
  <si>
    <t>Kabel CYKY 750 V 3x2,5 mm2 včetně dodávky kabelů</t>
  </si>
  <si>
    <t>420+20</t>
  </si>
  <si>
    <t>Pojistka závitová do 500V E 27 do 25A</t>
  </si>
  <si>
    <t>Pojistka závitová do 500V E 33 do 60A</t>
  </si>
  <si>
    <t>Demontáž stožárů osvětlení</t>
  </si>
  <si>
    <t>Hzs-revize provoz.souboru a st.obj.</t>
  </si>
  <si>
    <t>Montáže sdělovací a zabezpečovací techniky</t>
  </si>
  <si>
    <t>Přeložky a chráničky Telefonica O2</t>
  </si>
  <si>
    <t>Zemní práce při montážích</t>
  </si>
  <si>
    <t>Jáma pro stožár J nepatk. do 8 m, v rovině, hor. 4</t>
  </si>
  <si>
    <t>Betonový základ do zeminy bez bednění</t>
  </si>
  <si>
    <t>7,5   včetně bednění a betonu</t>
  </si>
  <si>
    <t>Výkop kabelové rýhy 35/70 cm  hor.4</t>
  </si>
  <si>
    <t>420</t>
  </si>
  <si>
    <t>Zřízení kabelového lože v rýze š.do 35 cm z písku</t>
  </si>
  <si>
    <t>420   včetně materiálů</t>
  </si>
  <si>
    <t>Zához rýhy 35/70 cm, hornina třídy 4</t>
  </si>
  <si>
    <t>Provizorní úprava terénu v přírodní hornině 4</t>
  </si>
  <si>
    <t>420*0,5</t>
  </si>
  <si>
    <t>Fólie výstražná z PVC, šířka 33 cm</t>
  </si>
  <si>
    <t>Přesuny sutí</t>
  </si>
  <si>
    <t>Vodorovné přemístění suti na skládku do 6000 m</t>
  </si>
  <si>
    <t>166,265   asfalt komunikace</t>
  </si>
  <si>
    <t>8,465   chodníky</t>
  </si>
  <si>
    <t>17,161   dlažba</t>
  </si>
  <si>
    <t>15,12   beton</t>
  </si>
  <si>
    <t>173,340   silniční obruby</t>
  </si>
  <si>
    <t>28,625   chodníkové obruby</t>
  </si>
  <si>
    <t>Příplatek za dalších započatých 1000 m nad 6000 m</t>
  </si>
  <si>
    <t>408,976*38   řízená skládka Volfartice</t>
  </si>
  <si>
    <t>Nakládání suti na dopravní prostředky - komunikace</t>
  </si>
  <si>
    <t>408,976</t>
  </si>
  <si>
    <t>Poplatek za skládku suti - beton do 30x30 cm</t>
  </si>
  <si>
    <t>17,161+15,12+173,340+28,625</t>
  </si>
  <si>
    <t>Poplatek za skládku suti-obal.kam.-asfalt do 30x30</t>
  </si>
  <si>
    <t>166,265+8,465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</si>
  <si>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</si>
  <si>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</si>
  <si>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</si>
  <si>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</si>
  <si>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</si>
  <si>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</si>
  <si>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</si>
  <si>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</si>
  <si>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soub</t>
  </si>
  <si>
    <t>kus</t>
  </si>
  <si>
    <t>h</t>
  </si>
  <si>
    <t>t</t>
  </si>
  <si>
    <t>Množství</t>
  </si>
  <si>
    <t>26.04.2018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</si>
  <si>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</si>
  <si>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</si>
  <si>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</si>
  <si>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</si>
  <si>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</si>
  <si>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</si>
  <si>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</si>
  <si>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</si>
  <si>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</si>
  <si>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</si>
  <si>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VARNSDORF</t>
  </si>
  <si>
    <t>ING.COBL JIŘÍ</t>
  </si>
  <si>
    <t>BUDE VYBRÁN</t>
  </si>
  <si>
    <t>IIČVDF</t>
  </si>
  <si>
    <t>Celkem</t>
  </si>
  <si>
    <t>Hmotnost (t)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</si>
  <si>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</si>
  <si>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</si>
  <si>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</si>
  <si>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</si>
  <si>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</si>
  <si>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</si>
  <si>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</si>
  <si>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</si>
  <si>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</si>
  <si>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</si>
  <si>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</si>
  <si>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</si>
  <si>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</si>
  <si>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</si>
  <si>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</si>
  <si>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16_</t>
  </si>
  <si>
    <t>17_</t>
  </si>
  <si>
    <t>18_</t>
  </si>
  <si>
    <t>19_</t>
  </si>
  <si>
    <t>56_</t>
  </si>
  <si>
    <t>57_</t>
  </si>
  <si>
    <t>59_</t>
  </si>
  <si>
    <t>89_</t>
  </si>
  <si>
    <t>90_</t>
  </si>
  <si>
    <t>91_</t>
  </si>
  <si>
    <t>95_</t>
  </si>
  <si>
    <t>H22_</t>
  </si>
  <si>
    <t>M21_</t>
  </si>
  <si>
    <t>M22_</t>
  </si>
  <si>
    <t>M46_</t>
  </si>
  <si>
    <t>S_</t>
  </si>
  <si>
    <t>1_</t>
  </si>
  <si>
    <t>5_</t>
  </si>
  <si>
    <t>8_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</si>
  <si>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</si>
  <si>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</si>
  <si>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</si>
  <si>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</si>
  <si>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</si>
  <si>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</si>
  <si>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</si>
  <si>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</si>
  <si>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</si>
  <si>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</si>
  <si>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</si>
  <si>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</si>
  <si>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</si>
  <si>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</si>
  <si>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</si>
  <si>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</si>
  <si>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</si>
  <si>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</si>
  <si>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</si>
  <si>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</si>
  <si>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</si>
  <si>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</si>
  <si>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</si>
  <si>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</si>
  <si>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</si>
  <si>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</si>
  <si>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</si>
  <si>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</si>
  <si>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Rozpočtová rezerva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</si>
  <si>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</si>
  <si>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</si>
  <si>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</si>
  <si>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</si>
  <si>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</si>
  <si>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</si>
  <si>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</si>
  <si>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</si>
  <si>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</si>
  <si>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</si>
  <si>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</si>
  <si>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</si>
  <si>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</si>
  <si>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</si>
  <si>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</si>
  <si>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</si>
  <si>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</si>
  <si>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</si>
  <si>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</si>
  <si>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</si>
  <si>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</si>
  <si>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</si>
  <si>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</si>
  <si>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</si>
  <si>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Značka dopr.infor. IP 11a,c  500x700 pozink.tř.1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</si>
</sst>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1" fillId="34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6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49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9"/>
  <sheetViews>
    <sheetView tabSelected="1" zoomScalePageLayoutView="0" workbookViewId="0" topLeftCell="A1">
      <pane ySplit="11" topLeftCell="A129" activePane="bottomLeft" state="frozen"/>
      <selection pane="topLeft" activeCell="A1" sqref="A1"/>
      <selection pane="bottomLeft" activeCell="D146" sqref="D14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3.00390625" style="0" customWidth="1"/>
    <col min="5" max="5" width="4.8515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2.75">
      <c r="A2" s="83" t="s">
        <v>1</v>
      </c>
      <c r="B2" s="84"/>
      <c r="C2" s="84"/>
      <c r="D2" s="85" t="s">
        <v>189</v>
      </c>
      <c r="E2" s="87" t="s">
        <v>373</v>
      </c>
      <c r="F2" s="84"/>
      <c r="G2" s="87" t="s">
        <v>6</v>
      </c>
      <c r="H2" s="84"/>
      <c r="I2" s="88" t="s">
        <v>392</v>
      </c>
      <c r="J2" s="88" t="s">
        <v>397</v>
      </c>
      <c r="K2" s="84"/>
      <c r="L2" s="84"/>
      <c r="M2" s="89"/>
      <c r="N2" s="34"/>
    </row>
    <row r="3" spans="1:14" ht="12.75">
      <c r="A3" s="80"/>
      <c r="B3" s="73"/>
      <c r="C3" s="73"/>
      <c r="D3" s="86"/>
      <c r="E3" s="73"/>
      <c r="F3" s="73"/>
      <c r="G3" s="73"/>
      <c r="H3" s="73"/>
      <c r="I3" s="73"/>
      <c r="J3" s="73"/>
      <c r="K3" s="73"/>
      <c r="L3" s="73"/>
      <c r="M3" s="78"/>
      <c r="N3" s="34"/>
    </row>
    <row r="4" spans="1:14" ht="12.75">
      <c r="A4" s="74" t="s">
        <v>2</v>
      </c>
      <c r="B4" s="73"/>
      <c r="C4" s="73"/>
      <c r="D4" s="72" t="s">
        <v>190</v>
      </c>
      <c r="E4" s="77" t="s">
        <v>374</v>
      </c>
      <c r="F4" s="73"/>
      <c r="G4" s="77" t="s">
        <v>6</v>
      </c>
      <c r="H4" s="73"/>
      <c r="I4" s="72" t="s">
        <v>393</v>
      </c>
      <c r="J4" s="72" t="s">
        <v>398</v>
      </c>
      <c r="K4" s="73"/>
      <c r="L4" s="73"/>
      <c r="M4" s="78"/>
      <c r="N4" s="34"/>
    </row>
    <row r="5" spans="1:14" ht="12.75">
      <c r="A5" s="80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8"/>
      <c r="N5" s="34"/>
    </row>
    <row r="6" spans="1:14" ht="12.75">
      <c r="A6" s="74" t="s">
        <v>3</v>
      </c>
      <c r="B6" s="73"/>
      <c r="C6" s="73"/>
      <c r="D6" s="72" t="s">
        <v>191</v>
      </c>
      <c r="E6" s="77" t="s">
        <v>375</v>
      </c>
      <c r="F6" s="73"/>
      <c r="G6" s="77" t="s">
        <v>6</v>
      </c>
      <c r="H6" s="73"/>
      <c r="I6" s="72" t="s">
        <v>394</v>
      </c>
      <c r="J6" s="72" t="s">
        <v>399</v>
      </c>
      <c r="K6" s="73"/>
      <c r="L6" s="73"/>
      <c r="M6" s="78"/>
      <c r="N6" s="34"/>
    </row>
    <row r="7" spans="1:14" ht="12.75">
      <c r="A7" s="8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8"/>
      <c r="N7" s="34"/>
    </row>
    <row r="8" spans="1:14" ht="12.75">
      <c r="A8" s="74" t="s">
        <v>4</v>
      </c>
      <c r="B8" s="73"/>
      <c r="C8" s="73"/>
      <c r="D8" s="72" t="s">
        <v>6</v>
      </c>
      <c r="E8" s="77" t="s">
        <v>376</v>
      </c>
      <c r="F8" s="73"/>
      <c r="G8" s="77" t="s">
        <v>386</v>
      </c>
      <c r="H8" s="73"/>
      <c r="I8" s="72" t="s">
        <v>395</v>
      </c>
      <c r="J8" s="72" t="s">
        <v>400</v>
      </c>
      <c r="K8" s="73"/>
      <c r="L8" s="73"/>
      <c r="M8" s="78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9"/>
      <c r="N9" s="34"/>
    </row>
    <row r="10" spans="1:14" ht="12.75">
      <c r="A10" s="1" t="s">
        <v>5</v>
      </c>
      <c r="B10" s="10" t="s">
        <v>95</v>
      </c>
      <c r="C10" s="10" t="s">
        <v>96</v>
      </c>
      <c r="D10" s="10" t="s">
        <v>192</v>
      </c>
      <c r="E10" s="10" t="s">
        <v>377</v>
      </c>
      <c r="F10" s="18" t="s">
        <v>385</v>
      </c>
      <c r="G10" s="23" t="s">
        <v>387</v>
      </c>
      <c r="H10" s="67" t="s">
        <v>389</v>
      </c>
      <c r="I10" s="68"/>
      <c r="J10" s="69"/>
      <c r="K10" s="67" t="s">
        <v>402</v>
      </c>
      <c r="L10" s="69"/>
      <c r="M10" s="30" t="s">
        <v>403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4" t="s">
        <v>193</v>
      </c>
      <c r="E11" s="11" t="s">
        <v>6</v>
      </c>
      <c r="F11" s="11" t="s">
        <v>6</v>
      </c>
      <c r="G11" s="24" t="s">
        <v>388</v>
      </c>
      <c r="H11" s="25" t="s">
        <v>390</v>
      </c>
      <c r="I11" s="26" t="s">
        <v>396</v>
      </c>
      <c r="J11" s="27" t="s">
        <v>401</v>
      </c>
      <c r="K11" s="25" t="s">
        <v>387</v>
      </c>
      <c r="L11" s="27" t="s">
        <v>401</v>
      </c>
      <c r="M11" s="31" t="s">
        <v>404</v>
      </c>
      <c r="N11" s="35"/>
      <c r="P11" s="29" t="s">
        <v>406</v>
      </c>
      <c r="Q11" s="29" t="s">
        <v>407</v>
      </c>
      <c r="R11" s="29" t="s">
        <v>408</v>
      </c>
      <c r="S11" s="29" t="s">
        <v>409</v>
      </c>
      <c r="T11" s="29" t="s">
        <v>410</v>
      </c>
      <c r="U11" s="29" t="s">
        <v>411</v>
      </c>
      <c r="V11" s="29" t="s">
        <v>412</v>
      </c>
      <c r="W11" s="29" t="s">
        <v>413</v>
      </c>
      <c r="X11" s="29" t="s">
        <v>414</v>
      </c>
    </row>
    <row r="12" spans="1:37" ht="12.75">
      <c r="A12" s="3"/>
      <c r="B12" s="12"/>
      <c r="C12" s="12" t="s">
        <v>17</v>
      </c>
      <c r="D12" s="12" t="s">
        <v>194</v>
      </c>
      <c r="E12" s="3" t="s">
        <v>6</v>
      </c>
      <c r="F12" s="3" t="s">
        <v>6</v>
      </c>
      <c r="G12" s="3" t="s">
        <v>6</v>
      </c>
      <c r="H12" s="38">
        <f>SUM(H13:H33)</f>
        <v>0</v>
      </c>
      <c r="I12" s="38">
        <f>SUM(I13:I33)</f>
        <v>0</v>
      </c>
      <c r="J12" s="38">
        <f>H12+I12</f>
        <v>0</v>
      </c>
      <c r="K12" s="28"/>
      <c r="L12" s="38">
        <f>SUM(L13:L33)</f>
        <v>1299.16016</v>
      </c>
      <c r="M12" s="28"/>
      <c r="Y12" s="29"/>
      <c r="AI12" s="39">
        <f>SUM(Z13:Z33)</f>
        <v>0</v>
      </c>
      <c r="AJ12" s="39">
        <f>SUM(AA13:AA33)</f>
        <v>0</v>
      </c>
      <c r="AK12" s="39">
        <f>SUM(AB13:AB33)</f>
        <v>0</v>
      </c>
    </row>
    <row r="13" spans="1:48" ht="12.75">
      <c r="A13" s="4" t="s">
        <v>7</v>
      </c>
      <c r="B13" s="4"/>
      <c r="C13" s="4" t="s">
        <v>97</v>
      </c>
      <c r="D13" s="4" t="s">
        <v>195</v>
      </c>
      <c r="E13" s="4" t="s">
        <v>378</v>
      </c>
      <c r="F13" s="19">
        <v>1511.5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0.11</v>
      </c>
      <c r="L13" s="19">
        <f>F13*K13</f>
        <v>166.26500000000001</v>
      </c>
      <c r="M13" s="32" t="s">
        <v>405</v>
      </c>
      <c r="P13" s="36">
        <f>IF(AG13="5",J13,0)</f>
        <v>0</v>
      </c>
      <c r="R13" s="36">
        <f>IF(AG13="1",H13,0)</f>
        <v>0</v>
      </c>
      <c r="S13" s="36">
        <f>IF(AG13="1",I13,0)</f>
        <v>0</v>
      </c>
      <c r="T13" s="36">
        <f>IF(AG13="7",H13,0)</f>
        <v>0</v>
      </c>
      <c r="U13" s="36">
        <f>IF(AG13="7",I13,0)</f>
        <v>0</v>
      </c>
      <c r="V13" s="36">
        <f>IF(AG13="2",H13,0)</f>
        <v>0</v>
      </c>
      <c r="W13" s="36">
        <f>IF(AG13="2",I13,0)</f>
        <v>0</v>
      </c>
      <c r="X13" s="36">
        <f>IF(AG13="0",J13,0)</f>
        <v>0</v>
      </c>
      <c r="Y13" s="29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G13" s="32" t="s">
        <v>7</v>
      </c>
      <c r="AM13" s="36">
        <f>F13*AE13</f>
        <v>0</v>
      </c>
      <c r="AN13" s="36">
        <f>F13*AF13</f>
        <v>0</v>
      </c>
      <c r="AO13" s="37" t="s">
        <v>415</v>
      </c>
      <c r="AP13" s="37" t="s">
        <v>434</v>
      </c>
      <c r="AQ13" s="29" t="s">
        <v>438</v>
      </c>
      <c r="AS13" s="36">
        <f>AM13+AN13</f>
        <v>0</v>
      </c>
      <c r="AT13" s="36">
        <f>G13/(100-AU13)*100</f>
        <v>0</v>
      </c>
      <c r="AU13" s="36">
        <v>0</v>
      </c>
      <c r="AV13" s="36">
        <f>L13</f>
        <v>166.26500000000001</v>
      </c>
    </row>
    <row r="14" spans="4:6" ht="12.75">
      <c r="D14" s="15" t="s">
        <v>196</v>
      </c>
      <c r="F14" s="20">
        <v>952</v>
      </c>
    </row>
    <row r="15" spans="4:6" ht="12.75">
      <c r="D15" s="15" t="s">
        <v>197</v>
      </c>
      <c r="F15" s="20">
        <v>112</v>
      </c>
    </row>
    <row r="16" spans="4:6" ht="12.75">
      <c r="D16" s="15" t="s">
        <v>198</v>
      </c>
      <c r="F16" s="20">
        <v>447.5</v>
      </c>
    </row>
    <row r="17" spans="1:48" ht="12.75">
      <c r="A17" s="4" t="s">
        <v>8</v>
      </c>
      <c r="B17" s="4"/>
      <c r="C17" s="4" t="s">
        <v>98</v>
      </c>
      <c r="D17" s="4" t="s">
        <v>199</v>
      </c>
      <c r="E17" s="4" t="s">
        <v>378</v>
      </c>
      <c r="F17" s="19">
        <v>1588.45</v>
      </c>
      <c r="G17" s="19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0.22</v>
      </c>
      <c r="L17" s="19">
        <f>F17*K17</f>
        <v>349.459</v>
      </c>
      <c r="M17" s="32" t="s">
        <v>405</v>
      </c>
      <c r="P17" s="36">
        <f>IF(AG17="5",J17,0)</f>
        <v>0</v>
      </c>
      <c r="R17" s="36">
        <f>IF(AG17="1",H17,0)</f>
        <v>0</v>
      </c>
      <c r="S17" s="36">
        <f>IF(AG17="1",I17,0)</f>
        <v>0</v>
      </c>
      <c r="T17" s="36">
        <f>IF(AG17="7",H17,0)</f>
        <v>0</v>
      </c>
      <c r="U17" s="36">
        <f>IF(AG17="7",I17,0)</f>
        <v>0</v>
      </c>
      <c r="V17" s="36">
        <f>IF(AG17="2",H17,0)</f>
        <v>0</v>
      </c>
      <c r="W17" s="36">
        <f>IF(AG17="2",I17,0)</f>
        <v>0</v>
      </c>
      <c r="X17" s="36">
        <f>IF(AG17="0",J17,0)</f>
        <v>0</v>
      </c>
      <c r="Y17" s="29"/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6">
        <v>21</v>
      </c>
      <c r="AE17" s="36">
        <f>G17*0</f>
        <v>0</v>
      </c>
      <c r="AF17" s="36">
        <f>G17*(1-0)</f>
        <v>0</v>
      </c>
      <c r="AG17" s="32" t="s">
        <v>7</v>
      </c>
      <c r="AM17" s="36">
        <f>F17*AE17</f>
        <v>0</v>
      </c>
      <c r="AN17" s="36">
        <f>F17*AF17</f>
        <v>0</v>
      </c>
      <c r="AO17" s="37" t="s">
        <v>415</v>
      </c>
      <c r="AP17" s="37" t="s">
        <v>434</v>
      </c>
      <c r="AQ17" s="29" t="s">
        <v>438</v>
      </c>
      <c r="AS17" s="36">
        <f>AM17+AN17</f>
        <v>0</v>
      </c>
      <c r="AT17" s="36">
        <f>G17/(100-AU17)*100</f>
        <v>0</v>
      </c>
      <c r="AU17" s="36">
        <v>0</v>
      </c>
      <c r="AV17" s="36">
        <f>L17</f>
        <v>349.459</v>
      </c>
    </row>
    <row r="18" spans="4:6" ht="12.75">
      <c r="D18" s="15" t="s">
        <v>200</v>
      </c>
      <c r="F18" s="20">
        <v>1064</v>
      </c>
    </row>
    <row r="19" spans="4:6" ht="12.75">
      <c r="D19" s="15" t="s">
        <v>201</v>
      </c>
      <c r="F19" s="20">
        <v>447.5</v>
      </c>
    </row>
    <row r="20" spans="4:6" ht="12.75">
      <c r="D20" s="15" t="s">
        <v>202</v>
      </c>
      <c r="F20" s="20">
        <v>76.95</v>
      </c>
    </row>
    <row r="21" spans="1:48" ht="12.75">
      <c r="A21" s="4" t="s">
        <v>9</v>
      </c>
      <c r="B21" s="4"/>
      <c r="C21" s="4" t="s">
        <v>99</v>
      </c>
      <c r="D21" s="4" t="s">
        <v>203</v>
      </c>
      <c r="E21" s="4" t="s">
        <v>378</v>
      </c>
      <c r="F21" s="19">
        <v>1588.45</v>
      </c>
      <c r="G21" s="19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0.36</v>
      </c>
      <c r="L21" s="19">
        <f>F21*K21</f>
        <v>571.842</v>
      </c>
      <c r="M21" s="32" t="s">
        <v>405</v>
      </c>
      <c r="P21" s="36">
        <f>IF(AG21="5",J21,0)</f>
        <v>0</v>
      </c>
      <c r="R21" s="36">
        <f>IF(AG21="1",H21,0)</f>
        <v>0</v>
      </c>
      <c r="S21" s="36">
        <f>IF(AG21="1",I21,0)</f>
        <v>0</v>
      </c>
      <c r="T21" s="36">
        <f>IF(AG21="7",H21,0)</f>
        <v>0</v>
      </c>
      <c r="U21" s="36">
        <f>IF(AG21="7",I21,0)</f>
        <v>0</v>
      </c>
      <c r="V21" s="36">
        <f>IF(AG21="2",H21,0)</f>
        <v>0</v>
      </c>
      <c r="W21" s="36">
        <f>IF(AG21="2",I21,0)</f>
        <v>0</v>
      </c>
      <c r="X21" s="36">
        <f>IF(AG21="0",J21,0)</f>
        <v>0</v>
      </c>
      <c r="Y21" s="29"/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36">
        <v>21</v>
      </c>
      <c r="AE21" s="36">
        <f>G21*0</f>
        <v>0</v>
      </c>
      <c r="AF21" s="36">
        <f>G21*(1-0)</f>
        <v>0</v>
      </c>
      <c r="AG21" s="32" t="s">
        <v>7</v>
      </c>
      <c r="AM21" s="36">
        <f>F21*AE21</f>
        <v>0</v>
      </c>
      <c r="AN21" s="36">
        <f>F21*AF21</f>
        <v>0</v>
      </c>
      <c r="AO21" s="37" t="s">
        <v>415</v>
      </c>
      <c r="AP21" s="37" t="s">
        <v>434</v>
      </c>
      <c r="AQ21" s="29" t="s">
        <v>438</v>
      </c>
      <c r="AS21" s="36">
        <f>AM21+AN21</f>
        <v>0</v>
      </c>
      <c r="AT21" s="36">
        <f>G21/(100-AU21)*100</f>
        <v>0</v>
      </c>
      <c r="AU21" s="36">
        <v>0</v>
      </c>
      <c r="AV21" s="36">
        <f>L21</f>
        <v>571.842</v>
      </c>
    </row>
    <row r="22" spans="4:6" ht="12.75">
      <c r="D22" s="15" t="s">
        <v>200</v>
      </c>
      <c r="F22" s="20">
        <v>1064</v>
      </c>
    </row>
    <row r="23" spans="4:6" ht="12.75">
      <c r="D23" s="15" t="s">
        <v>201</v>
      </c>
      <c r="F23" s="20">
        <v>447.5</v>
      </c>
    </row>
    <row r="24" spans="4:6" ht="12.75">
      <c r="D24" s="15" t="s">
        <v>202</v>
      </c>
      <c r="F24" s="20">
        <v>76.95</v>
      </c>
    </row>
    <row r="25" spans="1:48" ht="12.75">
      <c r="A25" s="4" t="s">
        <v>10</v>
      </c>
      <c r="B25" s="4"/>
      <c r="C25" s="4" t="s">
        <v>100</v>
      </c>
      <c r="D25" s="4" t="s">
        <v>204</v>
      </c>
      <c r="E25" s="4" t="s">
        <v>378</v>
      </c>
      <c r="F25" s="19">
        <v>76.95</v>
      </c>
      <c r="G25" s="19">
        <v>0</v>
      </c>
      <c r="H25" s="19">
        <f>F25*AE25</f>
        <v>0</v>
      </c>
      <c r="I25" s="19">
        <f>J25-H25</f>
        <v>0</v>
      </c>
      <c r="J25" s="19">
        <f>F25*G25</f>
        <v>0</v>
      </c>
      <c r="K25" s="19">
        <v>0.11</v>
      </c>
      <c r="L25" s="19">
        <f>F25*K25</f>
        <v>8.464500000000001</v>
      </c>
      <c r="M25" s="32" t="s">
        <v>405</v>
      </c>
      <c r="P25" s="36">
        <f>IF(AG25="5",J25,0)</f>
        <v>0</v>
      </c>
      <c r="R25" s="36">
        <f>IF(AG25="1",H25,0)</f>
        <v>0</v>
      </c>
      <c r="S25" s="36">
        <f>IF(AG25="1",I25,0)</f>
        <v>0</v>
      </c>
      <c r="T25" s="36">
        <f>IF(AG25="7",H25,0)</f>
        <v>0</v>
      </c>
      <c r="U25" s="36">
        <f>IF(AG25="7",I25,0)</f>
        <v>0</v>
      </c>
      <c r="V25" s="36">
        <f>IF(AG25="2",H25,0)</f>
        <v>0</v>
      </c>
      <c r="W25" s="36">
        <f>IF(AG25="2",I25,0)</f>
        <v>0</v>
      </c>
      <c r="X25" s="36">
        <f>IF(AG25="0",J25,0)</f>
        <v>0</v>
      </c>
      <c r="Y25" s="29"/>
      <c r="Z25" s="19">
        <f>IF(AD25=0,J25,0)</f>
        <v>0</v>
      </c>
      <c r="AA25" s="19">
        <f>IF(AD25=15,J25,0)</f>
        <v>0</v>
      </c>
      <c r="AB25" s="19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G25" s="32" t="s">
        <v>7</v>
      </c>
      <c r="AM25" s="36">
        <f>F25*AE25</f>
        <v>0</v>
      </c>
      <c r="AN25" s="36">
        <f>F25*AF25</f>
        <v>0</v>
      </c>
      <c r="AO25" s="37" t="s">
        <v>415</v>
      </c>
      <c r="AP25" s="37" t="s">
        <v>434</v>
      </c>
      <c r="AQ25" s="29" t="s">
        <v>438</v>
      </c>
      <c r="AS25" s="36">
        <f>AM25+AN25</f>
        <v>0</v>
      </c>
      <c r="AT25" s="36">
        <f>G25/(100-AU25)*100</f>
        <v>0</v>
      </c>
      <c r="AU25" s="36">
        <v>0</v>
      </c>
      <c r="AV25" s="36">
        <f>L25</f>
        <v>8.464500000000001</v>
      </c>
    </row>
    <row r="26" spans="4:6" ht="12.75">
      <c r="D26" s="15" t="s">
        <v>205</v>
      </c>
      <c r="F26" s="20">
        <v>76.95</v>
      </c>
    </row>
    <row r="27" spans="4:6" ht="12.75">
      <c r="D27" s="15" t="s">
        <v>206</v>
      </c>
      <c r="F27" s="20">
        <v>0</v>
      </c>
    </row>
    <row r="28" spans="1:48" ht="12.75">
      <c r="A28" s="4" t="s">
        <v>11</v>
      </c>
      <c r="B28" s="4"/>
      <c r="C28" s="4" t="s">
        <v>101</v>
      </c>
      <c r="D28" s="4" t="s">
        <v>207</v>
      </c>
      <c r="E28" s="4" t="s">
        <v>379</v>
      </c>
      <c r="F28" s="19">
        <v>642</v>
      </c>
      <c r="G28" s="19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0.27</v>
      </c>
      <c r="L28" s="19">
        <f>F28*K28</f>
        <v>173.34</v>
      </c>
      <c r="M28" s="32" t="s">
        <v>405</v>
      </c>
      <c r="P28" s="36">
        <f>IF(AG28="5",J28,0)</f>
        <v>0</v>
      </c>
      <c r="R28" s="36">
        <f>IF(AG28="1",H28,0)</f>
        <v>0</v>
      </c>
      <c r="S28" s="36">
        <f>IF(AG28="1",I28,0)</f>
        <v>0</v>
      </c>
      <c r="T28" s="36">
        <f>IF(AG28="7",H28,0)</f>
        <v>0</v>
      </c>
      <c r="U28" s="36">
        <f>IF(AG28="7",I28,0)</f>
        <v>0</v>
      </c>
      <c r="V28" s="36">
        <f>IF(AG28="2",H28,0)</f>
        <v>0</v>
      </c>
      <c r="W28" s="36">
        <f>IF(AG28="2",I28,0)</f>
        <v>0</v>
      </c>
      <c r="X28" s="36">
        <f>IF(AG28="0",J28,0)</f>
        <v>0</v>
      </c>
      <c r="Y28" s="29"/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36">
        <v>21</v>
      </c>
      <c r="AE28" s="36">
        <f>G28*0</f>
        <v>0</v>
      </c>
      <c r="AF28" s="36">
        <f>G28*(1-0)</f>
        <v>0</v>
      </c>
      <c r="AG28" s="32" t="s">
        <v>7</v>
      </c>
      <c r="AM28" s="36">
        <f>F28*AE28</f>
        <v>0</v>
      </c>
      <c r="AN28" s="36">
        <f>F28*AF28</f>
        <v>0</v>
      </c>
      <c r="AO28" s="37" t="s">
        <v>415</v>
      </c>
      <c r="AP28" s="37" t="s">
        <v>434</v>
      </c>
      <c r="AQ28" s="29" t="s">
        <v>438</v>
      </c>
      <c r="AS28" s="36">
        <f>AM28+AN28</f>
        <v>0</v>
      </c>
      <c r="AT28" s="36">
        <f>G28/(100-AU28)*100</f>
        <v>0</v>
      </c>
      <c r="AU28" s="36">
        <v>0</v>
      </c>
      <c r="AV28" s="36">
        <f>L28</f>
        <v>173.34</v>
      </c>
    </row>
    <row r="29" spans="4:6" ht="12.75">
      <c r="D29" s="15" t="s">
        <v>208</v>
      </c>
      <c r="F29" s="20">
        <v>642</v>
      </c>
    </row>
    <row r="30" spans="1:48" ht="12.75">
      <c r="A30" s="4" t="s">
        <v>12</v>
      </c>
      <c r="B30" s="4"/>
      <c r="C30" s="4" t="s">
        <v>102</v>
      </c>
      <c r="D30" s="4" t="s">
        <v>209</v>
      </c>
      <c r="E30" s="4" t="s">
        <v>379</v>
      </c>
      <c r="F30" s="19">
        <v>229</v>
      </c>
      <c r="G30" s="19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0.125</v>
      </c>
      <c r="L30" s="19">
        <f>F30*K30</f>
        <v>28.625</v>
      </c>
      <c r="M30" s="32" t="s">
        <v>405</v>
      </c>
      <c r="P30" s="36">
        <f>IF(AG30="5",J30,0)</f>
        <v>0</v>
      </c>
      <c r="R30" s="36">
        <f>IF(AG30="1",H30,0)</f>
        <v>0</v>
      </c>
      <c r="S30" s="36">
        <f>IF(AG30="1",I30,0)</f>
        <v>0</v>
      </c>
      <c r="T30" s="36">
        <f>IF(AG30="7",H30,0)</f>
        <v>0</v>
      </c>
      <c r="U30" s="36">
        <f>IF(AG30="7",I30,0)</f>
        <v>0</v>
      </c>
      <c r="V30" s="36">
        <f>IF(AG30="2",H30,0)</f>
        <v>0</v>
      </c>
      <c r="W30" s="36">
        <f>IF(AG30="2",I30,0)</f>
        <v>0</v>
      </c>
      <c r="X30" s="36">
        <f>IF(AG30="0",J30,0)</f>
        <v>0</v>
      </c>
      <c r="Y30" s="29"/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36">
        <v>21</v>
      </c>
      <c r="AE30" s="36">
        <f>G30*0</f>
        <v>0</v>
      </c>
      <c r="AF30" s="36">
        <f>G30*(1-0)</f>
        <v>0</v>
      </c>
      <c r="AG30" s="32" t="s">
        <v>7</v>
      </c>
      <c r="AM30" s="36">
        <f>F30*AE30</f>
        <v>0</v>
      </c>
      <c r="AN30" s="36">
        <f>F30*AF30</f>
        <v>0</v>
      </c>
      <c r="AO30" s="37" t="s">
        <v>415</v>
      </c>
      <c r="AP30" s="37" t="s">
        <v>434</v>
      </c>
      <c r="AQ30" s="29" t="s">
        <v>438</v>
      </c>
      <c r="AS30" s="36">
        <f>AM30+AN30</f>
        <v>0</v>
      </c>
      <c r="AT30" s="36">
        <f>G30/(100-AU30)*100</f>
        <v>0</v>
      </c>
      <c r="AU30" s="36">
        <v>0</v>
      </c>
      <c r="AV30" s="36">
        <f>L30</f>
        <v>28.625</v>
      </c>
    </row>
    <row r="31" spans="4:6" ht="12.75">
      <c r="D31" s="15" t="s">
        <v>210</v>
      </c>
      <c r="F31" s="20">
        <v>84</v>
      </c>
    </row>
    <row r="32" spans="4:6" ht="12.75">
      <c r="D32" s="15" t="s">
        <v>211</v>
      </c>
      <c r="F32" s="20">
        <v>145</v>
      </c>
    </row>
    <row r="33" spans="1:48" ht="12.75">
      <c r="A33" s="4" t="s">
        <v>13</v>
      </c>
      <c r="B33" s="4"/>
      <c r="C33" s="4" t="s">
        <v>103</v>
      </c>
      <c r="D33" s="4" t="s">
        <v>212</v>
      </c>
      <c r="E33" s="4" t="s">
        <v>379</v>
      </c>
      <c r="F33" s="19">
        <v>47</v>
      </c>
      <c r="G33" s="19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0.02478</v>
      </c>
      <c r="L33" s="19">
        <f>F33*K33</f>
        <v>1.16466</v>
      </c>
      <c r="M33" s="32" t="s">
        <v>405</v>
      </c>
      <c r="P33" s="36">
        <f>IF(AG33="5",J33,0)</f>
        <v>0</v>
      </c>
      <c r="R33" s="36">
        <f>IF(AG33="1",H33,0)</f>
        <v>0</v>
      </c>
      <c r="S33" s="36">
        <f>IF(AG33="1",I33,0)</f>
        <v>0</v>
      </c>
      <c r="T33" s="36">
        <f>IF(AG33="7",H33,0)</f>
        <v>0</v>
      </c>
      <c r="U33" s="36">
        <f>IF(AG33="7",I33,0)</f>
        <v>0</v>
      </c>
      <c r="V33" s="36">
        <f>IF(AG33="2",H33,0)</f>
        <v>0</v>
      </c>
      <c r="W33" s="36">
        <f>IF(AG33="2",I33,0)</f>
        <v>0</v>
      </c>
      <c r="X33" s="36">
        <f>IF(AG33="0",J33,0)</f>
        <v>0</v>
      </c>
      <c r="Y33" s="29"/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6">
        <v>21</v>
      </c>
      <c r="AE33" s="36">
        <f>G33*0.323627447224244</f>
        <v>0</v>
      </c>
      <c r="AF33" s="36">
        <f>G33*(1-0.323627447224244)</f>
        <v>0</v>
      </c>
      <c r="AG33" s="32" t="s">
        <v>7</v>
      </c>
      <c r="AM33" s="36">
        <f>F33*AE33</f>
        <v>0</v>
      </c>
      <c r="AN33" s="36">
        <f>F33*AF33</f>
        <v>0</v>
      </c>
      <c r="AO33" s="37" t="s">
        <v>415</v>
      </c>
      <c r="AP33" s="37" t="s">
        <v>434</v>
      </c>
      <c r="AQ33" s="29" t="s">
        <v>438</v>
      </c>
      <c r="AS33" s="36">
        <f>AM33+AN33</f>
        <v>0</v>
      </c>
      <c r="AT33" s="36">
        <f>G33/(100-AU33)*100</f>
        <v>0</v>
      </c>
      <c r="AU33" s="36">
        <v>0</v>
      </c>
      <c r="AV33" s="36">
        <f>L33</f>
        <v>1.16466</v>
      </c>
    </row>
    <row r="34" spans="4:6" ht="12.75">
      <c r="D34" s="15" t="s">
        <v>53</v>
      </c>
      <c r="F34" s="20">
        <v>47</v>
      </c>
    </row>
    <row r="35" spans="1:37" ht="12.75">
      <c r="A35" s="5"/>
      <c r="B35" s="13"/>
      <c r="C35" s="13" t="s">
        <v>18</v>
      </c>
      <c r="D35" s="13" t="s">
        <v>213</v>
      </c>
      <c r="E35" s="5" t="s">
        <v>6</v>
      </c>
      <c r="F35" s="5" t="s">
        <v>6</v>
      </c>
      <c r="G35" s="5" t="s">
        <v>6</v>
      </c>
      <c r="H35" s="39">
        <f>SUM(H36:H43)</f>
        <v>0</v>
      </c>
      <c r="I35" s="39">
        <f>SUM(I36:I43)</f>
        <v>0</v>
      </c>
      <c r="J35" s="39">
        <f>H35+I35</f>
        <v>0</v>
      </c>
      <c r="K35" s="29"/>
      <c r="L35" s="39">
        <f>SUM(L36:L43)</f>
        <v>0</v>
      </c>
      <c r="M35" s="29"/>
      <c r="Y35" s="29"/>
      <c r="AI35" s="39">
        <f>SUM(Z36:Z43)</f>
        <v>0</v>
      </c>
      <c r="AJ35" s="39">
        <f>SUM(AA36:AA43)</f>
        <v>0</v>
      </c>
      <c r="AK35" s="39">
        <f>SUM(AB36:AB43)</f>
        <v>0</v>
      </c>
    </row>
    <row r="36" spans="1:48" ht="12.75">
      <c r="A36" s="4" t="s">
        <v>14</v>
      </c>
      <c r="B36" s="4"/>
      <c r="C36" s="4" t="s">
        <v>104</v>
      </c>
      <c r="D36" s="4" t="s">
        <v>214</v>
      </c>
      <c r="E36" s="4" t="s">
        <v>380</v>
      </c>
      <c r="F36" s="19">
        <v>270.2799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</v>
      </c>
      <c r="L36" s="19">
        <f>F36*K36</f>
        <v>0</v>
      </c>
      <c r="M36" s="32" t="s">
        <v>405</v>
      </c>
      <c r="P36" s="36">
        <f>IF(AG36="5",J36,0)</f>
        <v>0</v>
      </c>
      <c r="R36" s="36">
        <f>IF(AG36="1",H36,0)</f>
        <v>0</v>
      </c>
      <c r="S36" s="36">
        <f>IF(AG36="1",I36,0)</f>
        <v>0</v>
      </c>
      <c r="T36" s="36">
        <f>IF(AG36="7",H36,0)</f>
        <v>0</v>
      </c>
      <c r="U36" s="36">
        <f>IF(AG36="7",I36,0)</f>
        <v>0</v>
      </c>
      <c r="V36" s="36">
        <f>IF(AG36="2",H36,0)</f>
        <v>0</v>
      </c>
      <c r="W36" s="36">
        <f>IF(AG36="2",I36,0)</f>
        <v>0</v>
      </c>
      <c r="X36" s="36">
        <f>IF(AG36="0",J36,0)</f>
        <v>0</v>
      </c>
      <c r="Y36" s="29"/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6">
        <v>21</v>
      </c>
      <c r="AE36" s="36">
        <f>G36*0</f>
        <v>0</v>
      </c>
      <c r="AF36" s="36">
        <f>G36*(1-0)</f>
        <v>0</v>
      </c>
      <c r="AG36" s="32" t="s">
        <v>7</v>
      </c>
      <c r="AM36" s="36">
        <f>F36*AE36</f>
        <v>0</v>
      </c>
      <c r="AN36" s="36">
        <f>F36*AF36</f>
        <v>0</v>
      </c>
      <c r="AO36" s="37" t="s">
        <v>416</v>
      </c>
      <c r="AP36" s="37" t="s">
        <v>434</v>
      </c>
      <c r="AQ36" s="29" t="s">
        <v>438</v>
      </c>
      <c r="AS36" s="36">
        <f>AM36+AN36</f>
        <v>0</v>
      </c>
      <c r="AT36" s="36">
        <f>G36/(100-AU36)*100</f>
        <v>0</v>
      </c>
      <c r="AU36" s="36">
        <v>0</v>
      </c>
      <c r="AV36" s="36">
        <f>L36</f>
        <v>0</v>
      </c>
    </row>
    <row r="37" spans="4:6" ht="12.75">
      <c r="D37" s="15" t="s">
        <v>215</v>
      </c>
      <c r="F37" s="20">
        <v>27.63</v>
      </c>
    </row>
    <row r="38" spans="4:6" ht="12.75">
      <c r="D38" s="15" t="s">
        <v>216</v>
      </c>
      <c r="F38" s="20">
        <v>126.072</v>
      </c>
    </row>
    <row r="39" spans="4:6" ht="12.75">
      <c r="D39" s="15" t="s">
        <v>217</v>
      </c>
      <c r="F39" s="20">
        <v>116.5779</v>
      </c>
    </row>
    <row r="40" spans="1:48" ht="12.75">
      <c r="A40" s="4" t="s">
        <v>15</v>
      </c>
      <c r="B40" s="4"/>
      <c r="C40" s="4" t="s">
        <v>105</v>
      </c>
      <c r="D40" s="4" t="s">
        <v>218</v>
      </c>
      <c r="E40" s="4" t="s">
        <v>380</v>
      </c>
      <c r="F40" s="19">
        <v>474.55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</v>
      </c>
      <c r="L40" s="19">
        <f>F40*K40</f>
        <v>0</v>
      </c>
      <c r="M40" s="32" t="s">
        <v>405</v>
      </c>
      <c r="P40" s="36">
        <f>IF(AG40="5",J40,0)</f>
        <v>0</v>
      </c>
      <c r="R40" s="36">
        <f>IF(AG40="1",H40,0)</f>
        <v>0</v>
      </c>
      <c r="S40" s="36">
        <f>IF(AG40="1",I40,0)</f>
        <v>0</v>
      </c>
      <c r="T40" s="36">
        <f>IF(AG40="7",H40,0)</f>
        <v>0</v>
      </c>
      <c r="U40" s="36">
        <f>IF(AG40="7",I40,0)</f>
        <v>0</v>
      </c>
      <c r="V40" s="36">
        <f>IF(AG40="2",H40,0)</f>
        <v>0</v>
      </c>
      <c r="W40" s="36">
        <f>IF(AG40="2",I40,0)</f>
        <v>0</v>
      </c>
      <c r="X40" s="36">
        <f>IF(AG40="0",J40,0)</f>
        <v>0</v>
      </c>
      <c r="Y40" s="29"/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G40" s="32" t="s">
        <v>7</v>
      </c>
      <c r="AM40" s="36">
        <f>F40*AE40</f>
        <v>0</v>
      </c>
      <c r="AN40" s="36">
        <f>F40*AF40</f>
        <v>0</v>
      </c>
      <c r="AO40" s="37" t="s">
        <v>416</v>
      </c>
      <c r="AP40" s="37" t="s">
        <v>434</v>
      </c>
      <c r="AQ40" s="29" t="s">
        <v>438</v>
      </c>
      <c r="AS40" s="36">
        <f>AM40+AN40</f>
        <v>0</v>
      </c>
      <c r="AT40" s="36">
        <f>G40/(100-AU40)*100</f>
        <v>0</v>
      </c>
      <c r="AU40" s="36">
        <v>0</v>
      </c>
      <c r="AV40" s="36">
        <f>L40</f>
        <v>0</v>
      </c>
    </row>
    <row r="41" spans="4:6" ht="12.75">
      <c r="D41" s="15" t="s">
        <v>219</v>
      </c>
      <c r="F41" s="20">
        <v>279.95</v>
      </c>
    </row>
    <row r="42" spans="4:6" ht="12.75">
      <c r="D42" s="15" t="s">
        <v>220</v>
      </c>
      <c r="F42" s="20">
        <v>194.6</v>
      </c>
    </row>
    <row r="43" spans="1:48" ht="12.75">
      <c r="A43" s="4" t="s">
        <v>16</v>
      </c>
      <c r="B43" s="4"/>
      <c r="C43" s="4" t="s">
        <v>106</v>
      </c>
      <c r="D43" s="4" t="s">
        <v>221</v>
      </c>
      <c r="E43" s="4" t="s">
        <v>380</v>
      </c>
      <c r="F43" s="19">
        <v>474.55</v>
      </c>
      <c r="G43" s="19">
        <v>0</v>
      </c>
      <c r="H43" s="19">
        <f>F43*AE43</f>
        <v>0</v>
      </c>
      <c r="I43" s="19">
        <f>J43-H43</f>
        <v>0</v>
      </c>
      <c r="J43" s="19">
        <f>F43*G43</f>
        <v>0</v>
      </c>
      <c r="K43" s="19">
        <v>0</v>
      </c>
      <c r="L43" s="19">
        <f>F43*K43</f>
        <v>0</v>
      </c>
      <c r="M43" s="32" t="s">
        <v>405</v>
      </c>
      <c r="P43" s="36">
        <f>IF(AG43="5",J43,0)</f>
        <v>0</v>
      </c>
      <c r="R43" s="36">
        <f>IF(AG43="1",H43,0)</f>
        <v>0</v>
      </c>
      <c r="S43" s="36">
        <f>IF(AG43="1",I43,0)</f>
        <v>0</v>
      </c>
      <c r="T43" s="36">
        <f>IF(AG43="7",H43,0)</f>
        <v>0</v>
      </c>
      <c r="U43" s="36">
        <f>IF(AG43="7",I43,0)</f>
        <v>0</v>
      </c>
      <c r="V43" s="36">
        <f>IF(AG43="2",H43,0)</f>
        <v>0</v>
      </c>
      <c r="W43" s="36">
        <f>IF(AG43="2",I43,0)</f>
        <v>0</v>
      </c>
      <c r="X43" s="36">
        <f>IF(AG43="0",J43,0)</f>
        <v>0</v>
      </c>
      <c r="Y43" s="29"/>
      <c r="Z43" s="19">
        <f>IF(AD43=0,J43,0)</f>
        <v>0</v>
      </c>
      <c r="AA43" s="19">
        <f>IF(AD43=15,J43,0)</f>
        <v>0</v>
      </c>
      <c r="AB43" s="19">
        <f>IF(AD43=21,J43,0)</f>
        <v>0</v>
      </c>
      <c r="AD43" s="36">
        <v>21</v>
      </c>
      <c r="AE43" s="36">
        <f>G43*0</f>
        <v>0</v>
      </c>
      <c r="AF43" s="36">
        <f>G43*(1-0)</f>
        <v>0</v>
      </c>
      <c r="AG43" s="32" t="s">
        <v>7</v>
      </c>
      <c r="AM43" s="36">
        <f>F43*AE43</f>
        <v>0</v>
      </c>
      <c r="AN43" s="36">
        <f>F43*AF43</f>
        <v>0</v>
      </c>
      <c r="AO43" s="37" t="s">
        <v>416</v>
      </c>
      <c r="AP43" s="37" t="s">
        <v>434</v>
      </c>
      <c r="AQ43" s="29" t="s">
        <v>438</v>
      </c>
      <c r="AS43" s="36">
        <f>AM43+AN43</f>
        <v>0</v>
      </c>
      <c r="AT43" s="36">
        <f>G43/(100-AU43)*100</f>
        <v>0</v>
      </c>
      <c r="AU43" s="36">
        <v>0</v>
      </c>
      <c r="AV43" s="36">
        <f>L43</f>
        <v>0</v>
      </c>
    </row>
    <row r="44" spans="4:6" ht="12.75">
      <c r="D44" s="15" t="s">
        <v>222</v>
      </c>
      <c r="F44" s="20">
        <v>474.55</v>
      </c>
    </row>
    <row r="45" spans="1:37" ht="12.75">
      <c r="A45" s="5"/>
      <c r="B45" s="13"/>
      <c r="C45" s="13" t="s">
        <v>19</v>
      </c>
      <c r="D45" s="13" t="s">
        <v>223</v>
      </c>
      <c r="E45" s="5" t="s">
        <v>6</v>
      </c>
      <c r="F45" s="5" t="s">
        <v>6</v>
      </c>
      <c r="G45" s="5" t="s">
        <v>6</v>
      </c>
      <c r="H45" s="39">
        <f>SUM(H46:H50)</f>
        <v>0</v>
      </c>
      <c r="I45" s="39">
        <f>SUM(I46:I50)</f>
        <v>0</v>
      </c>
      <c r="J45" s="39">
        <f>H45+I45</f>
        <v>0</v>
      </c>
      <c r="K45" s="29"/>
      <c r="L45" s="39">
        <f>SUM(L46:L50)</f>
        <v>0</v>
      </c>
      <c r="M45" s="29"/>
      <c r="Y45" s="29"/>
      <c r="AI45" s="39">
        <f>SUM(Z46:Z50)</f>
        <v>0</v>
      </c>
      <c r="AJ45" s="39">
        <f>SUM(AA46:AA50)</f>
        <v>0</v>
      </c>
      <c r="AK45" s="39">
        <f>SUM(AB46:AB50)</f>
        <v>0</v>
      </c>
    </row>
    <row r="46" spans="1:48" ht="12.75">
      <c r="A46" s="4" t="s">
        <v>17</v>
      </c>
      <c r="B46" s="4"/>
      <c r="C46" s="4" t="s">
        <v>107</v>
      </c>
      <c r="D46" s="4" t="s">
        <v>224</v>
      </c>
      <c r="E46" s="4" t="s">
        <v>380</v>
      </c>
      <c r="F46" s="19">
        <v>11.4</v>
      </c>
      <c r="G46" s="19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0</v>
      </c>
      <c r="L46" s="19">
        <f>F46*K46</f>
        <v>0</v>
      </c>
      <c r="M46" s="32" t="s">
        <v>405</v>
      </c>
      <c r="P46" s="36">
        <f>IF(AG46="5",J46,0)</f>
        <v>0</v>
      </c>
      <c r="R46" s="36">
        <f>IF(AG46="1",H46,0)</f>
        <v>0</v>
      </c>
      <c r="S46" s="36">
        <f>IF(AG46="1",I46,0)</f>
        <v>0</v>
      </c>
      <c r="T46" s="36">
        <f>IF(AG46="7",H46,0)</f>
        <v>0</v>
      </c>
      <c r="U46" s="36">
        <f>IF(AG46="7",I46,0)</f>
        <v>0</v>
      </c>
      <c r="V46" s="36">
        <f>IF(AG46="2",H46,0)</f>
        <v>0</v>
      </c>
      <c r="W46" s="36">
        <f>IF(AG46="2",I46,0)</f>
        <v>0</v>
      </c>
      <c r="X46" s="36">
        <f>IF(AG46="0",J46,0)</f>
        <v>0</v>
      </c>
      <c r="Y46" s="29"/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6">
        <v>21</v>
      </c>
      <c r="AE46" s="36">
        <f>G46*0</f>
        <v>0</v>
      </c>
      <c r="AF46" s="36">
        <f>G46*(1-0)</f>
        <v>0</v>
      </c>
      <c r="AG46" s="32" t="s">
        <v>7</v>
      </c>
      <c r="AM46" s="36">
        <f>F46*AE46</f>
        <v>0</v>
      </c>
      <c r="AN46" s="36">
        <f>F46*AF46</f>
        <v>0</v>
      </c>
      <c r="AO46" s="37" t="s">
        <v>417</v>
      </c>
      <c r="AP46" s="37" t="s">
        <v>434</v>
      </c>
      <c r="AQ46" s="29" t="s">
        <v>438</v>
      </c>
      <c r="AS46" s="36">
        <f>AM46+AN46</f>
        <v>0</v>
      </c>
      <c r="AT46" s="36">
        <f>G46/(100-AU46)*100</f>
        <v>0</v>
      </c>
      <c r="AU46" s="36">
        <v>0</v>
      </c>
      <c r="AV46" s="36">
        <f>L46</f>
        <v>0</v>
      </c>
    </row>
    <row r="47" spans="4:6" ht="12.75">
      <c r="D47" s="15" t="s">
        <v>225</v>
      </c>
      <c r="F47" s="20">
        <v>11.4</v>
      </c>
    </row>
    <row r="48" spans="1:48" ht="12.75">
      <c r="A48" s="4" t="s">
        <v>18</v>
      </c>
      <c r="B48" s="4"/>
      <c r="C48" s="4" t="s">
        <v>108</v>
      </c>
      <c r="D48" s="4" t="s">
        <v>226</v>
      </c>
      <c r="E48" s="4" t="s">
        <v>380</v>
      </c>
      <c r="F48" s="19">
        <v>1.8</v>
      </c>
      <c r="G48" s="19">
        <v>0</v>
      </c>
      <c r="H48" s="19">
        <f>F48*AE48</f>
        <v>0</v>
      </c>
      <c r="I48" s="19">
        <f>J48-H48</f>
        <v>0</v>
      </c>
      <c r="J48" s="19">
        <f>F48*G48</f>
        <v>0</v>
      </c>
      <c r="K48" s="19">
        <v>0</v>
      </c>
      <c r="L48" s="19">
        <f>F48*K48</f>
        <v>0</v>
      </c>
      <c r="M48" s="32" t="s">
        <v>405</v>
      </c>
      <c r="P48" s="36">
        <f>IF(AG48="5",J48,0)</f>
        <v>0</v>
      </c>
      <c r="R48" s="36">
        <f>IF(AG48="1",H48,0)</f>
        <v>0</v>
      </c>
      <c r="S48" s="36">
        <f>IF(AG48="1",I48,0)</f>
        <v>0</v>
      </c>
      <c r="T48" s="36">
        <f>IF(AG48="7",H48,0)</f>
        <v>0</v>
      </c>
      <c r="U48" s="36">
        <f>IF(AG48="7",I48,0)</f>
        <v>0</v>
      </c>
      <c r="V48" s="36">
        <f>IF(AG48="2",H48,0)</f>
        <v>0</v>
      </c>
      <c r="W48" s="36">
        <f>IF(AG48="2",I48,0)</f>
        <v>0</v>
      </c>
      <c r="X48" s="36">
        <f>IF(AG48="0",J48,0)</f>
        <v>0</v>
      </c>
      <c r="Y48" s="29"/>
      <c r="Z48" s="19">
        <f>IF(AD48=0,J48,0)</f>
        <v>0</v>
      </c>
      <c r="AA48" s="19">
        <f>IF(AD48=15,J48,0)</f>
        <v>0</v>
      </c>
      <c r="AB48" s="19">
        <f>IF(AD48=21,J48,0)</f>
        <v>0</v>
      </c>
      <c r="AD48" s="36">
        <v>21</v>
      </c>
      <c r="AE48" s="36">
        <f>G48*0</f>
        <v>0</v>
      </c>
      <c r="AF48" s="36">
        <f>G48*(1-0)</f>
        <v>0</v>
      </c>
      <c r="AG48" s="32" t="s">
        <v>7</v>
      </c>
      <c r="AM48" s="36">
        <f>F48*AE48</f>
        <v>0</v>
      </c>
      <c r="AN48" s="36">
        <f>F48*AF48</f>
        <v>0</v>
      </c>
      <c r="AO48" s="37" t="s">
        <v>417</v>
      </c>
      <c r="AP48" s="37" t="s">
        <v>434</v>
      </c>
      <c r="AQ48" s="29" t="s">
        <v>438</v>
      </c>
      <c r="AS48" s="36">
        <f>AM48+AN48</f>
        <v>0</v>
      </c>
      <c r="AT48" s="36">
        <f>G48/(100-AU48)*100</f>
        <v>0</v>
      </c>
      <c r="AU48" s="36">
        <v>0</v>
      </c>
      <c r="AV48" s="36">
        <f>L48</f>
        <v>0</v>
      </c>
    </row>
    <row r="49" spans="4:6" ht="12.75">
      <c r="D49" s="15" t="s">
        <v>227</v>
      </c>
      <c r="F49" s="20">
        <v>1.8</v>
      </c>
    </row>
    <row r="50" spans="1:48" ht="12.75">
      <c r="A50" s="4" t="s">
        <v>19</v>
      </c>
      <c r="B50" s="4"/>
      <c r="C50" s="4" t="s">
        <v>109</v>
      </c>
      <c r="D50" s="4" t="s">
        <v>228</v>
      </c>
      <c r="E50" s="4" t="s">
        <v>380</v>
      </c>
      <c r="F50" s="19">
        <v>1.8</v>
      </c>
      <c r="G50" s="19">
        <v>0</v>
      </c>
      <c r="H50" s="19">
        <f>F50*AE50</f>
        <v>0</v>
      </c>
      <c r="I50" s="19">
        <f>J50-H50</f>
        <v>0</v>
      </c>
      <c r="J50" s="19">
        <f>F50*G50</f>
        <v>0</v>
      </c>
      <c r="K50" s="19">
        <v>0</v>
      </c>
      <c r="L50" s="19">
        <f>F50*K50</f>
        <v>0</v>
      </c>
      <c r="M50" s="32" t="s">
        <v>405</v>
      </c>
      <c r="P50" s="36">
        <f>IF(AG50="5",J50,0)</f>
        <v>0</v>
      </c>
      <c r="R50" s="36">
        <f>IF(AG50="1",H50,0)</f>
        <v>0</v>
      </c>
      <c r="S50" s="36">
        <f>IF(AG50="1",I50,0)</f>
        <v>0</v>
      </c>
      <c r="T50" s="36">
        <f>IF(AG50="7",H50,0)</f>
        <v>0</v>
      </c>
      <c r="U50" s="36">
        <f>IF(AG50="7",I50,0)</f>
        <v>0</v>
      </c>
      <c r="V50" s="36">
        <f>IF(AG50="2",H50,0)</f>
        <v>0</v>
      </c>
      <c r="W50" s="36">
        <f>IF(AG50="2",I50,0)</f>
        <v>0</v>
      </c>
      <c r="X50" s="36">
        <f>IF(AG50="0",J50,0)</f>
        <v>0</v>
      </c>
      <c r="Y50" s="29"/>
      <c r="Z50" s="19">
        <f>IF(AD50=0,J50,0)</f>
        <v>0</v>
      </c>
      <c r="AA50" s="19">
        <f>IF(AD50=15,J50,0)</f>
        <v>0</v>
      </c>
      <c r="AB50" s="19">
        <f>IF(AD50=21,J50,0)</f>
        <v>0</v>
      </c>
      <c r="AD50" s="36">
        <v>21</v>
      </c>
      <c r="AE50" s="36">
        <f>G50*0</f>
        <v>0</v>
      </c>
      <c r="AF50" s="36">
        <f>G50*(1-0)</f>
        <v>0</v>
      </c>
      <c r="AG50" s="32" t="s">
        <v>7</v>
      </c>
      <c r="AM50" s="36">
        <f>F50*AE50</f>
        <v>0</v>
      </c>
      <c r="AN50" s="36">
        <f>F50*AF50</f>
        <v>0</v>
      </c>
      <c r="AO50" s="37" t="s">
        <v>417</v>
      </c>
      <c r="AP50" s="37" t="s">
        <v>434</v>
      </c>
      <c r="AQ50" s="29" t="s">
        <v>438</v>
      </c>
      <c r="AS50" s="36">
        <f>AM50+AN50</f>
        <v>0</v>
      </c>
      <c r="AT50" s="36">
        <f>G50/(100-AU50)*100</f>
        <v>0</v>
      </c>
      <c r="AU50" s="36">
        <v>0</v>
      </c>
      <c r="AV50" s="36">
        <f>L50</f>
        <v>0</v>
      </c>
    </row>
    <row r="51" spans="4:6" ht="12.75">
      <c r="D51" s="15" t="s">
        <v>227</v>
      </c>
      <c r="F51" s="20">
        <v>1.8</v>
      </c>
    </row>
    <row r="52" spans="1:37" ht="12.75">
      <c r="A52" s="5"/>
      <c r="B52" s="13"/>
      <c r="C52" s="13" t="s">
        <v>22</v>
      </c>
      <c r="D52" s="13" t="s">
        <v>229</v>
      </c>
      <c r="E52" s="5" t="s">
        <v>6</v>
      </c>
      <c r="F52" s="5" t="s">
        <v>6</v>
      </c>
      <c r="G52" s="5" t="s">
        <v>6</v>
      </c>
      <c r="H52" s="39">
        <f>SUM(H53:H59)</f>
        <v>0</v>
      </c>
      <c r="I52" s="39">
        <f>SUM(I53:I59)</f>
        <v>0</v>
      </c>
      <c r="J52" s="39">
        <f>H52+I52</f>
        <v>0</v>
      </c>
      <c r="K52" s="29"/>
      <c r="L52" s="39">
        <f>SUM(L53:L59)</f>
        <v>0</v>
      </c>
      <c r="M52" s="29"/>
      <c r="Y52" s="29"/>
      <c r="AI52" s="39">
        <f>SUM(Z53:Z59)</f>
        <v>0</v>
      </c>
      <c r="AJ52" s="39">
        <f>SUM(AA53:AA59)</f>
        <v>0</v>
      </c>
      <c r="AK52" s="39">
        <f>SUM(AB53:AB59)</f>
        <v>0</v>
      </c>
    </row>
    <row r="53" spans="1:48" ht="12.75">
      <c r="A53" s="4" t="s">
        <v>20</v>
      </c>
      <c r="B53" s="4"/>
      <c r="C53" s="4" t="s">
        <v>110</v>
      </c>
      <c r="D53" s="4" t="s">
        <v>230</v>
      </c>
      <c r="E53" s="4" t="s">
        <v>380</v>
      </c>
      <c r="F53" s="19">
        <v>74.2</v>
      </c>
      <c r="G53" s="19">
        <v>0</v>
      </c>
      <c r="H53" s="19">
        <f>F53*AE53</f>
        <v>0</v>
      </c>
      <c r="I53" s="19">
        <f>J53-H53</f>
        <v>0</v>
      </c>
      <c r="J53" s="19">
        <f>F53*G53</f>
        <v>0</v>
      </c>
      <c r="K53" s="19">
        <v>0</v>
      </c>
      <c r="L53" s="19">
        <f>F53*K53</f>
        <v>0</v>
      </c>
      <c r="M53" s="32" t="s">
        <v>405</v>
      </c>
      <c r="P53" s="36">
        <f>IF(AG53="5",J53,0)</f>
        <v>0</v>
      </c>
      <c r="R53" s="36">
        <f>IF(AG53="1",H53,0)</f>
        <v>0</v>
      </c>
      <c r="S53" s="36">
        <f>IF(AG53="1",I53,0)</f>
        <v>0</v>
      </c>
      <c r="T53" s="36">
        <f>IF(AG53="7",H53,0)</f>
        <v>0</v>
      </c>
      <c r="U53" s="36">
        <f>IF(AG53="7",I53,0)</f>
        <v>0</v>
      </c>
      <c r="V53" s="36">
        <f>IF(AG53="2",H53,0)</f>
        <v>0</v>
      </c>
      <c r="W53" s="36">
        <f>IF(AG53="2",I53,0)</f>
        <v>0</v>
      </c>
      <c r="X53" s="36">
        <f>IF(AG53="0",J53,0)</f>
        <v>0</v>
      </c>
      <c r="Y53" s="29"/>
      <c r="Z53" s="19">
        <f>IF(AD53=0,J53,0)</f>
        <v>0</v>
      </c>
      <c r="AA53" s="19">
        <f>IF(AD53=15,J53,0)</f>
        <v>0</v>
      </c>
      <c r="AB53" s="19">
        <f>IF(AD53=21,J53,0)</f>
        <v>0</v>
      </c>
      <c r="AD53" s="36">
        <v>21</v>
      </c>
      <c r="AE53" s="36">
        <f>G53*0</f>
        <v>0</v>
      </c>
      <c r="AF53" s="36">
        <f>G53*(1-0)</f>
        <v>0</v>
      </c>
      <c r="AG53" s="32" t="s">
        <v>7</v>
      </c>
      <c r="AM53" s="36">
        <f>F53*AE53</f>
        <v>0</v>
      </c>
      <c r="AN53" s="36">
        <f>F53*AF53</f>
        <v>0</v>
      </c>
      <c r="AO53" s="37" t="s">
        <v>418</v>
      </c>
      <c r="AP53" s="37" t="s">
        <v>434</v>
      </c>
      <c r="AQ53" s="29" t="s">
        <v>438</v>
      </c>
      <c r="AS53" s="36">
        <f>AM53+AN53</f>
        <v>0</v>
      </c>
      <c r="AT53" s="36">
        <f>G53/(100-AU53)*100</f>
        <v>0</v>
      </c>
      <c r="AU53" s="36">
        <v>0</v>
      </c>
      <c r="AV53" s="36">
        <f>L53</f>
        <v>0</v>
      </c>
    </row>
    <row r="54" spans="4:6" ht="12.75">
      <c r="D54" s="15" t="s">
        <v>231</v>
      </c>
      <c r="F54" s="20">
        <v>74.2</v>
      </c>
    </row>
    <row r="55" spans="1:48" ht="12.75">
      <c r="A55" s="4" t="s">
        <v>21</v>
      </c>
      <c r="B55" s="4"/>
      <c r="C55" s="4" t="s">
        <v>111</v>
      </c>
      <c r="D55" s="4" t="s">
        <v>232</v>
      </c>
      <c r="E55" s="4" t="s">
        <v>380</v>
      </c>
      <c r="F55" s="19">
        <v>873.46</v>
      </c>
      <c r="G55" s="19">
        <v>0</v>
      </c>
      <c r="H55" s="19">
        <f>F55*AE55</f>
        <v>0</v>
      </c>
      <c r="I55" s="19">
        <f>J55-H55</f>
        <v>0</v>
      </c>
      <c r="J55" s="19">
        <f>F55*G55</f>
        <v>0</v>
      </c>
      <c r="K55" s="19">
        <v>0</v>
      </c>
      <c r="L55" s="19">
        <f>F55*K55</f>
        <v>0</v>
      </c>
      <c r="M55" s="32" t="s">
        <v>405</v>
      </c>
      <c r="P55" s="36">
        <f>IF(AG55="5",J55,0)</f>
        <v>0</v>
      </c>
      <c r="R55" s="36">
        <f>IF(AG55="1",H55,0)</f>
        <v>0</v>
      </c>
      <c r="S55" s="36">
        <f>IF(AG55="1",I55,0)</f>
        <v>0</v>
      </c>
      <c r="T55" s="36">
        <f>IF(AG55="7",H55,0)</f>
        <v>0</v>
      </c>
      <c r="U55" s="36">
        <f>IF(AG55="7",I55,0)</f>
        <v>0</v>
      </c>
      <c r="V55" s="36">
        <f>IF(AG55="2",H55,0)</f>
        <v>0</v>
      </c>
      <c r="W55" s="36">
        <f>IF(AG55="2",I55,0)</f>
        <v>0</v>
      </c>
      <c r="X55" s="36">
        <f>IF(AG55="0",J55,0)</f>
        <v>0</v>
      </c>
      <c r="Y55" s="29"/>
      <c r="Z55" s="19">
        <f>IF(AD55=0,J55,0)</f>
        <v>0</v>
      </c>
      <c r="AA55" s="19">
        <f>IF(AD55=15,J55,0)</f>
        <v>0</v>
      </c>
      <c r="AB55" s="19">
        <f>IF(AD55=21,J55,0)</f>
        <v>0</v>
      </c>
      <c r="AD55" s="36">
        <v>21</v>
      </c>
      <c r="AE55" s="36">
        <f>G55*0</f>
        <v>0</v>
      </c>
      <c r="AF55" s="36">
        <f>G55*(1-0)</f>
        <v>0</v>
      </c>
      <c r="AG55" s="32" t="s">
        <v>7</v>
      </c>
      <c r="AM55" s="36">
        <f>F55*AE55</f>
        <v>0</v>
      </c>
      <c r="AN55" s="36">
        <f>F55*AF55</f>
        <v>0</v>
      </c>
      <c r="AO55" s="37" t="s">
        <v>418</v>
      </c>
      <c r="AP55" s="37" t="s">
        <v>434</v>
      </c>
      <c r="AQ55" s="29" t="s">
        <v>438</v>
      </c>
      <c r="AS55" s="36">
        <f>AM55+AN55</f>
        <v>0</v>
      </c>
      <c r="AT55" s="36">
        <f>G55/(100-AU55)*100</f>
        <v>0</v>
      </c>
      <c r="AU55" s="36">
        <v>0</v>
      </c>
      <c r="AV55" s="36">
        <f>L55</f>
        <v>0</v>
      </c>
    </row>
    <row r="56" spans="4:6" ht="12.75">
      <c r="D56" s="15" t="s">
        <v>233</v>
      </c>
      <c r="F56" s="20">
        <v>873.46</v>
      </c>
    </row>
    <row r="57" spans="1:48" ht="12.75">
      <c r="A57" s="4" t="s">
        <v>22</v>
      </c>
      <c r="B57" s="4"/>
      <c r="C57" s="4" t="s">
        <v>112</v>
      </c>
      <c r="D57" s="4" t="s">
        <v>234</v>
      </c>
      <c r="E57" s="4" t="s">
        <v>380</v>
      </c>
      <c r="F57" s="19">
        <v>873.46</v>
      </c>
      <c r="G57" s="19">
        <v>0</v>
      </c>
      <c r="H57" s="19">
        <f>F57*AE57</f>
        <v>0</v>
      </c>
      <c r="I57" s="19">
        <f>J57-H57</f>
        <v>0</v>
      </c>
      <c r="J57" s="19">
        <f>F57*G57</f>
        <v>0</v>
      </c>
      <c r="K57" s="19">
        <v>0</v>
      </c>
      <c r="L57" s="19">
        <f>F57*K57</f>
        <v>0</v>
      </c>
      <c r="M57" s="32" t="s">
        <v>405</v>
      </c>
      <c r="P57" s="36">
        <f>IF(AG57="5",J57,0)</f>
        <v>0</v>
      </c>
      <c r="R57" s="36">
        <f>IF(AG57="1",H57,0)</f>
        <v>0</v>
      </c>
      <c r="S57" s="36">
        <f>IF(AG57="1",I57,0)</f>
        <v>0</v>
      </c>
      <c r="T57" s="36">
        <f>IF(AG57="7",H57,0)</f>
        <v>0</v>
      </c>
      <c r="U57" s="36">
        <f>IF(AG57="7",I57,0)</f>
        <v>0</v>
      </c>
      <c r="V57" s="36">
        <f>IF(AG57="2",H57,0)</f>
        <v>0</v>
      </c>
      <c r="W57" s="36">
        <f>IF(AG57="2",I57,0)</f>
        <v>0</v>
      </c>
      <c r="X57" s="36">
        <f>IF(AG57="0",J57,0)</f>
        <v>0</v>
      </c>
      <c r="Y57" s="29"/>
      <c r="Z57" s="19">
        <f>IF(AD57=0,J57,0)</f>
        <v>0</v>
      </c>
      <c r="AA57" s="19">
        <f>IF(AD57=15,J57,0)</f>
        <v>0</v>
      </c>
      <c r="AB57" s="19">
        <f>IF(AD57=21,J57,0)</f>
        <v>0</v>
      </c>
      <c r="AD57" s="36">
        <v>21</v>
      </c>
      <c r="AE57" s="36">
        <f>G57*0</f>
        <v>0</v>
      </c>
      <c r="AF57" s="36">
        <f>G57*(1-0)</f>
        <v>0</v>
      </c>
      <c r="AG57" s="32" t="s">
        <v>7</v>
      </c>
      <c r="AM57" s="36">
        <f>F57*AE57</f>
        <v>0</v>
      </c>
      <c r="AN57" s="36">
        <f>F57*AF57</f>
        <v>0</v>
      </c>
      <c r="AO57" s="37" t="s">
        <v>418</v>
      </c>
      <c r="AP57" s="37" t="s">
        <v>434</v>
      </c>
      <c r="AQ57" s="29" t="s">
        <v>438</v>
      </c>
      <c r="AS57" s="36">
        <f>AM57+AN57</f>
        <v>0</v>
      </c>
      <c r="AT57" s="36">
        <f>G57/(100-AU57)*100</f>
        <v>0</v>
      </c>
      <c r="AU57" s="36">
        <v>0</v>
      </c>
      <c r="AV57" s="36">
        <f>L57</f>
        <v>0</v>
      </c>
    </row>
    <row r="58" spans="4:6" ht="12.75">
      <c r="D58" s="15" t="s">
        <v>235</v>
      </c>
      <c r="F58" s="20">
        <v>873.46</v>
      </c>
    </row>
    <row r="59" spans="1:48" ht="12.75">
      <c r="A59" s="4" t="s">
        <v>23</v>
      </c>
      <c r="B59" s="4"/>
      <c r="C59" s="4" t="s">
        <v>113</v>
      </c>
      <c r="D59" s="4" t="s">
        <v>236</v>
      </c>
      <c r="E59" s="4" t="s">
        <v>380</v>
      </c>
      <c r="F59" s="19">
        <v>33191.48</v>
      </c>
      <c r="G59" s="19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</v>
      </c>
      <c r="L59" s="19">
        <f>F59*K59</f>
        <v>0</v>
      </c>
      <c r="M59" s="32" t="s">
        <v>405</v>
      </c>
      <c r="P59" s="36">
        <f>IF(AG59="5",J59,0)</f>
        <v>0</v>
      </c>
      <c r="R59" s="36">
        <f>IF(AG59="1",H59,0)</f>
        <v>0</v>
      </c>
      <c r="S59" s="36">
        <f>IF(AG59="1",I59,0)</f>
        <v>0</v>
      </c>
      <c r="T59" s="36">
        <f>IF(AG59="7",H59,0)</f>
        <v>0</v>
      </c>
      <c r="U59" s="36">
        <f>IF(AG59="7",I59,0)</f>
        <v>0</v>
      </c>
      <c r="V59" s="36">
        <f>IF(AG59="2",H59,0)</f>
        <v>0</v>
      </c>
      <c r="W59" s="36">
        <f>IF(AG59="2",I59,0)</f>
        <v>0</v>
      </c>
      <c r="X59" s="36">
        <f>IF(AG59="0",J59,0)</f>
        <v>0</v>
      </c>
      <c r="Y59" s="29"/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6">
        <v>21</v>
      </c>
      <c r="AE59" s="36">
        <f>G59*0</f>
        <v>0</v>
      </c>
      <c r="AF59" s="36">
        <f>G59*(1-0)</f>
        <v>0</v>
      </c>
      <c r="AG59" s="32" t="s">
        <v>7</v>
      </c>
      <c r="AM59" s="36">
        <f>F59*AE59</f>
        <v>0</v>
      </c>
      <c r="AN59" s="36">
        <f>F59*AF59</f>
        <v>0</v>
      </c>
      <c r="AO59" s="37" t="s">
        <v>418</v>
      </c>
      <c r="AP59" s="37" t="s">
        <v>434</v>
      </c>
      <c r="AQ59" s="29" t="s">
        <v>438</v>
      </c>
      <c r="AS59" s="36">
        <f>AM59+AN59</f>
        <v>0</v>
      </c>
      <c r="AT59" s="36">
        <f>G59/(100-AU59)*100</f>
        <v>0</v>
      </c>
      <c r="AU59" s="36">
        <v>0</v>
      </c>
      <c r="AV59" s="36">
        <f>L59</f>
        <v>0</v>
      </c>
    </row>
    <row r="60" spans="4:6" ht="12.75">
      <c r="D60" s="15" t="s">
        <v>237</v>
      </c>
      <c r="F60" s="20">
        <v>33191.48</v>
      </c>
    </row>
    <row r="61" spans="1:37" ht="12.75">
      <c r="A61" s="5"/>
      <c r="B61" s="13"/>
      <c r="C61" s="13" t="s">
        <v>23</v>
      </c>
      <c r="D61" s="13" t="s">
        <v>238</v>
      </c>
      <c r="E61" s="5" t="s">
        <v>6</v>
      </c>
      <c r="F61" s="5" t="s">
        <v>6</v>
      </c>
      <c r="G61" s="5" t="s">
        <v>6</v>
      </c>
      <c r="H61" s="39">
        <f>SUM(H62:H62)</f>
        <v>0</v>
      </c>
      <c r="I61" s="39">
        <f>SUM(I62:I62)</f>
        <v>0</v>
      </c>
      <c r="J61" s="39">
        <f>H61+I61</f>
        <v>0</v>
      </c>
      <c r="K61" s="29"/>
      <c r="L61" s="39">
        <f>SUM(L62:L62)</f>
        <v>0</v>
      </c>
      <c r="M61" s="29"/>
      <c r="Y61" s="29"/>
      <c r="AI61" s="39">
        <f>SUM(Z62:Z62)</f>
        <v>0</v>
      </c>
      <c r="AJ61" s="39">
        <f>SUM(AA62:AA62)</f>
        <v>0</v>
      </c>
      <c r="AK61" s="39">
        <f>SUM(AB62:AB62)</f>
        <v>0</v>
      </c>
    </row>
    <row r="62" spans="1:48" ht="12.75">
      <c r="A62" s="4" t="s">
        <v>24</v>
      </c>
      <c r="B62" s="4"/>
      <c r="C62" s="4" t="s">
        <v>114</v>
      </c>
      <c r="D62" s="4" t="s">
        <v>239</v>
      </c>
      <c r="E62" s="4" t="s">
        <v>380</v>
      </c>
      <c r="F62" s="19">
        <v>873.46</v>
      </c>
      <c r="G62" s="19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0</v>
      </c>
      <c r="L62" s="19">
        <f>F62*K62</f>
        <v>0</v>
      </c>
      <c r="M62" s="32" t="s">
        <v>405</v>
      </c>
      <c r="P62" s="36">
        <f>IF(AG62="5",J62,0)</f>
        <v>0</v>
      </c>
      <c r="R62" s="36">
        <f>IF(AG62="1",H62,0)</f>
        <v>0</v>
      </c>
      <c r="S62" s="36">
        <f>IF(AG62="1",I62,0)</f>
        <v>0</v>
      </c>
      <c r="T62" s="36">
        <f>IF(AG62="7",H62,0)</f>
        <v>0</v>
      </c>
      <c r="U62" s="36">
        <f>IF(AG62="7",I62,0)</f>
        <v>0</v>
      </c>
      <c r="V62" s="36">
        <f>IF(AG62="2",H62,0)</f>
        <v>0</v>
      </c>
      <c r="W62" s="36">
        <f>IF(AG62="2",I62,0)</f>
        <v>0</v>
      </c>
      <c r="X62" s="36">
        <f>IF(AG62="0",J62,0)</f>
        <v>0</v>
      </c>
      <c r="Y62" s="29"/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36">
        <v>21</v>
      </c>
      <c r="AE62" s="36">
        <f>G62*0</f>
        <v>0</v>
      </c>
      <c r="AF62" s="36">
        <f>G62*(1-0)</f>
        <v>0</v>
      </c>
      <c r="AG62" s="32" t="s">
        <v>7</v>
      </c>
      <c r="AM62" s="36">
        <f>F62*AE62</f>
        <v>0</v>
      </c>
      <c r="AN62" s="36">
        <f>F62*AF62</f>
        <v>0</v>
      </c>
      <c r="AO62" s="37" t="s">
        <v>419</v>
      </c>
      <c r="AP62" s="37" t="s">
        <v>434</v>
      </c>
      <c r="AQ62" s="29" t="s">
        <v>438</v>
      </c>
      <c r="AS62" s="36">
        <f>AM62+AN62</f>
        <v>0</v>
      </c>
      <c r="AT62" s="36">
        <f>G62/(100-AU62)*100</f>
        <v>0</v>
      </c>
      <c r="AU62" s="36">
        <v>0</v>
      </c>
      <c r="AV62" s="36">
        <f>L62</f>
        <v>0</v>
      </c>
    </row>
    <row r="63" spans="4:6" ht="12.75">
      <c r="D63" s="15" t="s">
        <v>235</v>
      </c>
      <c r="F63" s="20">
        <v>873.46</v>
      </c>
    </row>
    <row r="64" spans="1:37" ht="12.75">
      <c r="A64" s="5"/>
      <c r="B64" s="13"/>
      <c r="C64" s="13" t="s">
        <v>24</v>
      </c>
      <c r="D64" s="13" t="s">
        <v>240</v>
      </c>
      <c r="E64" s="5" t="s">
        <v>6</v>
      </c>
      <c r="F64" s="5" t="s">
        <v>6</v>
      </c>
      <c r="G64" s="5" t="s">
        <v>6</v>
      </c>
      <c r="H64" s="39">
        <f>SUM(H65:H65)</f>
        <v>0</v>
      </c>
      <c r="I64" s="39">
        <f>SUM(I65:I65)</f>
        <v>0</v>
      </c>
      <c r="J64" s="39">
        <f>H64+I64</f>
        <v>0</v>
      </c>
      <c r="K64" s="29"/>
      <c r="L64" s="39">
        <f>SUM(L65:L65)</f>
        <v>0</v>
      </c>
      <c r="M64" s="29"/>
      <c r="Y64" s="29"/>
      <c r="AI64" s="39">
        <f>SUM(Z65:Z65)</f>
        <v>0</v>
      </c>
      <c r="AJ64" s="39">
        <f>SUM(AA65:AA65)</f>
        <v>0</v>
      </c>
      <c r="AK64" s="39">
        <f>SUM(AB65:AB65)</f>
        <v>0</v>
      </c>
    </row>
    <row r="65" spans="1:48" ht="12.75">
      <c r="A65" s="4" t="s">
        <v>25</v>
      </c>
      <c r="B65" s="4"/>
      <c r="C65" s="4" t="s">
        <v>115</v>
      </c>
      <c r="D65" s="4" t="s">
        <v>241</v>
      </c>
      <c r="E65" s="4" t="s">
        <v>381</v>
      </c>
      <c r="F65" s="19">
        <v>1</v>
      </c>
      <c r="G65" s="19">
        <v>0</v>
      </c>
      <c r="H65" s="19">
        <f>F65*AE65</f>
        <v>0</v>
      </c>
      <c r="I65" s="19">
        <f>J65-H65</f>
        <v>0</v>
      </c>
      <c r="J65" s="19">
        <f>F65*G65</f>
        <v>0</v>
      </c>
      <c r="K65" s="19">
        <v>0</v>
      </c>
      <c r="L65" s="19">
        <f>F65*K65</f>
        <v>0</v>
      </c>
      <c r="M65" s="32" t="s">
        <v>405</v>
      </c>
      <c r="P65" s="36">
        <f>IF(AG65="5",J65,0)</f>
        <v>0</v>
      </c>
      <c r="R65" s="36">
        <f>IF(AG65="1",H65,0)</f>
        <v>0</v>
      </c>
      <c r="S65" s="36">
        <f>IF(AG65="1",I65,0)</f>
        <v>0</v>
      </c>
      <c r="T65" s="36">
        <f>IF(AG65="7",H65,0)</f>
        <v>0</v>
      </c>
      <c r="U65" s="36">
        <f>IF(AG65="7",I65,0)</f>
        <v>0</v>
      </c>
      <c r="V65" s="36">
        <f>IF(AG65="2",H65,0)</f>
        <v>0</v>
      </c>
      <c r="W65" s="36">
        <f>IF(AG65="2",I65,0)</f>
        <v>0</v>
      </c>
      <c r="X65" s="36">
        <f>IF(AG65="0",J65,0)</f>
        <v>0</v>
      </c>
      <c r="Y65" s="29"/>
      <c r="Z65" s="19">
        <f>IF(AD65=0,J65,0)</f>
        <v>0</v>
      </c>
      <c r="AA65" s="19">
        <f>IF(AD65=15,J65,0)</f>
        <v>0</v>
      </c>
      <c r="AB65" s="19">
        <f>IF(AD65=21,J65,0)</f>
        <v>0</v>
      </c>
      <c r="AD65" s="36">
        <v>21</v>
      </c>
      <c r="AE65" s="36">
        <f>G65*0.00122775</f>
        <v>0</v>
      </c>
      <c r="AF65" s="36">
        <f>G65*(1-0.00122775)</f>
        <v>0</v>
      </c>
      <c r="AG65" s="32" t="s">
        <v>7</v>
      </c>
      <c r="AM65" s="36">
        <f>F65*AE65</f>
        <v>0</v>
      </c>
      <c r="AN65" s="36">
        <f>F65*AF65</f>
        <v>0</v>
      </c>
      <c r="AO65" s="37" t="s">
        <v>420</v>
      </c>
      <c r="AP65" s="37" t="s">
        <v>434</v>
      </c>
      <c r="AQ65" s="29" t="s">
        <v>438</v>
      </c>
      <c r="AS65" s="36">
        <f>AM65+AN65</f>
        <v>0</v>
      </c>
      <c r="AT65" s="36">
        <f>G65/(100-AU65)*100</f>
        <v>0</v>
      </c>
      <c r="AU65" s="36">
        <v>0</v>
      </c>
      <c r="AV65" s="36">
        <f>L65</f>
        <v>0</v>
      </c>
    </row>
    <row r="66" spans="4:6" ht="12.75">
      <c r="D66" s="15" t="s">
        <v>7</v>
      </c>
      <c r="F66" s="20">
        <v>1</v>
      </c>
    </row>
    <row r="67" spans="1:37" ht="12.75">
      <c r="A67" s="5"/>
      <c r="B67" s="13"/>
      <c r="C67" s="13" t="s">
        <v>25</v>
      </c>
      <c r="D67" s="13" t="s">
        <v>242</v>
      </c>
      <c r="E67" s="5" t="s">
        <v>6</v>
      </c>
      <c r="F67" s="5" t="s">
        <v>6</v>
      </c>
      <c r="G67" s="5" t="s">
        <v>6</v>
      </c>
      <c r="H67" s="39">
        <f>SUM(H68:H68)</f>
        <v>0</v>
      </c>
      <c r="I67" s="39">
        <f>SUM(I68:I68)</f>
        <v>0</v>
      </c>
      <c r="J67" s="39">
        <f>H67+I67</f>
        <v>0</v>
      </c>
      <c r="K67" s="29"/>
      <c r="L67" s="39">
        <f>SUM(L68:L68)</f>
        <v>0</v>
      </c>
      <c r="M67" s="29"/>
      <c r="Y67" s="29"/>
      <c r="AI67" s="39">
        <f>SUM(Z68:Z68)</f>
        <v>0</v>
      </c>
      <c r="AJ67" s="39">
        <f>SUM(AA68:AA68)</f>
        <v>0</v>
      </c>
      <c r="AK67" s="39">
        <f>SUM(AB68:AB68)</f>
        <v>0</v>
      </c>
    </row>
    <row r="68" spans="1:48" ht="12.75">
      <c r="A68" s="4" t="s">
        <v>26</v>
      </c>
      <c r="B68" s="4"/>
      <c r="C68" s="4" t="s">
        <v>116</v>
      </c>
      <c r="D68" s="4" t="s">
        <v>243</v>
      </c>
      <c r="E68" s="4" t="s">
        <v>380</v>
      </c>
      <c r="F68" s="19">
        <v>873.46</v>
      </c>
      <c r="G68" s="19">
        <v>0</v>
      </c>
      <c r="H68" s="19">
        <f>F68*AE68</f>
        <v>0</v>
      </c>
      <c r="I68" s="19">
        <f>J68-H68</f>
        <v>0</v>
      </c>
      <c r="J68" s="19">
        <f>F68*G68</f>
        <v>0</v>
      </c>
      <c r="K68" s="19">
        <v>0</v>
      </c>
      <c r="L68" s="19">
        <f>F68*K68</f>
        <v>0</v>
      </c>
      <c r="M68" s="32" t="s">
        <v>405</v>
      </c>
      <c r="P68" s="36">
        <f>IF(AG68="5",J68,0)</f>
        <v>0</v>
      </c>
      <c r="R68" s="36">
        <f>IF(AG68="1",H68,0)</f>
        <v>0</v>
      </c>
      <c r="S68" s="36">
        <f>IF(AG68="1",I68,0)</f>
        <v>0</v>
      </c>
      <c r="T68" s="36">
        <f>IF(AG68="7",H68,0)</f>
        <v>0</v>
      </c>
      <c r="U68" s="36">
        <f>IF(AG68="7",I68,0)</f>
        <v>0</v>
      </c>
      <c r="V68" s="36">
        <f>IF(AG68="2",H68,0)</f>
        <v>0</v>
      </c>
      <c r="W68" s="36">
        <f>IF(AG68="2",I68,0)</f>
        <v>0</v>
      </c>
      <c r="X68" s="36">
        <f>IF(AG68="0",J68,0)</f>
        <v>0</v>
      </c>
      <c r="Y68" s="29"/>
      <c r="Z68" s="19">
        <f>IF(AD68=0,J68,0)</f>
        <v>0</v>
      </c>
      <c r="AA68" s="19">
        <f>IF(AD68=15,J68,0)</f>
        <v>0</v>
      </c>
      <c r="AB68" s="19">
        <f>IF(AD68=21,J68,0)</f>
        <v>0</v>
      </c>
      <c r="AD68" s="36">
        <v>21</v>
      </c>
      <c r="AE68" s="36">
        <f>G68*0</f>
        <v>0</v>
      </c>
      <c r="AF68" s="36">
        <f>G68*(1-0)</f>
        <v>0</v>
      </c>
      <c r="AG68" s="32" t="s">
        <v>7</v>
      </c>
      <c r="AM68" s="36">
        <f>F68*AE68</f>
        <v>0</v>
      </c>
      <c r="AN68" s="36">
        <f>F68*AF68</f>
        <v>0</v>
      </c>
      <c r="AO68" s="37" t="s">
        <v>421</v>
      </c>
      <c r="AP68" s="37" t="s">
        <v>434</v>
      </c>
      <c r="AQ68" s="29" t="s">
        <v>438</v>
      </c>
      <c r="AS68" s="36">
        <f>AM68+AN68</f>
        <v>0</v>
      </c>
      <c r="AT68" s="36">
        <f>G68/(100-AU68)*100</f>
        <v>0</v>
      </c>
      <c r="AU68" s="36">
        <v>0</v>
      </c>
      <c r="AV68" s="36">
        <f>L68</f>
        <v>0</v>
      </c>
    </row>
    <row r="69" spans="4:6" ht="12.75">
      <c r="D69" s="15" t="s">
        <v>235</v>
      </c>
      <c r="F69" s="20">
        <v>873.46</v>
      </c>
    </row>
    <row r="70" spans="1:37" ht="12.75">
      <c r="A70" s="5"/>
      <c r="B70" s="13"/>
      <c r="C70" s="13" t="s">
        <v>62</v>
      </c>
      <c r="D70" s="13" t="s">
        <v>244</v>
      </c>
      <c r="E70" s="5" t="s">
        <v>6</v>
      </c>
      <c r="F70" s="5" t="s">
        <v>6</v>
      </c>
      <c r="G70" s="5" t="s">
        <v>6</v>
      </c>
      <c r="H70" s="39">
        <f>SUM(H71:H96)</f>
        <v>0</v>
      </c>
      <c r="I70" s="39">
        <f>SUM(I71:I96)</f>
        <v>0</v>
      </c>
      <c r="J70" s="39">
        <f>H70+I70</f>
        <v>0</v>
      </c>
      <c r="K70" s="29"/>
      <c r="L70" s="39">
        <f>SUM(L71:L96)</f>
        <v>2280.2847650000003</v>
      </c>
      <c r="M70" s="29"/>
      <c r="Y70" s="29"/>
      <c r="AI70" s="39">
        <f>SUM(Z71:Z96)</f>
        <v>0</v>
      </c>
      <c r="AJ70" s="39">
        <f>SUM(AA71:AA96)</f>
        <v>0</v>
      </c>
      <c r="AK70" s="39">
        <f>SUM(AB71:AB96)</f>
        <v>0</v>
      </c>
    </row>
    <row r="71" spans="1:48" ht="12.75">
      <c r="A71" s="4" t="s">
        <v>27</v>
      </c>
      <c r="B71" s="4"/>
      <c r="C71" s="4" t="s">
        <v>117</v>
      </c>
      <c r="D71" s="4" t="s">
        <v>245</v>
      </c>
      <c r="E71" s="4" t="s">
        <v>378</v>
      </c>
      <c r="F71" s="19">
        <v>1399.75</v>
      </c>
      <c r="G71" s="19">
        <v>0</v>
      </c>
      <c r="H71" s="19">
        <f>F71*AE71</f>
        <v>0</v>
      </c>
      <c r="I71" s="19">
        <f>J71-H71</f>
        <v>0</v>
      </c>
      <c r="J71" s="19">
        <f>F71*G71</f>
        <v>0</v>
      </c>
      <c r="K71" s="19">
        <v>0.08096</v>
      </c>
      <c r="L71" s="19">
        <f>F71*K71</f>
        <v>113.32376000000001</v>
      </c>
      <c r="M71" s="32" t="s">
        <v>405</v>
      </c>
      <c r="P71" s="36">
        <f>IF(AG71="5",J71,0)</f>
        <v>0</v>
      </c>
      <c r="R71" s="36">
        <f>IF(AG71="1",H71,0)</f>
        <v>0</v>
      </c>
      <c r="S71" s="36">
        <f>IF(AG71="1",I71,0)</f>
        <v>0</v>
      </c>
      <c r="T71" s="36">
        <f>IF(AG71="7",H71,0)</f>
        <v>0</v>
      </c>
      <c r="U71" s="36">
        <f>IF(AG71="7",I71,0)</f>
        <v>0</v>
      </c>
      <c r="V71" s="36">
        <f>IF(AG71="2",H71,0)</f>
        <v>0</v>
      </c>
      <c r="W71" s="36">
        <f>IF(AG71="2",I71,0)</f>
        <v>0</v>
      </c>
      <c r="X71" s="36">
        <f>IF(AG71="0",J71,0)</f>
        <v>0</v>
      </c>
      <c r="Y71" s="29"/>
      <c r="Z71" s="19">
        <f>IF(AD71=0,J71,0)</f>
        <v>0</v>
      </c>
      <c r="AA71" s="19">
        <f>IF(AD71=15,J71,0)</f>
        <v>0</v>
      </c>
      <c r="AB71" s="19">
        <f>IF(AD71=21,J71,0)</f>
        <v>0</v>
      </c>
      <c r="AD71" s="36">
        <v>21</v>
      </c>
      <c r="AE71" s="36">
        <f>G71*0.690285714285714</f>
        <v>0</v>
      </c>
      <c r="AF71" s="36">
        <f>G71*(1-0.690285714285714)</f>
        <v>0</v>
      </c>
      <c r="AG71" s="32" t="s">
        <v>7</v>
      </c>
      <c r="AM71" s="36">
        <f>F71*AE71</f>
        <v>0</v>
      </c>
      <c r="AN71" s="36">
        <f>F71*AF71</f>
        <v>0</v>
      </c>
      <c r="AO71" s="37" t="s">
        <v>422</v>
      </c>
      <c r="AP71" s="37" t="s">
        <v>435</v>
      </c>
      <c r="AQ71" s="29" t="s">
        <v>438</v>
      </c>
      <c r="AS71" s="36">
        <f>AM71+AN71</f>
        <v>0</v>
      </c>
      <c r="AT71" s="36">
        <f>G71/(100-AU71)*100</f>
        <v>0</v>
      </c>
      <c r="AU71" s="36">
        <v>0</v>
      </c>
      <c r="AV71" s="36">
        <f>L71</f>
        <v>113.32376000000001</v>
      </c>
    </row>
    <row r="72" spans="4:6" ht="12.75">
      <c r="D72" s="15" t="s">
        <v>246</v>
      </c>
      <c r="F72" s="20">
        <v>1399.75</v>
      </c>
    </row>
    <row r="73" spans="1:48" ht="12.75">
      <c r="A73" s="4" t="s">
        <v>28</v>
      </c>
      <c r="B73" s="4"/>
      <c r="C73" s="4" t="s">
        <v>118</v>
      </c>
      <c r="D73" s="4" t="s">
        <v>247</v>
      </c>
      <c r="E73" s="4" t="s">
        <v>378</v>
      </c>
      <c r="F73" s="19">
        <v>1399.75</v>
      </c>
      <c r="G73" s="19">
        <v>0</v>
      </c>
      <c r="H73" s="19">
        <f>F73*AE73</f>
        <v>0</v>
      </c>
      <c r="I73" s="19">
        <f>J73-H73</f>
        <v>0</v>
      </c>
      <c r="J73" s="19">
        <f>F73*G73</f>
        <v>0</v>
      </c>
      <c r="K73" s="19">
        <v>0.08096</v>
      </c>
      <c r="L73" s="19">
        <f>F73*K73</f>
        <v>113.32376000000001</v>
      </c>
      <c r="M73" s="32" t="s">
        <v>405</v>
      </c>
      <c r="P73" s="36">
        <f>IF(AG73="5",J73,0)</f>
        <v>0</v>
      </c>
      <c r="R73" s="36">
        <f>IF(AG73="1",H73,0)</f>
        <v>0</v>
      </c>
      <c r="S73" s="36">
        <f>IF(AG73="1",I73,0)</f>
        <v>0</v>
      </c>
      <c r="T73" s="36">
        <f>IF(AG73="7",H73,0)</f>
        <v>0</v>
      </c>
      <c r="U73" s="36">
        <f>IF(AG73="7",I73,0)</f>
        <v>0</v>
      </c>
      <c r="V73" s="36">
        <f>IF(AG73="2",H73,0)</f>
        <v>0</v>
      </c>
      <c r="W73" s="36">
        <f>IF(AG73="2",I73,0)</f>
        <v>0</v>
      </c>
      <c r="X73" s="36">
        <f>IF(AG73="0",J73,0)</f>
        <v>0</v>
      </c>
      <c r="Y73" s="29"/>
      <c r="Z73" s="19">
        <f>IF(AD73=0,J73,0)</f>
        <v>0</v>
      </c>
      <c r="AA73" s="19">
        <f>IF(AD73=15,J73,0)</f>
        <v>0</v>
      </c>
      <c r="AB73" s="19">
        <f>IF(AD73=21,J73,0)</f>
        <v>0</v>
      </c>
      <c r="AD73" s="36">
        <v>21</v>
      </c>
      <c r="AE73" s="36">
        <f>G73*0.690384615384615</f>
        <v>0</v>
      </c>
      <c r="AF73" s="36">
        <f>G73*(1-0.690384615384615)</f>
        <v>0</v>
      </c>
      <c r="AG73" s="32" t="s">
        <v>7</v>
      </c>
      <c r="AM73" s="36">
        <f>F73*AE73</f>
        <v>0</v>
      </c>
      <c r="AN73" s="36">
        <f>F73*AF73</f>
        <v>0</v>
      </c>
      <c r="AO73" s="37" t="s">
        <v>422</v>
      </c>
      <c r="AP73" s="37" t="s">
        <v>435</v>
      </c>
      <c r="AQ73" s="29" t="s">
        <v>438</v>
      </c>
      <c r="AS73" s="36">
        <f>AM73+AN73</f>
        <v>0</v>
      </c>
      <c r="AT73" s="36">
        <f>G73/(100-AU73)*100</f>
        <v>0</v>
      </c>
      <c r="AU73" s="36">
        <v>0</v>
      </c>
      <c r="AV73" s="36">
        <f>L73</f>
        <v>113.32376000000001</v>
      </c>
    </row>
    <row r="74" spans="4:6" ht="12.75">
      <c r="D74" s="15" t="s">
        <v>248</v>
      </c>
      <c r="F74" s="20">
        <v>1399.75</v>
      </c>
    </row>
    <row r="75" spans="1:48" ht="12.75">
      <c r="A75" s="4" t="s">
        <v>29</v>
      </c>
      <c r="B75" s="4"/>
      <c r="C75" s="4" t="s">
        <v>119</v>
      </c>
      <c r="D75" s="4" t="s">
        <v>249</v>
      </c>
      <c r="E75" s="4" t="s">
        <v>378</v>
      </c>
      <c r="F75" s="19">
        <v>1399.75</v>
      </c>
      <c r="G75" s="19">
        <v>0</v>
      </c>
      <c r="H75" s="19">
        <f>F75*AE75</f>
        <v>0</v>
      </c>
      <c r="I75" s="19">
        <f>J75-H75</f>
        <v>0</v>
      </c>
      <c r="J75" s="19">
        <f>F75*G75</f>
        <v>0</v>
      </c>
      <c r="K75" s="19">
        <v>0.08096</v>
      </c>
      <c r="L75" s="19">
        <f>F75*K75</f>
        <v>113.32376000000001</v>
      </c>
      <c r="M75" s="32" t="s">
        <v>405</v>
      </c>
      <c r="P75" s="36">
        <f>IF(AG75="5",J75,0)</f>
        <v>0</v>
      </c>
      <c r="R75" s="36">
        <f>IF(AG75="1",H75,0)</f>
        <v>0</v>
      </c>
      <c r="S75" s="36">
        <f>IF(AG75="1",I75,0)</f>
        <v>0</v>
      </c>
      <c r="T75" s="36">
        <f>IF(AG75="7",H75,0)</f>
        <v>0</v>
      </c>
      <c r="U75" s="36">
        <f>IF(AG75="7",I75,0)</f>
        <v>0</v>
      </c>
      <c r="V75" s="36">
        <f>IF(AG75="2",H75,0)</f>
        <v>0</v>
      </c>
      <c r="W75" s="36">
        <f>IF(AG75="2",I75,0)</f>
        <v>0</v>
      </c>
      <c r="X75" s="36">
        <f>IF(AG75="0",J75,0)</f>
        <v>0</v>
      </c>
      <c r="Y75" s="29"/>
      <c r="Z75" s="19">
        <f>IF(AD75=0,J75,0)</f>
        <v>0</v>
      </c>
      <c r="AA75" s="19">
        <f>IF(AD75=15,J75,0)</f>
        <v>0</v>
      </c>
      <c r="AB75" s="19">
        <f>IF(AD75=21,J75,0)</f>
        <v>0</v>
      </c>
      <c r="AD75" s="36">
        <v>21</v>
      </c>
      <c r="AE75" s="36">
        <f>G75*0.690179772263236</f>
        <v>0</v>
      </c>
      <c r="AF75" s="36">
        <f>G75*(1-0.690179772263236)</f>
        <v>0</v>
      </c>
      <c r="AG75" s="32" t="s">
        <v>7</v>
      </c>
      <c r="AM75" s="36">
        <f>F75*AE75</f>
        <v>0</v>
      </c>
      <c r="AN75" s="36">
        <f>F75*AF75</f>
        <v>0</v>
      </c>
      <c r="AO75" s="37" t="s">
        <v>422</v>
      </c>
      <c r="AP75" s="37" t="s">
        <v>435</v>
      </c>
      <c r="AQ75" s="29" t="s">
        <v>438</v>
      </c>
      <c r="AS75" s="36">
        <f>AM75+AN75</f>
        <v>0</v>
      </c>
      <c r="AT75" s="36">
        <f>G75/(100-AU75)*100</f>
        <v>0</v>
      </c>
      <c r="AU75" s="36">
        <v>0</v>
      </c>
      <c r="AV75" s="36">
        <f>L75</f>
        <v>113.32376000000001</v>
      </c>
    </row>
    <row r="76" spans="4:6" ht="12.75">
      <c r="D76" s="15" t="s">
        <v>250</v>
      </c>
      <c r="F76" s="20">
        <v>1399.75</v>
      </c>
    </row>
    <row r="77" spans="4:6" ht="12.75">
      <c r="D77" s="15" t="s">
        <v>251</v>
      </c>
      <c r="F77" s="20">
        <v>0</v>
      </c>
    </row>
    <row r="78" spans="1:48" ht="12.75">
      <c r="A78" s="4" t="s">
        <v>30</v>
      </c>
      <c r="B78" s="4"/>
      <c r="C78" s="4" t="s">
        <v>120</v>
      </c>
      <c r="D78" s="4" t="s">
        <v>252</v>
      </c>
      <c r="E78" s="4" t="s">
        <v>378</v>
      </c>
      <c r="F78" s="19">
        <v>1399.75</v>
      </c>
      <c r="G78" s="19">
        <v>0</v>
      </c>
      <c r="H78" s="19">
        <f>F78*AE78</f>
        <v>0</v>
      </c>
      <c r="I78" s="19">
        <f>J78-H78</f>
        <v>0</v>
      </c>
      <c r="J78" s="19">
        <f>F78*G78</f>
        <v>0</v>
      </c>
      <c r="K78" s="19">
        <v>0.08096</v>
      </c>
      <c r="L78" s="19">
        <f>F78*K78</f>
        <v>113.32376000000001</v>
      </c>
      <c r="M78" s="32" t="s">
        <v>405</v>
      </c>
      <c r="P78" s="36">
        <f>IF(AG78="5",J78,0)</f>
        <v>0</v>
      </c>
      <c r="R78" s="36">
        <f>IF(AG78="1",H78,0)</f>
        <v>0</v>
      </c>
      <c r="S78" s="36">
        <f>IF(AG78="1",I78,0)</f>
        <v>0</v>
      </c>
      <c r="T78" s="36">
        <f>IF(AG78="7",H78,0)</f>
        <v>0</v>
      </c>
      <c r="U78" s="36">
        <f>IF(AG78="7",I78,0)</f>
        <v>0</v>
      </c>
      <c r="V78" s="36">
        <f>IF(AG78="2",H78,0)</f>
        <v>0</v>
      </c>
      <c r="W78" s="36">
        <f>IF(AG78="2",I78,0)</f>
        <v>0</v>
      </c>
      <c r="X78" s="36">
        <f>IF(AG78="0",J78,0)</f>
        <v>0</v>
      </c>
      <c r="Y78" s="29"/>
      <c r="Z78" s="19">
        <f>IF(AD78=0,J78,0)</f>
        <v>0</v>
      </c>
      <c r="AA78" s="19">
        <f>IF(AD78=15,J78,0)</f>
        <v>0</v>
      </c>
      <c r="AB78" s="19">
        <f>IF(AD78=21,J78,0)</f>
        <v>0</v>
      </c>
      <c r="AD78" s="36">
        <v>21</v>
      </c>
      <c r="AE78" s="36">
        <f>G78*0.690208333333333</f>
        <v>0</v>
      </c>
      <c r="AF78" s="36">
        <f>G78*(1-0.690208333333333)</f>
        <v>0</v>
      </c>
      <c r="AG78" s="32" t="s">
        <v>7</v>
      </c>
      <c r="AM78" s="36">
        <f>F78*AE78</f>
        <v>0</v>
      </c>
      <c r="AN78" s="36">
        <f>F78*AF78</f>
        <v>0</v>
      </c>
      <c r="AO78" s="37" t="s">
        <v>422</v>
      </c>
      <c r="AP78" s="37" t="s">
        <v>435</v>
      </c>
      <c r="AQ78" s="29" t="s">
        <v>438</v>
      </c>
      <c r="AS78" s="36">
        <f>AM78+AN78</f>
        <v>0</v>
      </c>
      <c r="AT78" s="36">
        <f>G78/(100-AU78)*100</f>
        <v>0</v>
      </c>
      <c r="AU78" s="36">
        <v>0</v>
      </c>
      <c r="AV78" s="36">
        <f>L78</f>
        <v>113.32376000000001</v>
      </c>
    </row>
    <row r="79" spans="4:6" ht="12.75">
      <c r="D79" s="15" t="s">
        <v>248</v>
      </c>
      <c r="F79" s="20">
        <v>1399.75</v>
      </c>
    </row>
    <row r="80" spans="1:48" ht="12.75">
      <c r="A80" s="4" t="s">
        <v>31</v>
      </c>
      <c r="B80" s="4"/>
      <c r="C80" s="4" t="s">
        <v>121</v>
      </c>
      <c r="D80" s="4" t="s">
        <v>253</v>
      </c>
      <c r="E80" s="4" t="s">
        <v>378</v>
      </c>
      <c r="F80" s="19">
        <v>1399.75</v>
      </c>
      <c r="G80" s="19">
        <v>0</v>
      </c>
      <c r="H80" s="19">
        <f>F80*AE80</f>
        <v>0</v>
      </c>
      <c r="I80" s="19">
        <f>J80-H80</f>
        <v>0</v>
      </c>
      <c r="J80" s="19">
        <f>F80*G80</f>
        <v>0</v>
      </c>
      <c r="K80" s="19">
        <v>0.08096</v>
      </c>
      <c r="L80" s="19">
        <f>F80*K80</f>
        <v>113.32376000000001</v>
      </c>
      <c r="M80" s="32" t="s">
        <v>405</v>
      </c>
      <c r="P80" s="36">
        <f>IF(AG80="5",J80,0)</f>
        <v>0</v>
      </c>
      <c r="R80" s="36">
        <f>IF(AG80="1",H80,0)</f>
        <v>0</v>
      </c>
      <c r="S80" s="36">
        <f>IF(AG80="1",I80,0)</f>
        <v>0</v>
      </c>
      <c r="T80" s="36">
        <f>IF(AG80="7",H80,0)</f>
        <v>0</v>
      </c>
      <c r="U80" s="36">
        <f>IF(AG80="7",I80,0)</f>
        <v>0</v>
      </c>
      <c r="V80" s="36">
        <f>IF(AG80="2",H80,0)</f>
        <v>0</v>
      </c>
      <c r="W80" s="36">
        <f>IF(AG80="2",I80,0)</f>
        <v>0</v>
      </c>
      <c r="X80" s="36">
        <f>IF(AG80="0",J80,0)</f>
        <v>0</v>
      </c>
      <c r="Y80" s="29"/>
      <c r="Z80" s="19">
        <f>IF(AD80=0,J80,0)</f>
        <v>0</v>
      </c>
      <c r="AA80" s="19">
        <f>IF(AD80=15,J80,0)</f>
        <v>0</v>
      </c>
      <c r="AB80" s="19">
        <f>IF(AD80=21,J80,0)</f>
        <v>0</v>
      </c>
      <c r="AD80" s="36">
        <v>21</v>
      </c>
      <c r="AE80" s="36">
        <f>G80*0.690425531914894</f>
        <v>0</v>
      </c>
      <c r="AF80" s="36">
        <f>G80*(1-0.690425531914894)</f>
        <v>0</v>
      </c>
      <c r="AG80" s="32" t="s">
        <v>7</v>
      </c>
      <c r="AM80" s="36">
        <f>F80*AE80</f>
        <v>0</v>
      </c>
      <c r="AN80" s="36">
        <f>F80*AF80</f>
        <v>0</v>
      </c>
      <c r="AO80" s="37" t="s">
        <v>422</v>
      </c>
      <c r="AP80" s="37" t="s">
        <v>435</v>
      </c>
      <c r="AQ80" s="29" t="s">
        <v>438</v>
      </c>
      <c r="AS80" s="36">
        <f>AM80+AN80</f>
        <v>0</v>
      </c>
      <c r="AT80" s="36">
        <f>G80/(100-AU80)*100</f>
        <v>0</v>
      </c>
      <c r="AU80" s="36">
        <v>0</v>
      </c>
      <c r="AV80" s="36">
        <f>L80</f>
        <v>113.32376000000001</v>
      </c>
    </row>
    <row r="81" spans="4:6" ht="12.75">
      <c r="D81" s="15" t="s">
        <v>248</v>
      </c>
      <c r="F81" s="20">
        <v>1399.75</v>
      </c>
    </row>
    <row r="82" spans="1:48" ht="12.75">
      <c r="A82" s="4" t="s">
        <v>32</v>
      </c>
      <c r="B82" s="4"/>
      <c r="C82" s="4" t="s">
        <v>122</v>
      </c>
      <c r="D82" s="4" t="s">
        <v>254</v>
      </c>
      <c r="E82" s="4" t="s">
        <v>378</v>
      </c>
      <c r="F82" s="19">
        <v>1399.75</v>
      </c>
      <c r="G82" s="19">
        <v>0</v>
      </c>
      <c r="H82" s="19">
        <f>F82*AE82</f>
        <v>0</v>
      </c>
      <c r="I82" s="19">
        <f>J82-H82</f>
        <v>0</v>
      </c>
      <c r="J82" s="19">
        <f>F82*G82</f>
        <v>0</v>
      </c>
      <c r="K82" s="19">
        <v>0.08096</v>
      </c>
      <c r="L82" s="19">
        <f>F82*K82</f>
        <v>113.32376000000001</v>
      </c>
      <c r="M82" s="32" t="s">
        <v>405</v>
      </c>
      <c r="P82" s="36">
        <f>IF(AG82="5",J82,0)</f>
        <v>0</v>
      </c>
      <c r="R82" s="36">
        <f>IF(AG82="1",H82,0)</f>
        <v>0</v>
      </c>
      <c r="S82" s="36">
        <f>IF(AG82="1",I82,0)</f>
        <v>0</v>
      </c>
      <c r="T82" s="36">
        <f>IF(AG82="7",H82,0)</f>
        <v>0</v>
      </c>
      <c r="U82" s="36">
        <f>IF(AG82="7",I82,0)</f>
        <v>0</v>
      </c>
      <c r="V82" s="36">
        <f>IF(AG82="2",H82,0)</f>
        <v>0</v>
      </c>
      <c r="W82" s="36">
        <f>IF(AG82="2",I82,0)</f>
        <v>0</v>
      </c>
      <c r="X82" s="36">
        <f>IF(AG82="0",J82,0)</f>
        <v>0</v>
      </c>
      <c r="Y82" s="29"/>
      <c r="Z82" s="19">
        <f>IF(AD82=0,J82,0)</f>
        <v>0</v>
      </c>
      <c r="AA82" s="19">
        <f>IF(AD82=15,J82,0)</f>
        <v>0</v>
      </c>
      <c r="AB82" s="19">
        <f>IF(AD82=21,J82,0)</f>
        <v>0</v>
      </c>
      <c r="AD82" s="36">
        <v>21</v>
      </c>
      <c r="AE82" s="36">
        <f>G82*0.69033264033264</f>
        <v>0</v>
      </c>
      <c r="AF82" s="36">
        <f>G82*(1-0.69033264033264)</f>
        <v>0</v>
      </c>
      <c r="AG82" s="32" t="s">
        <v>7</v>
      </c>
      <c r="AM82" s="36">
        <f>F82*AE82</f>
        <v>0</v>
      </c>
      <c r="AN82" s="36">
        <f>F82*AF82</f>
        <v>0</v>
      </c>
      <c r="AO82" s="37" t="s">
        <v>422</v>
      </c>
      <c r="AP82" s="37" t="s">
        <v>435</v>
      </c>
      <c r="AQ82" s="29" t="s">
        <v>438</v>
      </c>
      <c r="AS82" s="36">
        <f>AM82+AN82</f>
        <v>0</v>
      </c>
      <c r="AT82" s="36">
        <f>G82/(100-AU82)*100</f>
        <v>0</v>
      </c>
      <c r="AU82" s="36">
        <v>0</v>
      </c>
      <c r="AV82" s="36">
        <f>L82</f>
        <v>113.32376000000001</v>
      </c>
    </row>
    <row r="83" spans="4:6" ht="12.75">
      <c r="D83" s="15" t="s">
        <v>248</v>
      </c>
      <c r="F83" s="20">
        <v>1399.75</v>
      </c>
    </row>
    <row r="84" spans="1:48" ht="12.75">
      <c r="A84" s="4" t="s">
        <v>33</v>
      </c>
      <c r="B84" s="4"/>
      <c r="C84" s="4" t="s">
        <v>123</v>
      </c>
      <c r="D84" s="4" t="s">
        <v>255</v>
      </c>
      <c r="E84" s="4" t="s">
        <v>378</v>
      </c>
      <c r="F84" s="19">
        <v>1082.325</v>
      </c>
      <c r="G84" s="19">
        <v>0</v>
      </c>
      <c r="H84" s="19">
        <f>F84*AE84</f>
        <v>0</v>
      </c>
      <c r="I84" s="19">
        <f>J84-H84</f>
        <v>0</v>
      </c>
      <c r="J84" s="19">
        <f>F84*G84</f>
        <v>0</v>
      </c>
      <c r="K84" s="19">
        <v>0.441</v>
      </c>
      <c r="L84" s="19">
        <f>F84*K84</f>
        <v>477.30532500000004</v>
      </c>
      <c r="M84" s="32" t="s">
        <v>405</v>
      </c>
      <c r="P84" s="36">
        <f>IF(AG84="5",J84,0)</f>
        <v>0</v>
      </c>
      <c r="R84" s="36">
        <f>IF(AG84="1",H84,0)</f>
        <v>0</v>
      </c>
      <c r="S84" s="36">
        <f>IF(AG84="1",I84,0)</f>
        <v>0</v>
      </c>
      <c r="T84" s="36">
        <f>IF(AG84="7",H84,0)</f>
        <v>0</v>
      </c>
      <c r="U84" s="36">
        <f>IF(AG84="7",I84,0)</f>
        <v>0</v>
      </c>
      <c r="V84" s="36">
        <f>IF(AG84="2",H84,0)</f>
        <v>0</v>
      </c>
      <c r="W84" s="36">
        <f>IF(AG84="2",I84,0)</f>
        <v>0</v>
      </c>
      <c r="X84" s="36">
        <f>IF(AG84="0",J84,0)</f>
        <v>0</v>
      </c>
      <c r="Y84" s="29"/>
      <c r="Z84" s="19">
        <f>IF(AD84=0,J84,0)</f>
        <v>0</v>
      </c>
      <c r="AA84" s="19">
        <f>IF(AD84=15,J84,0)</f>
        <v>0</v>
      </c>
      <c r="AB84" s="19">
        <f>IF(AD84=21,J84,0)</f>
        <v>0</v>
      </c>
      <c r="AD84" s="36">
        <v>21</v>
      </c>
      <c r="AE84" s="36">
        <f>G84*0.866464269675769</f>
        <v>0</v>
      </c>
      <c r="AF84" s="36">
        <f>G84*(1-0.866464269675769)</f>
        <v>0</v>
      </c>
      <c r="AG84" s="32" t="s">
        <v>7</v>
      </c>
      <c r="AM84" s="36">
        <f>F84*AE84</f>
        <v>0</v>
      </c>
      <c r="AN84" s="36">
        <f>F84*AF84</f>
        <v>0</v>
      </c>
      <c r="AO84" s="37" t="s">
        <v>422</v>
      </c>
      <c r="AP84" s="37" t="s">
        <v>435</v>
      </c>
      <c r="AQ84" s="29" t="s">
        <v>438</v>
      </c>
      <c r="AS84" s="36">
        <f>AM84+AN84</f>
        <v>0</v>
      </c>
      <c r="AT84" s="36">
        <f>G84/(100-AU84)*100</f>
        <v>0</v>
      </c>
      <c r="AU84" s="36">
        <v>0</v>
      </c>
      <c r="AV84" s="36">
        <f>L84</f>
        <v>477.30532500000004</v>
      </c>
    </row>
    <row r="85" spans="4:6" ht="12.75">
      <c r="D85" s="15" t="s">
        <v>256</v>
      </c>
      <c r="F85" s="20">
        <v>673.225</v>
      </c>
    </row>
    <row r="86" spans="4:6" ht="12.75">
      <c r="D86" s="15" t="s">
        <v>257</v>
      </c>
      <c r="F86" s="20">
        <v>78.4</v>
      </c>
    </row>
    <row r="87" spans="4:6" ht="12.75">
      <c r="D87" s="15" t="s">
        <v>258</v>
      </c>
      <c r="F87" s="20">
        <v>269.5</v>
      </c>
    </row>
    <row r="88" spans="4:6" ht="12.75">
      <c r="D88" s="15" t="s">
        <v>259</v>
      </c>
      <c r="F88" s="20">
        <v>39.2</v>
      </c>
    </row>
    <row r="89" spans="4:6" ht="12.75">
      <c r="D89" s="15" t="s">
        <v>260</v>
      </c>
      <c r="F89" s="20">
        <v>22</v>
      </c>
    </row>
    <row r="90" spans="1:48" ht="12.75">
      <c r="A90" s="4" t="s">
        <v>34</v>
      </c>
      <c r="B90" s="4"/>
      <c r="C90" s="4" t="s">
        <v>124</v>
      </c>
      <c r="D90" s="4" t="s">
        <v>261</v>
      </c>
      <c r="E90" s="4" t="s">
        <v>378</v>
      </c>
      <c r="F90" s="19">
        <v>973</v>
      </c>
      <c r="G90" s="19">
        <v>0</v>
      </c>
      <c r="H90" s="19">
        <f>F90*AE90</f>
        <v>0</v>
      </c>
      <c r="I90" s="19">
        <f>J90-H90</f>
        <v>0</v>
      </c>
      <c r="J90" s="19">
        <f>F90*G90</f>
        <v>0</v>
      </c>
      <c r="K90" s="19">
        <v>0.55125</v>
      </c>
      <c r="L90" s="19">
        <f>F90*K90</f>
        <v>536.36625</v>
      </c>
      <c r="M90" s="32" t="s">
        <v>405</v>
      </c>
      <c r="P90" s="36">
        <f>IF(AG90="5",J90,0)</f>
        <v>0</v>
      </c>
      <c r="R90" s="36">
        <f>IF(AG90="1",H90,0)</f>
        <v>0</v>
      </c>
      <c r="S90" s="36">
        <f>IF(AG90="1",I90,0)</f>
        <v>0</v>
      </c>
      <c r="T90" s="36">
        <f>IF(AG90="7",H90,0)</f>
        <v>0</v>
      </c>
      <c r="U90" s="36">
        <f>IF(AG90="7",I90,0)</f>
        <v>0</v>
      </c>
      <c r="V90" s="36">
        <f>IF(AG90="2",H90,0)</f>
        <v>0</v>
      </c>
      <c r="W90" s="36">
        <f>IF(AG90="2",I90,0)</f>
        <v>0</v>
      </c>
      <c r="X90" s="36">
        <f>IF(AG90="0",J90,0)</f>
        <v>0</v>
      </c>
      <c r="Y90" s="29"/>
      <c r="Z90" s="19">
        <f>IF(AD90=0,J90,0)</f>
        <v>0</v>
      </c>
      <c r="AA90" s="19">
        <f>IF(AD90=15,J90,0)</f>
        <v>0</v>
      </c>
      <c r="AB90" s="19">
        <f>IF(AD90=21,J90,0)</f>
        <v>0</v>
      </c>
      <c r="AD90" s="36">
        <v>21</v>
      </c>
      <c r="AE90" s="36">
        <f>G90*0.883897637795276</f>
        <v>0</v>
      </c>
      <c r="AF90" s="36">
        <f>G90*(1-0.883897637795276)</f>
        <v>0</v>
      </c>
      <c r="AG90" s="32" t="s">
        <v>7</v>
      </c>
      <c r="AM90" s="36">
        <f>F90*AE90</f>
        <v>0</v>
      </c>
      <c r="AN90" s="36">
        <f>F90*AF90</f>
        <v>0</v>
      </c>
      <c r="AO90" s="37" t="s">
        <v>422</v>
      </c>
      <c r="AP90" s="37" t="s">
        <v>435</v>
      </c>
      <c r="AQ90" s="29" t="s">
        <v>438</v>
      </c>
      <c r="AS90" s="36">
        <f>AM90+AN90</f>
        <v>0</v>
      </c>
      <c r="AT90" s="36">
        <f>G90/(100-AU90)*100</f>
        <v>0</v>
      </c>
      <c r="AU90" s="36">
        <v>0</v>
      </c>
      <c r="AV90" s="36">
        <f>L90</f>
        <v>536.36625</v>
      </c>
    </row>
    <row r="91" spans="4:6" ht="12.75">
      <c r="D91" s="15" t="s">
        <v>262</v>
      </c>
      <c r="F91" s="20">
        <v>973</v>
      </c>
    </row>
    <row r="92" spans="1:48" ht="12.75">
      <c r="A92" s="4" t="s">
        <v>35</v>
      </c>
      <c r="B92" s="4"/>
      <c r="C92" s="4" t="s">
        <v>125</v>
      </c>
      <c r="D92" s="4" t="s">
        <v>263</v>
      </c>
      <c r="E92" s="4" t="s">
        <v>378</v>
      </c>
      <c r="F92" s="19">
        <v>1082.325</v>
      </c>
      <c r="G92" s="19">
        <v>0</v>
      </c>
      <c r="H92" s="19">
        <f>F92*AE92</f>
        <v>0</v>
      </c>
      <c r="I92" s="19">
        <f>J92-H92</f>
        <v>0</v>
      </c>
      <c r="J92" s="19">
        <f>F92*G92</f>
        <v>0</v>
      </c>
      <c r="K92" s="19">
        <v>0.15826</v>
      </c>
      <c r="L92" s="19">
        <f>F92*K92</f>
        <v>171.2887545</v>
      </c>
      <c r="M92" s="32" t="s">
        <v>405</v>
      </c>
      <c r="P92" s="36">
        <f>IF(AG92="5",J92,0)</f>
        <v>0</v>
      </c>
      <c r="R92" s="36">
        <f>IF(AG92="1",H92,0)</f>
        <v>0</v>
      </c>
      <c r="S92" s="36">
        <f>IF(AG92="1",I92,0)</f>
        <v>0</v>
      </c>
      <c r="T92" s="36">
        <f>IF(AG92="7",H92,0)</f>
        <v>0</v>
      </c>
      <c r="U92" s="36">
        <f>IF(AG92="7",I92,0)</f>
        <v>0</v>
      </c>
      <c r="V92" s="36">
        <f>IF(AG92="2",H92,0)</f>
        <v>0</v>
      </c>
      <c r="W92" s="36">
        <f>IF(AG92="2",I92,0)</f>
        <v>0</v>
      </c>
      <c r="X92" s="36">
        <f>IF(AG92="0",J92,0)</f>
        <v>0</v>
      </c>
      <c r="Y92" s="29"/>
      <c r="Z92" s="19">
        <f>IF(AD92=0,J92,0)</f>
        <v>0</v>
      </c>
      <c r="AA92" s="19">
        <f>IF(AD92=15,J92,0)</f>
        <v>0</v>
      </c>
      <c r="AB92" s="19">
        <f>IF(AD92=21,J92,0)</f>
        <v>0</v>
      </c>
      <c r="AD92" s="36">
        <v>21</v>
      </c>
      <c r="AE92" s="36">
        <f>G92*0.875087169498748</f>
        <v>0</v>
      </c>
      <c r="AF92" s="36">
        <f>G92*(1-0.875087169498748)</f>
        <v>0</v>
      </c>
      <c r="AG92" s="32" t="s">
        <v>7</v>
      </c>
      <c r="AM92" s="36">
        <f>F92*AE92</f>
        <v>0</v>
      </c>
      <c r="AN92" s="36">
        <f>F92*AF92</f>
        <v>0</v>
      </c>
      <c r="AO92" s="37" t="s">
        <v>422</v>
      </c>
      <c r="AP92" s="37" t="s">
        <v>435</v>
      </c>
      <c r="AQ92" s="29" t="s">
        <v>438</v>
      </c>
      <c r="AS92" s="36">
        <f>AM92+AN92</f>
        <v>0</v>
      </c>
      <c r="AT92" s="36">
        <f>G92/(100-AU92)*100</f>
        <v>0</v>
      </c>
      <c r="AU92" s="36">
        <v>0</v>
      </c>
      <c r="AV92" s="36">
        <f>L92</f>
        <v>171.2887545</v>
      </c>
    </row>
    <row r="93" spans="4:6" ht="12.75">
      <c r="D93" s="15" t="s">
        <v>264</v>
      </c>
      <c r="F93" s="20">
        <v>1082.325</v>
      </c>
    </row>
    <row r="94" spans="1:48" ht="12.75">
      <c r="A94" s="4" t="s">
        <v>36</v>
      </c>
      <c r="B94" s="4"/>
      <c r="C94" s="4" t="s">
        <v>126</v>
      </c>
      <c r="D94" s="4" t="s">
        <v>265</v>
      </c>
      <c r="E94" s="4" t="s">
        <v>378</v>
      </c>
      <c r="F94" s="19">
        <v>1082.325</v>
      </c>
      <c r="G94" s="19">
        <v>0</v>
      </c>
      <c r="H94" s="19">
        <f>F94*AE94</f>
        <v>0</v>
      </c>
      <c r="I94" s="19">
        <f>J94-H94</f>
        <v>0</v>
      </c>
      <c r="J94" s="19">
        <f>F94*G94</f>
        <v>0</v>
      </c>
      <c r="K94" s="19">
        <v>0.38314</v>
      </c>
      <c r="L94" s="19">
        <f>F94*K94</f>
        <v>414.6820005</v>
      </c>
      <c r="M94" s="32" t="s">
        <v>405</v>
      </c>
      <c r="P94" s="36">
        <f>IF(AG94="5",J94,0)</f>
        <v>0</v>
      </c>
      <c r="R94" s="36">
        <f>IF(AG94="1",H94,0)</f>
        <v>0</v>
      </c>
      <c r="S94" s="36">
        <f>IF(AG94="1",I94,0)</f>
        <v>0</v>
      </c>
      <c r="T94" s="36">
        <f>IF(AG94="7",H94,0)</f>
        <v>0</v>
      </c>
      <c r="U94" s="36">
        <f>IF(AG94="7",I94,0)</f>
        <v>0</v>
      </c>
      <c r="V94" s="36">
        <f>IF(AG94="2",H94,0)</f>
        <v>0</v>
      </c>
      <c r="W94" s="36">
        <f>IF(AG94="2",I94,0)</f>
        <v>0</v>
      </c>
      <c r="X94" s="36">
        <f>IF(AG94="0",J94,0)</f>
        <v>0</v>
      </c>
      <c r="Y94" s="29"/>
      <c r="Z94" s="19">
        <f>IF(AD94=0,J94,0)</f>
        <v>0</v>
      </c>
      <c r="AA94" s="19">
        <f>IF(AD94=15,J94,0)</f>
        <v>0</v>
      </c>
      <c r="AB94" s="19">
        <f>IF(AD94=21,J94,0)</f>
        <v>0</v>
      </c>
      <c r="AD94" s="36">
        <v>21</v>
      </c>
      <c r="AE94" s="36">
        <f>G94*0.872950176119715</f>
        <v>0</v>
      </c>
      <c r="AF94" s="36">
        <f>G94*(1-0.872950176119715)</f>
        <v>0</v>
      </c>
      <c r="AG94" s="32" t="s">
        <v>7</v>
      </c>
      <c r="AM94" s="36">
        <f>F94*AE94</f>
        <v>0</v>
      </c>
      <c r="AN94" s="36">
        <f>F94*AF94</f>
        <v>0</v>
      </c>
      <c r="AO94" s="37" t="s">
        <v>422</v>
      </c>
      <c r="AP94" s="37" t="s">
        <v>435</v>
      </c>
      <c r="AQ94" s="29" t="s">
        <v>438</v>
      </c>
      <c r="AS94" s="36">
        <f>AM94+AN94</f>
        <v>0</v>
      </c>
      <c r="AT94" s="36">
        <f>G94/(100-AU94)*100</f>
        <v>0</v>
      </c>
      <c r="AU94" s="36">
        <v>0</v>
      </c>
      <c r="AV94" s="36">
        <f>L94</f>
        <v>414.6820005</v>
      </c>
    </row>
    <row r="95" spans="4:6" ht="12.75">
      <c r="D95" s="15" t="s">
        <v>264</v>
      </c>
      <c r="F95" s="20">
        <v>1082.325</v>
      </c>
    </row>
    <row r="96" spans="1:48" ht="12.75">
      <c r="A96" s="6" t="s">
        <v>37</v>
      </c>
      <c r="B96" s="6"/>
      <c r="C96" s="6" t="s">
        <v>127</v>
      </c>
      <c r="D96" s="6" t="s">
        <v>266</v>
      </c>
      <c r="E96" s="6" t="s">
        <v>378</v>
      </c>
      <c r="F96" s="21">
        <v>1399.75</v>
      </c>
      <c r="G96" s="21">
        <v>0</v>
      </c>
      <c r="H96" s="21">
        <f>F96*AE96</f>
        <v>0</v>
      </c>
      <c r="I96" s="21">
        <f>J96-H96</f>
        <v>0</v>
      </c>
      <c r="J96" s="21">
        <f>F96*G96</f>
        <v>0</v>
      </c>
      <c r="K96" s="21">
        <v>0.0005</v>
      </c>
      <c r="L96" s="21">
        <f>F96*K96</f>
        <v>0.699875</v>
      </c>
      <c r="M96" s="33" t="s">
        <v>405</v>
      </c>
      <c r="P96" s="36">
        <f>IF(AG96="5",J96,0)</f>
        <v>0</v>
      </c>
      <c r="R96" s="36">
        <f>IF(AG96="1",H96,0)</f>
        <v>0</v>
      </c>
      <c r="S96" s="36">
        <f>IF(AG96="1",I96,0)</f>
        <v>0</v>
      </c>
      <c r="T96" s="36">
        <f>IF(AG96="7",H96,0)</f>
        <v>0</v>
      </c>
      <c r="U96" s="36">
        <f>IF(AG96="7",I96,0)</f>
        <v>0</v>
      </c>
      <c r="V96" s="36">
        <f>IF(AG96="2",H96,0)</f>
        <v>0</v>
      </c>
      <c r="W96" s="36">
        <f>IF(AG96="2",I96,0)</f>
        <v>0</v>
      </c>
      <c r="X96" s="36">
        <f>IF(AG96="0",J96,0)</f>
        <v>0</v>
      </c>
      <c r="Y96" s="29"/>
      <c r="Z96" s="21">
        <f>IF(AD96=0,J96,0)</f>
        <v>0</v>
      </c>
      <c r="AA96" s="21">
        <f>IF(AD96=15,J96,0)</f>
        <v>0</v>
      </c>
      <c r="AB96" s="21">
        <f>IF(AD96=21,J96,0)</f>
        <v>0</v>
      </c>
      <c r="AD96" s="36">
        <v>21</v>
      </c>
      <c r="AE96" s="36">
        <f>G96*1</f>
        <v>0</v>
      </c>
      <c r="AF96" s="36">
        <f>G96*(1-1)</f>
        <v>0</v>
      </c>
      <c r="AG96" s="33" t="s">
        <v>7</v>
      </c>
      <c r="AM96" s="36">
        <f>F96*AE96</f>
        <v>0</v>
      </c>
      <c r="AN96" s="36">
        <f>F96*AF96</f>
        <v>0</v>
      </c>
      <c r="AO96" s="37" t="s">
        <v>422</v>
      </c>
      <c r="AP96" s="37" t="s">
        <v>435</v>
      </c>
      <c r="AQ96" s="29" t="s">
        <v>438</v>
      </c>
      <c r="AS96" s="36">
        <f>AM96+AN96</f>
        <v>0</v>
      </c>
      <c r="AT96" s="36">
        <f>G96/(100-AU96)*100</f>
        <v>0</v>
      </c>
      <c r="AU96" s="36">
        <v>0</v>
      </c>
      <c r="AV96" s="36">
        <f>L96</f>
        <v>0.699875</v>
      </c>
    </row>
    <row r="97" spans="4:6" ht="12.75">
      <c r="D97" s="15" t="s">
        <v>248</v>
      </c>
      <c r="F97" s="20">
        <v>1399.75</v>
      </c>
    </row>
    <row r="98" spans="1:37" ht="12.75">
      <c r="A98" s="5"/>
      <c r="B98" s="13"/>
      <c r="C98" s="13" t="s">
        <v>63</v>
      </c>
      <c r="D98" s="13" t="s">
        <v>267</v>
      </c>
      <c r="E98" s="5" t="s">
        <v>6</v>
      </c>
      <c r="F98" s="5" t="s">
        <v>6</v>
      </c>
      <c r="G98" s="5" t="s">
        <v>6</v>
      </c>
      <c r="H98" s="39">
        <f>SUM(H99:H101)</f>
        <v>0</v>
      </c>
      <c r="I98" s="39">
        <f>SUM(I99:I101)</f>
        <v>0</v>
      </c>
      <c r="J98" s="39">
        <f>H98+I98</f>
        <v>0</v>
      </c>
      <c r="K98" s="29"/>
      <c r="L98" s="39">
        <f>SUM(L99:L101)</f>
        <v>112.63756275000001</v>
      </c>
      <c r="M98" s="29"/>
      <c r="Y98" s="29"/>
      <c r="AI98" s="39">
        <f>SUM(Z99:Z101)</f>
        <v>0</v>
      </c>
      <c r="AJ98" s="39">
        <f>SUM(AA99:AA101)</f>
        <v>0</v>
      </c>
      <c r="AK98" s="39">
        <f>SUM(AB99:AB101)</f>
        <v>0</v>
      </c>
    </row>
    <row r="99" spans="1:48" ht="12.75">
      <c r="A99" s="4" t="s">
        <v>38</v>
      </c>
      <c r="B99" s="4"/>
      <c r="C99" s="4" t="s">
        <v>128</v>
      </c>
      <c r="D99" s="4" t="s">
        <v>268</v>
      </c>
      <c r="E99" s="4" t="s">
        <v>378</v>
      </c>
      <c r="F99" s="19">
        <v>1082.325</v>
      </c>
      <c r="G99" s="19">
        <v>0</v>
      </c>
      <c r="H99" s="19">
        <f>F99*AE99</f>
        <v>0</v>
      </c>
      <c r="I99" s="19">
        <f>J99-H99</f>
        <v>0</v>
      </c>
      <c r="J99" s="19">
        <f>F99*G99</f>
        <v>0</v>
      </c>
      <c r="K99" s="19">
        <v>0.00034</v>
      </c>
      <c r="L99" s="19">
        <f>F99*K99</f>
        <v>0.36799050000000005</v>
      </c>
      <c r="M99" s="32" t="s">
        <v>405</v>
      </c>
      <c r="P99" s="36">
        <f>IF(AG99="5",J99,0)</f>
        <v>0</v>
      </c>
      <c r="R99" s="36">
        <f>IF(AG99="1",H99,0)</f>
        <v>0</v>
      </c>
      <c r="S99" s="36">
        <f>IF(AG99="1",I99,0)</f>
        <v>0</v>
      </c>
      <c r="T99" s="36">
        <f>IF(AG99="7",H99,0)</f>
        <v>0</v>
      </c>
      <c r="U99" s="36">
        <f>IF(AG99="7",I99,0)</f>
        <v>0</v>
      </c>
      <c r="V99" s="36">
        <f>IF(AG99="2",H99,0)</f>
        <v>0</v>
      </c>
      <c r="W99" s="36">
        <f>IF(AG99="2",I99,0)</f>
        <v>0</v>
      </c>
      <c r="X99" s="36">
        <f>IF(AG99="0",J99,0)</f>
        <v>0</v>
      </c>
      <c r="Y99" s="29"/>
      <c r="Z99" s="19">
        <f>IF(AD99=0,J99,0)</f>
        <v>0</v>
      </c>
      <c r="AA99" s="19">
        <f>IF(AD99=15,J99,0)</f>
        <v>0</v>
      </c>
      <c r="AB99" s="19">
        <f>IF(AD99=21,J99,0)</f>
        <v>0</v>
      </c>
      <c r="AD99" s="36">
        <v>21</v>
      </c>
      <c r="AE99" s="36">
        <f>G99*0.345251352096304</f>
        <v>0</v>
      </c>
      <c r="AF99" s="36">
        <f>G99*(1-0.345251352096304)</f>
        <v>0</v>
      </c>
      <c r="AG99" s="32" t="s">
        <v>7</v>
      </c>
      <c r="AM99" s="36">
        <f>F99*AE99</f>
        <v>0</v>
      </c>
      <c r="AN99" s="36">
        <f>F99*AF99</f>
        <v>0</v>
      </c>
      <c r="AO99" s="37" t="s">
        <v>423</v>
      </c>
      <c r="AP99" s="37" t="s">
        <v>435</v>
      </c>
      <c r="AQ99" s="29" t="s">
        <v>438</v>
      </c>
      <c r="AS99" s="36">
        <f>AM99+AN99</f>
        <v>0</v>
      </c>
      <c r="AT99" s="36">
        <f>G99/(100-AU99)*100</f>
        <v>0</v>
      </c>
      <c r="AU99" s="36">
        <v>0</v>
      </c>
      <c r="AV99" s="36">
        <f>L99</f>
        <v>0.36799050000000005</v>
      </c>
    </row>
    <row r="100" spans="4:6" ht="12.75">
      <c r="D100" s="15" t="s">
        <v>264</v>
      </c>
      <c r="F100" s="20">
        <v>1082.325</v>
      </c>
    </row>
    <row r="101" spans="1:48" ht="12.75">
      <c r="A101" s="4" t="s">
        <v>39</v>
      </c>
      <c r="B101" s="4"/>
      <c r="C101" s="4" t="s">
        <v>129</v>
      </c>
      <c r="D101" s="4" t="s">
        <v>269</v>
      </c>
      <c r="E101" s="4" t="s">
        <v>378</v>
      </c>
      <c r="F101" s="19">
        <v>1082.325</v>
      </c>
      <c r="G101" s="19">
        <v>0</v>
      </c>
      <c r="H101" s="19">
        <f>F101*AE101</f>
        <v>0</v>
      </c>
      <c r="I101" s="19">
        <f>J101-H101</f>
        <v>0</v>
      </c>
      <c r="J101" s="19">
        <f>F101*G101</f>
        <v>0</v>
      </c>
      <c r="K101" s="19">
        <v>0.10373</v>
      </c>
      <c r="L101" s="19">
        <f>F101*K101</f>
        <v>112.26957225000001</v>
      </c>
      <c r="M101" s="32" t="s">
        <v>405</v>
      </c>
      <c r="P101" s="36">
        <f>IF(AG101="5",J101,0)</f>
        <v>0</v>
      </c>
      <c r="R101" s="36">
        <f>IF(AG101="1",H101,0)</f>
        <v>0</v>
      </c>
      <c r="S101" s="36">
        <f>IF(AG101="1",I101,0)</f>
        <v>0</v>
      </c>
      <c r="T101" s="36">
        <f>IF(AG101="7",H101,0)</f>
        <v>0</v>
      </c>
      <c r="U101" s="36">
        <f>IF(AG101="7",I101,0)</f>
        <v>0</v>
      </c>
      <c r="V101" s="36">
        <f>IF(AG101="2",H101,0)</f>
        <v>0</v>
      </c>
      <c r="W101" s="36">
        <f>IF(AG101="2",I101,0)</f>
        <v>0</v>
      </c>
      <c r="X101" s="36">
        <f>IF(AG101="0",J101,0)</f>
        <v>0</v>
      </c>
      <c r="Y101" s="29"/>
      <c r="Z101" s="19">
        <f>IF(AD101=0,J101,0)</f>
        <v>0</v>
      </c>
      <c r="AA101" s="19">
        <f>IF(AD101=15,J101,0)</f>
        <v>0</v>
      </c>
      <c r="AB101" s="19">
        <f>IF(AD101=21,J101,0)</f>
        <v>0</v>
      </c>
      <c r="AD101" s="36">
        <v>21</v>
      </c>
      <c r="AE101" s="36">
        <f>G101*0.667622826904039</f>
        <v>0</v>
      </c>
      <c r="AF101" s="36">
        <f>G101*(1-0.667622826904039)</f>
        <v>0</v>
      </c>
      <c r="AG101" s="32" t="s">
        <v>7</v>
      </c>
      <c r="AM101" s="36">
        <f>F101*AE101</f>
        <v>0</v>
      </c>
      <c r="AN101" s="36">
        <f>F101*AF101</f>
        <v>0</v>
      </c>
      <c r="AO101" s="37" t="s">
        <v>423</v>
      </c>
      <c r="AP101" s="37" t="s">
        <v>435</v>
      </c>
      <c r="AQ101" s="29" t="s">
        <v>438</v>
      </c>
      <c r="AS101" s="36">
        <f>AM101+AN101</f>
        <v>0</v>
      </c>
      <c r="AT101" s="36">
        <f>G101/(100-AU101)*100</f>
        <v>0</v>
      </c>
      <c r="AU101" s="36">
        <v>0</v>
      </c>
      <c r="AV101" s="36">
        <f>L101</f>
        <v>112.26957225000001</v>
      </c>
    </row>
    <row r="102" spans="4:6" ht="12.75">
      <c r="D102" s="15" t="s">
        <v>264</v>
      </c>
      <c r="F102" s="20">
        <v>1082.325</v>
      </c>
    </row>
    <row r="103" spans="1:37" ht="12.75">
      <c r="A103" s="5"/>
      <c r="B103" s="13"/>
      <c r="C103" s="13" t="s">
        <v>65</v>
      </c>
      <c r="D103" s="13" t="s">
        <v>270</v>
      </c>
      <c r="E103" s="5" t="s">
        <v>6</v>
      </c>
      <c r="F103" s="5" t="s">
        <v>6</v>
      </c>
      <c r="G103" s="5" t="s">
        <v>6</v>
      </c>
      <c r="H103" s="39">
        <f>SUM(H104:H116)</f>
        <v>0</v>
      </c>
      <c r="I103" s="39">
        <f>SUM(I104:I116)</f>
        <v>0</v>
      </c>
      <c r="J103" s="39">
        <f>H103+I103</f>
        <v>0</v>
      </c>
      <c r="K103" s="29"/>
      <c r="L103" s="39">
        <f>SUM(L104:L116)</f>
        <v>278.91666</v>
      </c>
      <c r="M103" s="29"/>
      <c r="Y103" s="29"/>
      <c r="AI103" s="39">
        <f>SUM(Z104:Z116)</f>
        <v>0</v>
      </c>
      <c r="AJ103" s="39">
        <f>SUM(AA104:AA116)</f>
        <v>0</v>
      </c>
      <c r="AK103" s="39">
        <f>SUM(AB104:AB116)</f>
        <v>0</v>
      </c>
    </row>
    <row r="104" spans="1:48" ht="12.75">
      <c r="A104" s="4" t="s">
        <v>40</v>
      </c>
      <c r="B104" s="4"/>
      <c r="C104" s="4" t="s">
        <v>130</v>
      </c>
      <c r="D104" s="4" t="s">
        <v>271</v>
      </c>
      <c r="E104" s="4" t="s">
        <v>378</v>
      </c>
      <c r="F104" s="19">
        <v>1399.75</v>
      </c>
      <c r="G104" s="19">
        <v>0</v>
      </c>
      <c r="H104" s="19">
        <f>F104*AE104</f>
        <v>0</v>
      </c>
      <c r="I104" s="19">
        <f>J104-H104</f>
        <v>0</v>
      </c>
      <c r="J104" s="19">
        <f>F104*G104</f>
        <v>0</v>
      </c>
      <c r="K104" s="19">
        <v>0.0315</v>
      </c>
      <c r="L104" s="19">
        <f>F104*K104</f>
        <v>44.092125</v>
      </c>
      <c r="M104" s="32" t="s">
        <v>405</v>
      </c>
      <c r="P104" s="36">
        <f>IF(AG104="5",J104,0)</f>
        <v>0</v>
      </c>
      <c r="R104" s="36">
        <f>IF(AG104="1",H104,0)</f>
        <v>0</v>
      </c>
      <c r="S104" s="36">
        <f>IF(AG104="1",I104,0)</f>
        <v>0</v>
      </c>
      <c r="T104" s="36">
        <f>IF(AG104="7",H104,0)</f>
        <v>0</v>
      </c>
      <c r="U104" s="36">
        <f>IF(AG104="7",I104,0)</f>
        <v>0</v>
      </c>
      <c r="V104" s="36">
        <f>IF(AG104="2",H104,0)</f>
        <v>0</v>
      </c>
      <c r="W104" s="36">
        <f>IF(AG104="2",I104,0)</f>
        <v>0</v>
      </c>
      <c r="X104" s="36">
        <f>IF(AG104="0",J104,0)</f>
        <v>0</v>
      </c>
      <c r="Y104" s="29"/>
      <c r="Z104" s="19">
        <f>IF(AD104=0,J104,0)</f>
        <v>0</v>
      </c>
      <c r="AA104" s="19">
        <f>IF(AD104=15,J104,0)</f>
        <v>0</v>
      </c>
      <c r="AB104" s="19">
        <f>IF(AD104=21,J104,0)</f>
        <v>0</v>
      </c>
      <c r="AD104" s="36">
        <v>21</v>
      </c>
      <c r="AE104" s="36">
        <f>G104*0.0771459271165591</f>
        <v>0</v>
      </c>
      <c r="AF104" s="36">
        <f>G104*(1-0.0771459271165591)</f>
        <v>0</v>
      </c>
      <c r="AG104" s="32" t="s">
        <v>7</v>
      </c>
      <c r="AM104" s="36">
        <f>F104*AE104</f>
        <v>0</v>
      </c>
      <c r="AN104" s="36">
        <f>F104*AF104</f>
        <v>0</v>
      </c>
      <c r="AO104" s="37" t="s">
        <v>424</v>
      </c>
      <c r="AP104" s="37" t="s">
        <v>435</v>
      </c>
      <c r="AQ104" s="29" t="s">
        <v>438</v>
      </c>
      <c r="AS104" s="36">
        <f>AM104+AN104</f>
        <v>0</v>
      </c>
      <c r="AT104" s="36">
        <f>G104/(100-AU104)*100</f>
        <v>0</v>
      </c>
      <c r="AU104" s="36">
        <v>0</v>
      </c>
      <c r="AV104" s="36">
        <f>L104</f>
        <v>44.092125</v>
      </c>
    </row>
    <row r="105" spans="4:6" ht="12.75">
      <c r="D105" s="15" t="s">
        <v>272</v>
      </c>
      <c r="F105" s="20">
        <v>1399.75</v>
      </c>
    </row>
    <row r="106" spans="1:48" ht="12.75">
      <c r="A106" s="6" t="s">
        <v>41</v>
      </c>
      <c r="B106" s="6"/>
      <c r="C106" s="6" t="s">
        <v>131</v>
      </c>
      <c r="D106" s="6" t="s">
        <v>273</v>
      </c>
      <c r="E106" s="6" t="s">
        <v>382</v>
      </c>
      <c r="F106" s="21">
        <v>1427.745</v>
      </c>
      <c r="G106" s="21">
        <v>0</v>
      </c>
      <c r="H106" s="21">
        <f>F106*AE106</f>
        <v>0</v>
      </c>
      <c r="I106" s="21">
        <f>J106-H106</f>
        <v>0</v>
      </c>
      <c r="J106" s="21">
        <f>F106*G106</f>
        <v>0</v>
      </c>
      <c r="K106" s="21">
        <v>0.023</v>
      </c>
      <c r="L106" s="21">
        <f>F106*K106</f>
        <v>32.838134999999994</v>
      </c>
      <c r="M106" s="33" t="s">
        <v>405</v>
      </c>
      <c r="P106" s="36">
        <f>IF(AG106="5",J106,0)</f>
        <v>0</v>
      </c>
      <c r="R106" s="36">
        <f>IF(AG106="1",H106,0)</f>
        <v>0</v>
      </c>
      <c r="S106" s="36">
        <f>IF(AG106="1",I106,0)</f>
        <v>0</v>
      </c>
      <c r="T106" s="36">
        <f>IF(AG106="7",H106,0)</f>
        <v>0</v>
      </c>
      <c r="U106" s="36">
        <f>IF(AG106="7",I106,0)</f>
        <v>0</v>
      </c>
      <c r="V106" s="36">
        <f>IF(AG106="2",H106,0)</f>
        <v>0</v>
      </c>
      <c r="W106" s="36">
        <f>IF(AG106="2",I106,0)</f>
        <v>0</v>
      </c>
      <c r="X106" s="36">
        <f>IF(AG106="0",J106,0)</f>
        <v>0</v>
      </c>
      <c r="Y106" s="29"/>
      <c r="Z106" s="21">
        <f>IF(AD106=0,J106,0)</f>
        <v>0</v>
      </c>
      <c r="AA106" s="21">
        <f>IF(AD106=15,J106,0)</f>
        <v>0</v>
      </c>
      <c r="AB106" s="21">
        <f>IF(AD106=21,J106,0)</f>
        <v>0</v>
      </c>
      <c r="AD106" s="36">
        <v>21</v>
      </c>
      <c r="AE106" s="36">
        <f>G106*1</f>
        <v>0</v>
      </c>
      <c r="AF106" s="36">
        <f>G106*(1-1)</f>
        <v>0</v>
      </c>
      <c r="AG106" s="33" t="s">
        <v>7</v>
      </c>
      <c r="AM106" s="36">
        <f>F106*AE106</f>
        <v>0</v>
      </c>
      <c r="AN106" s="36">
        <f>F106*AF106</f>
        <v>0</v>
      </c>
      <c r="AO106" s="37" t="s">
        <v>424</v>
      </c>
      <c r="AP106" s="37" t="s">
        <v>435</v>
      </c>
      <c r="AQ106" s="29" t="s">
        <v>438</v>
      </c>
      <c r="AS106" s="36">
        <f>AM106+AN106</f>
        <v>0</v>
      </c>
      <c r="AT106" s="36">
        <f>G106/(100-AU106)*100</f>
        <v>0</v>
      </c>
      <c r="AU106" s="36">
        <v>0</v>
      </c>
      <c r="AV106" s="36">
        <f>L106</f>
        <v>32.838134999999994</v>
      </c>
    </row>
    <row r="107" spans="4:6" ht="12.75">
      <c r="D107" s="15" t="s">
        <v>248</v>
      </c>
      <c r="F107" s="20">
        <v>1399.75</v>
      </c>
    </row>
    <row r="108" spans="4:6" ht="12.75">
      <c r="D108" s="15" t="s">
        <v>274</v>
      </c>
      <c r="F108" s="20">
        <v>27.995</v>
      </c>
    </row>
    <row r="109" spans="1:48" ht="12.75">
      <c r="A109" s="4" t="s">
        <v>42</v>
      </c>
      <c r="B109" s="4"/>
      <c r="C109" s="4" t="s">
        <v>132</v>
      </c>
      <c r="D109" s="4" t="s">
        <v>275</v>
      </c>
      <c r="E109" s="4" t="s">
        <v>378</v>
      </c>
      <c r="F109" s="19">
        <v>973</v>
      </c>
      <c r="G109" s="19">
        <v>0</v>
      </c>
      <c r="H109" s="19">
        <f>F109*AE109</f>
        <v>0</v>
      </c>
      <c r="I109" s="19">
        <f>J109-H109</f>
        <v>0</v>
      </c>
      <c r="J109" s="19">
        <f>F109*G109</f>
        <v>0</v>
      </c>
      <c r="K109" s="19">
        <v>0.0739</v>
      </c>
      <c r="L109" s="19">
        <f>F109*K109</f>
        <v>71.90469999999999</v>
      </c>
      <c r="M109" s="32" t="s">
        <v>405</v>
      </c>
      <c r="P109" s="36">
        <f>IF(AG109="5",J109,0)</f>
        <v>0</v>
      </c>
      <c r="R109" s="36">
        <f>IF(AG109="1",H109,0)</f>
        <v>0</v>
      </c>
      <c r="S109" s="36">
        <f>IF(AG109="1",I109,0)</f>
        <v>0</v>
      </c>
      <c r="T109" s="36">
        <f>IF(AG109="7",H109,0)</f>
        <v>0</v>
      </c>
      <c r="U109" s="36">
        <f>IF(AG109="7",I109,0)</f>
        <v>0</v>
      </c>
      <c r="V109" s="36">
        <f>IF(AG109="2",H109,0)</f>
        <v>0</v>
      </c>
      <c r="W109" s="36">
        <f>IF(AG109="2",I109,0)</f>
        <v>0</v>
      </c>
      <c r="X109" s="36">
        <f>IF(AG109="0",J109,0)</f>
        <v>0</v>
      </c>
      <c r="Y109" s="29"/>
      <c r="Z109" s="19">
        <f>IF(AD109=0,J109,0)</f>
        <v>0</v>
      </c>
      <c r="AA109" s="19">
        <f>IF(AD109=15,J109,0)</f>
        <v>0</v>
      </c>
      <c r="AB109" s="19">
        <f>IF(AD109=21,J109,0)</f>
        <v>0</v>
      </c>
      <c r="AD109" s="36">
        <v>21</v>
      </c>
      <c r="AE109" s="36">
        <f>G109*0.165720524017467</f>
        <v>0</v>
      </c>
      <c r="AF109" s="36">
        <f>G109*(1-0.165720524017467)</f>
        <v>0</v>
      </c>
      <c r="AG109" s="32" t="s">
        <v>7</v>
      </c>
      <c r="AM109" s="36">
        <f>F109*AE109</f>
        <v>0</v>
      </c>
      <c r="AN109" s="36">
        <f>F109*AF109</f>
        <v>0</v>
      </c>
      <c r="AO109" s="37" t="s">
        <v>424</v>
      </c>
      <c r="AP109" s="37" t="s">
        <v>435</v>
      </c>
      <c r="AQ109" s="29" t="s">
        <v>438</v>
      </c>
      <c r="AS109" s="36">
        <f>AM109+AN109</f>
        <v>0</v>
      </c>
      <c r="AT109" s="36">
        <f>G109/(100-AU109)*100</f>
        <v>0</v>
      </c>
      <c r="AU109" s="36">
        <v>0</v>
      </c>
      <c r="AV109" s="36">
        <f>L109</f>
        <v>71.90469999999999</v>
      </c>
    </row>
    <row r="110" spans="4:6" ht="12.75">
      <c r="D110" s="15" t="s">
        <v>276</v>
      </c>
      <c r="F110" s="20">
        <v>476</v>
      </c>
    </row>
    <row r="111" spans="4:6" ht="12.75">
      <c r="D111" s="15" t="s">
        <v>277</v>
      </c>
      <c r="F111" s="20">
        <v>251</v>
      </c>
    </row>
    <row r="112" spans="4:6" ht="12.75">
      <c r="D112" s="15" t="s">
        <v>278</v>
      </c>
      <c r="F112" s="20">
        <v>246</v>
      </c>
    </row>
    <row r="113" spans="1:48" ht="12.75">
      <c r="A113" s="6" t="s">
        <v>43</v>
      </c>
      <c r="B113" s="6"/>
      <c r="C113" s="6" t="s">
        <v>133</v>
      </c>
      <c r="D113" s="6" t="s">
        <v>279</v>
      </c>
      <c r="E113" s="6" t="s">
        <v>378</v>
      </c>
      <c r="F113" s="21">
        <v>992.46</v>
      </c>
      <c r="G113" s="21">
        <v>0</v>
      </c>
      <c r="H113" s="21">
        <f>F113*AE113</f>
        <v>0</v>
      </c>
      <c r="I113" s="21">
        <f>J113-H113</f>
        <v>0</v>
      </c>
      <c r="J113" s="21">
        <f>F113*G113</f>
        <v>0</v>
      </c>
      <c r="K113" s="21">
        <v>0.131</v>
      </c>
      <c r="L113" s="21">
        <f>F113*K113</f>
        <v>130.01226</v>
      </c>
      <c r="M113" s="33" t="s">
        <v>405</v>
      </c>
      <c r="P113" s="36">
        <f>IF(AG113="5",J113,0)</f>
        <v>0</v>
      </c>
      <c r="R113" s="36">
        <f>IF(AG113="1",H113,0)</f>
        <v>0</v>
      </c>
      <c r="S113" s="36">
        <f>IF(AG113="1",I113,0)</f>
        <v>0</v>
      </c>
      <c r="T113" s="36">
        <f>IF(AG113="7",H113,0)</f>
        <v>0</v>
      </c>
      <c r="U113" s="36">
        <f>IF(AG113="7",I113,0)</f>
        <v>0</v>
      </c>
      <c r="V113" s="36">
        <f>IF(AG113="2",H113,0)</f>
        <v>0</v>
      </c>
      <c r="W113" s="36">
        <f>IF(AG113="2",I113,0)</f>
        <v>0</v>
      </c>
      <c r="X113" s="36">
        <f>IF(AG113="0",J113,0)</f>
        <v>0</v>
      </c>
      <c r="Y113" s="29"/>
      <c r="Z113" s="21">
        <f>IF(AD113=0,J113,0)</f>
        <v>0</v>
      </c>
      <c r="AA113" s="21">
        <f>IF(AD113=15,J113,0)</f>
        <v>0</v>
      </c>
      <c r="AB113" s="21">
        <f>IF(AD113=21,J113,0)</f>
        <v>0</v>
      </c>
      <c r="AD113" s="36">
        <v>21</v>
      </c>
      <c r="AE113" s="36">
        <f>G113*1</f>
        <v>0</v>
      </c>
      <c r="AF113" s="36">
        <f>G113*(1-1)</f>
        <v>0</v>
      </c>
      <c r="AG113" s="33" t="s">
        <v>7</v>
      </c>
      <c r="AM113" s="36">
        <f>F113*AE113</f>
        <v>0</v>
      </c>
      <c r="AN113" s="36">
        <f>F113*AF113</f>
        <v>0</v>
      </c>
      <c r="AO113" s="37" t="s">
        <v>424</v>
      </c>
      <c r="AP113" s="37" t="s">
        <v>435</v>
      </c>
      <c r="AQ113" s="29" t="s">
        <v>438</v>
      </c>
      <c r="AS113" s="36">
        <f>AM113+AN113</f>
        <v>0</v>
      </c>
      <c r="AT113" s="36">
        <f>G113/(100-AU113)*100</f>
        <v>0</v>
      </c>
      <c r="AU113" s="36">
        <v>0</v>
      </c>
      <c r="AV113" s="36">
        <f>L113</f>
        <v>130.01226</v>
      </c>
    </row>
    <row r="114" spans="4:6" ht="12.75">
      <c r="D114" s="15" t="s">
        <v>280</v>
      </c>
      <c r="F114" s="20">
        <v>973</v>
      </c>
    </row>
    <row r="115" spans="4:6" ht="12.75">
      <c r="D115" s="15" t="s">
        <v>281</v>
      </c>
      <c r="F115" s="20">
        <v>19.46</v>
      </c>
    </row>
    <row r="116" spans="1:48" ht="12.75">
      <c r="A116" s="4" t="s">
        <v>44</v>
      </c>
      <c r="B116" s="4"/>
      <c r="C116" s="4" t="s">
        <v>134</v>
      </c>
      <c r="D116" s="4" t="s">
        <v>282</v>
      </c>
      <c r="E116" s="4" t="s">
        <v>379</v>
      </c>
      <c r="F116" s="19">
        <v>31</v>
      </c>
      <c r="G116" s="19">
        <v>0</v>
      </c>
      <c r="H116" s="19">
        <f>F116*AE116</f>
        <v>0</v>
      </c>
      <c r="I116" s="19">
        <f>J116-H116</f>
        <v>0</v>
      </c>
      <c r="J116" s="19">
        <f>F116*G116</f>
        <v>0</v>
      </c>
      <c r="K116" s="19">
        <v>0.00224</v>
      </c>
      <c r="L116" s="19">
        <f>F116*K116</f>
        <v>0.06943999999999999</v>
      </c>
      <c r="M116" s="32" t="s">
        <v>405</v>
      </c>
      <c r="P116" s="36">
        <f>IF(AG116="5",J116,0)</f>
        <v>0</v>
      </c>
      <c r="R116" s="36">
        <f>IF(AG116="1",H116,0)</f>
        <v>0</v>
      </c>
      <c r="S116" s="36">
        <f>IF(AG116="1",I116,0)</f>
        <v>0</v>
      </c>
      <c r="T116" s="36">
        <f>IF(AG116="7",H116,0)</f>
        <v>0</v>
      </c>
      <c r="U116" s="36">
        <f>IF(AG116="7",I116,0)</f>
        <v>0</v>
      </c>
      <c r="V116" s="36">
        <f>IF(AG116="2",H116,0)</f>
        <v>0</v>
      </c>
      <c r="W116" s="36">
        <f>IF(AG116="2",I116,0)</f>
        <v>0</v>
      </c>
      <c r="X116" s="36">
        <f>IF(AG116="0",J116,0)</f>
        <v>0</v>
      </c>
      <c r="Y116" s="29"/>
      <c r="Z116" s="19">
        <f>IF(AD116=0,J116,0)</f>
        <v>0</v>
      </c>
      <c r="AA116" s="19">
        <f>IF(AD116=15,J116,0)</f>
        <v>0</v>
      </c>
      <c r="AB116" s="19">
        <f>IF(AD116=21,J116,0)</f>
        <v>0</v>
      </c>
      <c r="AD116" s="36">
        <v>21</v>
      </c>
      <c r="AE116" s="36">
        <f>G116*0.272297116328899</f>
        <v>0</v>
      </c>
      <c r="AF116" s="36">
        <f>G116*(1-0.272297116328899)</f>
        <v>0</v>
      </c>
      <c r="AG116" s="32" t="s">
        <v>7</v>
      </c>
      <c r="AM116" s="36">
        <f>F116*AE116</f>
        <v>0</v>
      </c>
      <c r="AN116" s="36">
        <f>F116*AF116</f>
        <v>0</v>
      </c>
      <c r="AO116" s="37" t="s">
        <v>424</v>
      </c>
      <c r="AP116" s="37" t="s">
        <v>435</v>
      </c>
      <c r="AQ116" s="29" t="s">
        <v>438</v>
      </c>
      <c r="AS116" s="36">
        <f>AM116+AN116</f>
        <v>0</v>
      </c>
      <c r="AT116" s="36">
        <f>G116/(100-AU116)*100</f>
        <v>0</v>
      </c>
      <c r="AU116" s="36">
        <v>0</v>
      </c>
      <c r="AV116" s="36">
        <f>L116</f>
        <v>0.06943999999999999</v>
      </c>
    </row>
    <row r="117" spans="4:6" ht="12.75">
      <c r="D117" s="15" t="s">
        <v>37</v>
      </c>
      <c r="F117" s="20">
        <v>31</v>
      </c>
    </row>
    <row r="118" spans="1:37" ht="12.75">
      <c r="A118" s="5"/>
      <c r="B118" s="13"/>
      <c r="C118" s="13" t="s">
        <v>135</v>
      </c>
      <c r="D118" s="13" t="s">
        <v>283</v>
      </c>
      <c r="E118" s="5" t="s">
        <v>6</v>
      </c>
      <c r="F118" s="5" t="s">
        <v>6</v>
      </c>
      <c r="G118" s="5" t="s">
        <v>6</v>
      </c>
      <c r="H118" s="39">
        <f>SUM(H119:H121)</f>
        <v>0</v>
      </c>
      <c r="I118" s="39">
        <f>SUM(I119:I121)</f>
        <v>0</v>
      </c>
      <c r="J118" s="39">
        <f>H118+I118</f>
        <v>0</v>
      </c>
      <c r="K118" s="29"/>
      <c r="L118" s="39">
        <f>SUM(L119:L121)</f>
        <v>12.664480000000001</v>
      </c>
      <c r="M118" s="29"/>
      <c r="Y118" s="29"/>
      <c r="AI118" s="39">
        <f>SUM(Z119:Z121)</f>
        <v>0</v>
      </c>
      <c r="AJ118" s="39">
        <f>SUM(AA119:AA121)</f>
        <v>0</v>
      </c>
      <c r="AK118" s="39">
        <f>SUM(AB119:AB121)</f>
        <v>0</v>
      </c>
    </row>
    <row r="119" spans="1:48" ht="12.75">
      <c r="A119" s="4" t="s">
        <v>45</v>
      </c>
      <c r="B119" s="4"/>
      <c r="C119" s="4" t="s">
        <v>136</v>
      </c>
      <c r="D119" s="4" t="s">
        <v>284</v>
      </c>
      <c r="E119" s="4" t="s">
        <v>382</v>
      </c>
      <c r="F119" s="19">
        <v>4</v>
      </c>
      <c r="G119" s="19">
        <v>0</v>
      </c>
      <c r="H119" s="19">
        <f>F119*AE119</f>
        <v>0</v>
      </c>
      <c r="I119" s="19">
        <f>J119-H119</f>
        <v>0</v>
      </c>
      <c r="J119" s="19">
        <f>F119*G119</f>
        <v>0</v>
      </c>
      <c r="K119" s="19">
        <v>1.86466</v>
      </c>
      <c r="L119" s="19">
        <f>F119*K119</f>
        <v>7.45864</v>
      </c>
      <c r="M119" s="32" t="s">
        <v>405</v>
      </c>
      <c r="P119" s="36">
        <f>IF(AG119="5",J119,0)</f>
        <v>0</v>
      </c>
      <c r="R119" s="36">
        <f>IF(AG119="1",H119,0)</f>
        <v>0</v>
      </c>
      <c r="S119" s="36">
        <f>IF(AG119="1",I119,0)</f>
        <v>0</v>
      </c>
      <c r="T119" s="36">
        <f>IF(AG119="7",H119,0)</f>
        <v>0</v>
      </c>
      <c r="U119" s="36">
        <f>IF(AG119="7",I119,0)</f>
        <v>0</v>
      </c>
      <c r="V119" s="36">
        <f>IF(AG119="2",H119,0)</f>
        <v>0</v>
      </c>
      <c r="W119" s="36">
        <f>IF(AG119="2",I119,0)</f>
        <v>0</v>
      </c>
      <c r="X119" s="36">
        <f>IF(AG119="0",J119,0)</f>
        <v>0</v>
      </c>
      <c r="Y119" s="29"/>
      <c r="Z119" s="19">
        <f>IF(AD119=0,J119,0)</f>
        <v>0</v>
      </c>
      <c r="AA119" s="19">
        <f>IF(AD119=15,J119,0)</f>
        <v>0</v>
      </c>
      <c r="AB119" s="19">
        <f>IF(AD119=21,J119,0)</f>
        <v>0</v>
      </c>
      <c r="AD119" s="36">
        <v>21</v>
      </c>
      <c r="AE119" s="36">
        <f>G119*0.200742465753425</f>
        <v>0</v>
      </c>
      <c r="AF119" s="36">
        <f>G119*(1-0.200742465753425)</f>
        <v>0</v>
      </c>
      <c r="AG119" s="32" t="s">
        <v>7</v>
      </c>
      <c r="AM119" s="36">
        <f>F119*AE119</f>
        <v>0</v>
      </c>
      <c r="AN119" s="36">
        <f>F119*AF119</f>
        <v>0</v>
      </c>
      <c r="AO119" s="37" t="s">
        <v>425</v>
      </c>
      <c r="AP119" s="37" t="s">
        <v>436</v>
      </c>
      <c r="AQ119" s="29" t="s">
        <v>438</v>
      </c>
      <c r="AS119" s="36">
        <f>AM119+AN119</f>
        <v>0</v>
      </c>
      <c r="AT119" s="36">
        <f>G119/(100-AU119)*100</f>
        <v>0</v>
      </c>
      <c r="AU119" s="36">
        <v>0</v>
      </c>
      <c r="AV119" s="36">
        <f>L119</f>
        <v>7.45864</v>
      </c>
    </row>
    <row r="120" spans="4:6" ht="12.75">
      <c r="D120" s="15" t="s">
        <v>10</v>
      </c>
      <c r="F120" s="20">
        <v>4</v>
      </c>
    </row>
    <row r="121" spans="1:48" ht="12.75">
      <c r="A121" s="4" t="s">
        <v>46</v>
      </c>
      <c r="B121" s="4"/>
      <c r="C121" s="4" t="s">
        <v>137</v>
      </c>
      <c r="D121" s="4" t="s">
        <v>285</v>
      </c>
      <c r="E121" s="4" t="s">
        <v>382</v>
      </c>
      <c r="F121" s="19">
        <v>12</v>
      </c>
      <c r="G121" s="19">
        <v>0</v>
      </c>
      <c r="H121" s="19">
        <f>F121*AE121</f>
        <v>0</v>
      </c>
      <c r="I121" s="19">
        <f>J121-H121</f>
        <v>0</v>
      </c>
      <c r="J121" s="19">
        <f>F121*G121</f>
        <v>0</v>
      </c>
      <c r="K121" s="19">
        <v>0.43382</v>
      </c>
      <c r="L121" s="19">
        <f>F121*K121</f>
        <v>5.20584</v>
      </c>
      <c r="M121" s="32" t="s">
        <v>405</v>
      </c>
      <c r="P121" s="36">
        <f>IF(AG121="5",J121,0)</f>
        <v>0</v>
      </c>
      <c r="R121" s="36">
        <f>IF(AG121="1",H121,0)</f>
        <v>0</v>
      </c>
      <c r="S121" s="36">
        <f>IF(AG121="1",I121,0)</f>
        <v>0</v>
      </c>
      <c r="T121" s="36">
        <f>IF(AG121="7",H121,0)</f>
        <v>0</v>
      </c>
      <c r="U121" s="36">
        <f>IF(AG121="7",I121,0)</f>
        <v>0</v>
      </c>
      <c r="V121" s="36">
        <f>IF(AG121="2",H121,0)</f>
        <v>0</v>
      </c>
      <c r="W121" s="36">
        <f>IF(AG121="2",I121,0)</f>
        <v>0</v>
      </c>
      <c r="X121" s="36">
        <f>IF(AG121="0",J121,0)</f>
        <v>0</v>
      </c>
      <c r="Y121" s="29"/>
      <c r="Z121" s="19">
        <f>IF(AD121=0,J121,0)</f>
        <v>0</v>
      </c>
      <c r="AA121" s="19">
        <f>IF(AD121=15,J121,0)</f>
        <v>0</v>
      </c>
      <c r="AB121" s="19">
        <f>IF(AD121=21,J121,0)</f>
        <v>0</v>
      </c>
      <c r="AD121" s="36">
        <v>21</v>
      </c>
      <c r="AE121" s="36">
        <f>G121*0.380993288590604</f>
        <v>0</v>
      </c>
      <c r="AF121" s="36">
        <f>G121*(1-0.380993288590604)</f>
        <v>0</v>
      </c>
      <c r="AG121" s="32" t="s">
        <v>7</v>
      </c>
      <c r="AM121" s="36">
        <f>F121*AE121</f>
        <v>0</v>
      </c>
      <c r="AN121" s="36">
        <f>F121*AF121</f>
        <v>0</v>
      </c>
      <c r="AO121" s="37" t="s">
        <v>425</v>
      </c>
      <c r="AP121" s="37" t="s">
        <v>436</v>
      </c>
      <c r="AQ121" s="29" t="s">
        <v>438</v>
      </c>
      <c r="AS121" s="36">
        <f>AM121+AN121</f>
        <v>0</v>
      </c>
      <c r="AT121" s="36">
        <f>G121/(100-AU121)*100</f>
        <v>0</v>
      </c>
      <c r="AU121" s="36">
        <v>0</v>
      </c>
      <c r="AV121" s="36">
        <f>L121</f>
        <v>5.20584</v>
      </c>
    </row>
    <row r="122" spans="1:37" ht="12.75">
      <c r="A122" s="5"/>
      <c r="B122" s="13"/>
      <c r="C122" s="13" t="s">
        <v>138</v>
      </c>
      <c r="D122" s="13" t="s">
        <v>286</v>
      </c>
      <c r="E122" s="5" t="s">
        <v>6</v>
      </c>
      <c r="F122" s="5" t="s">
        <v>6</v>
      </c>
      <c r="G122" s="5" t="s">
        <v>6</v>
      </c>
      <c r="H122" s="39">
        <f>SUM(H123:H133)</f>
        <v>0</v>
      </c>
      <c r="I122" s="39">
        <f>SUM(I123:I133)</f>
        <v>0</v>
      </c>
      <c r="J122" s="39">
        <f>H122+I122</f>
        <v>0</v>
      </c>
      <c r="K122" s="29"/>
      <c r="L122" s="39">
        <f>SUM(L123:L133)</f>
        <v>0</v>
      </c>
      <c r="M122" s="29"/>
      <c r="Y122" s="29"/>
      <c r="AI122" s="39">
        <f>SUM(Z123:Z133)</f>
        <v>0</v>
      </c>
      <c r="AJ122" s="39">
        <f>SUM(AA123:AA133)</f>
        <v>0</v>
      </c>
      <c r="AK122" s="39">
        <f>SUM(AB123:AB133)</f>
        <v>0</v>
      </c>
    </row>
    <row r="123" spans="1:48" ht="12.75">
      <c r="A123" s="4" t="s">
        <v>47</v>
      </c>
      <c r="B123" s="4"/>
      <c r="C123" s="4" t="s">
        <v>139</v>
      </c>
      <c r="D123" s="4" t="s">
        <v>287</v>
      </c>
      <c r="E123" s="4" t="s">
        <v>383</v>
      </c>
      <c r="F123" s="19">
        <v>16</v>
      </c>
      <c r="G123" s="19">
        <v>0</v>
      </c>
      <c r="H123" s="19">
        <f>F123*AE123</f>
        <v>0</v>
      </c>
      <c r="I123" s="19">
        <f>J123-H123</f>
        <v>0</v>
      </c>
      <c r="J123" s="19">
        <f>F123*G123</f>
        <v>0</v>
      </c>
      <c r="K123" s="19">
        <v>0</v>
      </c>
      <c r="L123" s="19">
        <f>F123*K123</f>
        <v>0</v>
      </c>
      <c r="M123" s="32" t="s">
        <v>405</v>
      </c>
      <c r="P123" s="36">
        <f>IF(AG123="5",J123,0)</f>
        <v>0</v>
      </c>
      <c r="R123" s="36">
        <f>IF(AG123="1",H123,0)</f>
        <v>0</v>
      </c>
      <c r="S123" s="36">
        <f>IF(AG123="1",I123,0)</f>
        <v>0</v>
      </c>
      <c r="T123" s="36">
        <f>IF(AG123="7",H123,0)</f>
        <v>0</v>
      </c>
      <c r="U123" s="36">
        <f>IF(AG123="7",I123,0)</f>
        <v>0</v>
      </c>
      <c r="V123" s="36">
        <f>IF(AG123="2",H123,0)</f>
        <v>0</v>
      </c>
      <c r="W123" s="36">
        <f>IF(AG123="2",I123,0)</f>
        <v>0</v>
      </c>
      <c r="X123" s="36">
        <f>IF(AG123="0",J123,0)</f>
        <v>0</v>
      </c>
      <c r="Y123" s="29"/>
      <c r="Z123" s="19">
        <f>IF(AD123=0,J123,0)</f>
        <v>0</v>
      </c>
      <c r="AA123" s="19">
        <f>IF(AD123=15,J123,0)</f>
        <v>0</v>
      </c>
      <c r="AB123" s="19">
        <f>IF(AD123=21,J123,0)</f>
        <v>0</v>
      </c>
      <c r="AD123" s="36">
        <v>21</v>
      </c>
      <c r="AE123" s="36">
        <f>G123*0</f>
        <v>0</v>
      </c>
      <c r="AF123" s="36">
        <f>G123*(1-0)</f>
        <v>0</v>
      </c>
      <c r="AG123" s="32" t="s">
        <v>7</v>
      </c>
      <c r="AM123" s="36">
        <f>F123*AE123</f>
        <v>0</v>
      </c>
      <c r="AN123" s="36">
        <f>F123*AF123</f>
        <v>0</v>
      </c>
      <c r="AO123" s="37" t="s">
        <v>426</v>
      </c>
      <c r="AP123" s="37" t="s">
        <v>437</v>
      </c>
      <c r="AQ123" s="29" t="s">
        <v>438</v>
      </c>
      <c r="AS123" s="36">
        <f>AM123+AN123</f>
        <v>0</v>
      </c>
      <c r="AT123" s="36">
        <f>G123/(100-AU123)*100</f>
        <v>0</v>
      </c>
      <c r="AU123" s="36">
        <v>0</v>
      </c>
      <c r="AV123" s="36">
        <f>L123</f>
        <v>0</v>
      </c>
    </row>
    <row r="124" spans="4:6" ht="12.75">
      <c r="D124" s="15" t="s">
        <v>22</v>
      </c>
      <c r="F124" s="20">
        <v>16</v>
      </c>
    </row>
    <row r="125" spans="1:48" ht="12.75">
      <c r="A125" s="4" t="s">
        <v>48</v>
      </c>
      <c r="B125" s="4"/>
      <c r="C125" s="4" t="s">
        <v>139</v>
      </c>
      <c r="D125" s="4" t="s">
        <v>288</v>
      </c>
      <c r="E125" s="4" t="s">
        <v>383</v>
      </c>
      <c r="F125" s="19">
        <v>24</v>
      </c>
      <c r="G125" s="19">
        <v>0</v>
      </c>
      <c r="H125" s="19">
        <f>F125*AE125</f>
        <v>0</v>
      </c>
      <c r="I125" s="19">
        <f>J125-H125</f>
        <v>0</v>
      </c>
      <c r="J125" s="19">
        <f>F125*G125</f>
        <v>0</v>
      </c>
      <c r="K125" s="19">
        <v>0</v>
      </c>
      <c r="L125" s="19">
        <f>F125*K125</f>
        <v>0</v>
      </c>
      <c r="M125" s="32" t="s">
        <v>405</v>
      </c>
      <c r="P125" s="36">
        <f>IF(AG125="5",J125,0)</f>
        <v>0</v>
      </c>
      <c r="R125" s="36">
        <f>IF(AG125="1",H125,0)</f>
        <v>0</v>
      </c>
      <c r="S125" s="36">
        <f>IF(AG125="1",I125,0)</f>
        <v>0</v>
      </c>
      <c r="T125" s="36">
        <f>IF(AG125="7",H125,0)</f>
        <v>0</v>
      </c>
      <c r="U125" s="36">
        <f>IF(AG125="7",I125,0)</f>
        <v>0</v>
      </c>
      <c r="V125" s="36">
        <f>IF(AG125="2",H125,0)</f>
        <v>0</v>
      </c>
      <c r="W125" s="36">
        <f>IF(AG125="2",I125,0)</f>
        <v>0</v>
      </c>
      <c r="X125" s="36">
        <f>IF(AG125="0",J125,0)</f>
        <v>0</v>
      </c>
      <c r="Y125" s="29"/>
      <c r="Z125" s="19">
        <f>IF(AD125=0,J125,0)</f>
        <v>0</v>
      </c>
      <c r="AA125" s="19">
        <f>IF(AD125=15,J125,0)</f>
        <v>0</v>
      </c>
      <c r="AB125" s="19">
        <f>IF(AD125=21,J125,0)</f>
        <v>0</v>
      </c>
      <c r="AD125" s="36">
        <v>21</v>
      </c>
      <c r="AE125" s="36">
        <f>G125*0</f>
        <v>0</v>
      </c>
      <c r="AF125" s="36">
        <f>G125*(1-0)</f>
        <v>0</v>
      </c>
      <c r="AG125" s="32" t="s">
        <v>7</v>
      </c>
      <c r="AM125" s="36">
        <f>F125*AE125</f>
        <v>0</v>
      </c>
      <c r="AN125" s="36">
        <f>F125*AF125</f>
        <v>0</v>
      </c>
      <c r="AO125" s="37" t="s">
        <v>426</v>
      </c>
      <c r="AP125" s="37" t="s">
        <v>437</v>
      </c>
      <c r="AQ125" s="29" t="s">
        <v>438</v>
      </c>
      <c r="AS125" s="36">
        <f>AM125+AN125</f>
        <v>0</v>
      </c>
      <c r="AT125" s="36">
        <f>G125/(100-AU125)*100</f>
        <v>0</v>
      </c>
      <c r="AU125" s="36">
        <v>0</v>
      </c>
      <c r="AV125" s="36">
        <f>L125</f>
        <v>0</v>
      </c>
    </row>
    <row r="126" spans="4:6" ht="12.75">
      <c r="D126" s="15" t="s">
        <v>30</v>
      </c>
      <c r="F126" s="20">
        <v>24</v>
      </c>
    </row>
    <row r="127" spans="1:48" ht="12.75">
      <c r="A127" s="4" t="s">
        <v>49</v>
      </c>
      <c r="B127" s="4"/>
      <c r="C127" s="4" t="s">
        <v>139</v>
      </c>
      <c r="D127" s="4" t="s">
        <v>289</v>
      </c>
      <c r="E127" s="4" t="s">
        <v>383</v>
      </c>
      <c r="F127" s="19">
        <v>18</v>
      </c>
      <c r="G127" s="19">
        <v>0</v>
      </c>
      <c r="H127" s="19">
        <f>F127*AE127</f>
        <v>0</v>
      </c>
      <c r="I127" s="19">
        <f>J127-H127</f>
        <v>0</v>
      </c>
      <c r="J127" s="19">
        <f>F127*G127</f>
        <v>0</v>
      </c>
      <c r="K127" s="19">
        <v>0</v>
      </c>
      <c r="L127" s="19">
        <f>F127*K127</f>
        <v>0</v>
      </c>
      <c r="M127" s="32" t="s">
        <v>405</v>
      </c>
      <c r="P127" s="36">
        <f>IF(AG127="5",J127,0)</f>
        <v>0</v>
      </c>
      <c r="R127" s="36">
        <f>IF(AG127="1",H127,0)</f>
        <v>0</v>
      </c>
      <c r="S127" s="36">
        <f>IF(AG127="1",I127,0)</f>
        <v>0</v>
      </c>
      <c r="T127" s="36">
        <f>IF(AG127="7",H127,0)</f>
        <v>0</v>
      </c>
      <c r="U127" s="36">
        <f>IF(AG127="7",I127,0)</f>
        <v>0</v>
      </c>
      <c r="V127" s="36">
        <f>IF(AG127="2",H127,0)</f>
        <v>0</v>
      </c>
      <c r="W127" s="36">
        <f>IF(AG127="2",I127,0)</f>
        <v>0</v>
      </c>
      <c r="X127" s="36">
        <f>IF(AG127="0",J127,0)</f>
        <v>0</v>
      </c>
      <c r="Y127" s="29"/>
      <c r="Z127" s="19">
        <f>IF(AD127=0,J127,0)</f>
        <v>0</v>
      </c>
      <c r="AA127" s="19">
        <f>IF(AD127=15,J127,0)</f>
        <v>0</v>
      </c>
      <c r="AB127" s="19">
        <f>IF(AD127=21,J127,0)</f>
        <v>0</v>
      </c>
      <c r="AD127" s="36">
        <v>21</v>
      </c>
      <c r="AE127" s="36">
        <f>G127*0</f>
        <v>0</v>
      </c>
      <c r="AF127" s="36">
        <f>G127*(1-0)</f>
        <v>0</v>
      </c>
      <c r="AG127" s="32" t="s">
        <v>7</v>
      </c>
      <c r="AM127" s="36">
        <f>F127*AE127</f>
        <v>0</v>
      </c>
      <c r="AN127" s="36">
        <f>F127*AF127</f>
        <v>0</v>
      </c>
      <c r="AO127" s="37" t="s">
        <v>426</v>
      </c>
      <c r="AP127" s="37" t="s">
        <v>437</v>
      </c>
      <c r="AQ127" s="29" t="s">
        <v>438</v>
      </c>
      <c r="AS127" s="36">
        <f>AM127+AN127</f>
        <v>0</v>
      </c>
      <c r="AT127" s="36">
        <f>G127/(100-AU127)*100</f>
        <v>0</v>
      </c>
      <c r="AU127" s="36">
        <v>0</v>
      </c>
      <c r="AV127" s="36">
        <f>L127</f>
        <v>0</v>
      </c>
    </row>
    <row r="128" spans="4:6" ht="12.75">
      <c r="D128" s="15" t="s">
        <v>24</v>
      </c>
      <c r="F128" s="20">
        <v>18</v>
      </c>
    </row>
    <row r="129" spans="1:48" ht="12.75">
      <c r="A129" s="4" t="s">
        <v>50</v>
      </c>
      <c r="B129" s="4"/>
      <c r="C129" s="4" t="s">
        <v>139</v>
      </c>
      <c r="D129" s="4" t="s">
        <v>290</v>
      </c>
      <c r="E129" s="4" t="s">
        <v>381</v>
      </c>
      <c r="F129" s="19">
        <v>1</v>
      </c>
      <c r="G129" s="19">
        <v>0</v>
      </c>
      <c r="H129" s="19">
        <f>F129*AE129</f>
        <v>0</v>
      </c>
      <c r="I129" s="19">
        <f>J129-H129</f>
        <v>0</v>
      </c>
      <c r="J129" s="19">
        <f>F129*G129</f>
        <v>0</v>
      </c>
      <c r="K129" s="19">
        <v>0</v>
      </c>
      <c r="L129" s="19">
        <f>F129*K129</f>
        <v>0</v>
      </c>
      <c r="M129" s="32" t="s">
        <v>405</v>
      </c>
      <c r="P129" s="36">
        <f>IF(AG129="5",J129,0)</f>
        <v>0</v>
      </c>
      <c r="R129" s="36">
        <f>IF(AG129="1",H129,0)</f>
        <v>0</v>
      </c>
      <c r="S129" s="36">
        <f>IF(AG129="1",I129,0)</f>
        <v>0</v>
      </c>
      <c r="T129" s="36">
        <f>IF(AG129="7",H129,0)</f>
        <v>0</v>
      </c>
      <c r="U129" s="36">
        <f>IF(AG129="7",I129,0)</f>
        <v>0</v>
      </c>
      <c r="V129" s="36">
        <f>IF(AG129="2",H129,0)</f>
        <v>0</v>
      </c>
      <c r="W129" s="36">
        <f>IF(AG129="2",I129,0)</f>
        <v>0</v>
      </c>
      <c r="X129" s="36">
        <f>IF(AG129="0",J129,0)</f>
        <v>0</v>
      </c>
      <c r="Y129" s="29"/>
      <c r="Z129" s="19">
        <f>IF(AD129=0,J129,0)</f>
        <v>0</v>
      </c>
      <c r="AA129" s="19">
        <f>IF(AD129=15,J129,0)</f>
        <v>0</v>
      </c>
      <c r="AB129" s="19">
        <f>IF(AD129=21,J129,0)</f>
        <v>0</v>
      </c>
      <c r="AD129" s="36">
        <v>21</v>
      </c>
      <c r="AE129" s="36">
        <f>G129*0</f>
        <v>0</v>
      </c>
      <c r="AF129" s="36">
        <f>G129*(1-0)</f>
        <v>0</v>
      </c>
      <c r="AG129" s="32" t="s">
        <v>7</v>
      </c>
      <c r="AM129" s="36">
        <f>F129*AE129</f>
        <v>0</v>
      </c>
      <c r="AN129" s="36">
        <f>F129*AF129</f>
        <v>0</v>
      </c>
      <c r="AO129" s="37" t="s">
        <v>426</v>
      </c>
      <c r="AP129" s="37" t="s">
        <v>437</v>
      </c>
      <c r="AQ129" s="29" t="s">
        <v>438</v>
      </c>
      <c r="AS129" s="36">
        <f>AM129+AN129</f>
        <v>0</v>
      </c>
      <c r="AT129" s="36">
        <f>G129/(100-AU129)*100</f>
        <v>0</v>
      </c>
      <c r="AU129" s="36">
        <v>0</v>
      </c>
      <c r="AV129" s="36">
        <f>L129</f>
        <v>0</v>
      </c>
    </row>
    <row r="130" spans="4:6" ht="12.75">
      <c r="D130" s="15" t="s">
        <v>7</v>
      </c>
      <c r="F130" s="20">
        <v>1</v>
      </c>
    </row>
    <row r="131" spans="1:48" ht="12.75">
      <c r="A131" s="4" t="s">
        <v>51</v>
      </c>
      <c r="B131" s="4"/>
      <c r="C131" s="4" t="s">
        <v>139</v>
      </c>
      <c r="D131" s="4" t="s">
        <v>291</v>
      </c>
      <c r="E131" s="4" t="s">
        <v>381</v>
      </c>
      <c r="F131" s="19">
        <v>1</v>
      </c>
      <c r="G131" s="19">
        <v>0</v>
      </c>
      <c r="H131" s="19">
        <f>F131*AE131</f>
        <v>0</v>
      </c>
      <c r="I131" s="19">
        <f>J131-H131</f>
        <v>0</v>
      </c>
      <c r="J131" s="19">
        <f>F131*G131</f>
        <v>0</v>
      </c>
      <c r="K131" s="19">
        <v>0</v>
      </c>
      <c r="L131" s="19">
        <f>F131*K131</f>
        <v>0</v>
      </c>
      <c r="M131" s="32" t="s">
        <v>405</v>
      </c>
      <c r="P131" s="36">
        <f>IF(AG131="5",J131,0)</f>
        <v>0</v>
      </c>
      <c r="R131" s="36">
        <f>IF(AG131="1",H131,0)</f>
        <v>0</v>
      </c>
      <c r="S131" s="36">
        <f>IF(AG131="1",I131,0)</f>
        <v>0</v>
      </c>
      <c r="T131" s="36">
        <f>IF(AG131="7",H131,0)</f>
        <v>0</v>
      </c>
      <c r="U131" s="36">
        <f>IF(AG131="7",I131,0)</f>
        <v>0</v>
      </c>
      <c r="V131" s="36">
        <f>IF(AG131="2",H131,0)</f>
        <v>0</v>
      </c>
      <c r="W131" s="36">
        <f>IF(AG131="2",I131,0)</f>
        <v>0</v>
      </c>
      <c r="X131" s="36">
        <f>IF(AG131="0",J131,0)</f>
        <v>0</v>
      </c>
      <c r="Y131" s="29"/>
      <c r="Z131" s="19">
        <f>IF(AD131=0,J131,0)</f>
        <v>0</v>
      </c>
      <c r="AA131" s="19">
        <f>IF(AD131=15,J131,0)</f>
        <v>0</v>
      </c>
      <c r="AB131" s="19">
        <f>IF(AD131=21,J131,0)</f>
        <v>0</v>
      </c>
      <c r="AD131" s="36">
        <v>21</v>
      </c>
      <c r="AE131" s="36">
        <f>G131*0</f>
        <v>0</v>
      </c>
      <c r="AF131" s="36">
        <f>G131*(1-0)</f>
        <v>0</v>
      </c>
      <c r="AG131" s="32" t="s">
        <v>7</v>
      </c>
      <c r="AM131" s="36">
        <f>F131*AE131</f>
        <v>0</v>
      </c>
      <c r="AN131" s="36">
        <f>F131*AF131</f>
        <v>0</v>
      </c>
      <c r="AO131" s="37" t="s">
        <v>426</v>
      </c>
      <c r="AP131" s="37" t="s">
        <v>437</v>
      </c>
      <c r="AQ131" s="29" t="s">
        <v>438</v>
      </c>
      <c r="AS131" s="36">
        <f>AM131+AN131</f>
        <v>0</v>
      </c>
      <c r="AT131" s="36">
        <f>G131/(100-AU131)*100</f>
        <v>0</v>
      </c>
      <c r="AU131" s="36">
        <v>0</v>
      </c>
      <c r="AV131" s="36">
        <f>L131</f>
        <v>0</v>
      </c>
    </row>
    <row r="132" spans="4:6" ht="12.75">
      <c r="D132" s="15" t="s">
        <v>7</v>
      </c>
      <c r="F132" s="20">
        <v>1</v>
      </c>
    </row>
    <row r="133" spans="1:48" ht="12.75">
      <c r="A133" s="4" t="s">
        <v>52</v>
      </c>
      <c r="B133" s="4"/>
      <c r="C133" s="4" t="s">
        <v>140</v>
      </c>
      <c r="D133" s="4" t="s">
        <v>292</v>
      </c>
      <c r="E133" s="4" t="s">
        <v>381</v>
      </c>
      <c r="F133" s="19">
        <v>1</v>
      </c>
      <c r="G133" s="19">
        <v>0</v>
      </c>
      <c r="H133" s="19">
        <f>F133*AE133</f>
        <v>0</v>
      </c>
      <c r="I133" s="19">
        <f>J133-H133</f>
        <v>0</v>
      </c>
      <c r="J133" s="19">
        <f>F133*G133</f>
        <v>0</v>
      </c>
      <c r="K133" s="19">
        <v>0</v>
      </c>
      <c r="L133" s="19">
        <f>F133*K133</f>
        <v>0</v>
      </c>
      <c r="M133" s="32" t="s">
        <v>405</v>
      </c>
      <c r="P133" s="36">
        <f>IF(AG133="5",J133,0)</f>
        <v>0</v>
      </c>
      <c r="R133" s="36">
        <f>IF(AG133="1",H133,0)</f>
        <v>0</v>
      </c>
      <c r="S133" s="36">
        <f>IF(AG133="1",I133,0)</f>
        <v>0</v>
      </c>
      <c r="T133" s="36">
        <f>IF(AG133="7",H133,0)</f>
        <v>0</v>
      </c>
      <c r="U133" s="36">
        <f>IF(AG133="7",I133,0)</f>
        <v>0</v>
      </c>
      <c r="V133" s="36">
        <f>IF(AG133="2",H133,0)</f>
        <v>0</v>
      </c>
      <c r="W133" s="36">
        <f>IF(AG133="2",I133,0)</f>
        <v>0</v>
      </c>
      <c r="X133" s="36">
        <f>IF(AG133="0",J133,0)</f>
        <v>0</v>
      </c>
      <c r="Y133" s="29"/>
      <c r="Z133" s="19">
        <f>IF(AD133=0,J133,0)</f>
        <v>0</v>
      </c>
      <c r="AA133" s="19">
        <f>IF(AD133=15,J133,0)</f>
        <v>0</v>
      </c>
      <c r="AB133" s="19">
        <f>IF(AD133=21,J133,0)</f>
        <v>0</v>
      </c>
      <c r="AD133" s="36">
        <v>21</v>
      </c>
      <c r="AE133" s="36">
        <f>G133*0</f>
        <v>0</v>
      </c>
      <c r="AF133" s="36">
        <f>G133*(1-0)</f>
        <v>0</v>
      </c>
      <c r="AG133" s="32" t="s">
        <v>7</v>
      </c>
      <c r="AM133" s="36">
        <f>F133*AE133</f>
        <v>0</v>
      </c>
      <c r="AN133" s="36">
        <f>F133*AF133</f>
        <v>0</v>
      </c>
      <c r="AO133" s="37" t="s">
        <v>426</v>
      </c>
      <c r="AP133" s="37" t="s">
        <v>437</v>
      </c>
      <c r="AQ133" s="29" t="s">
        <v>438</v>
      </c>
      <c r="AS133" s="36">
        <f>AM133+AN133</f>
        <v>0</v>
      </c>
      <c r="AT133" s="36">
        <f>G133/(100-AU133)*100</f>
        <v>0</v>
      </c>
      <c r="AU133" s="36">
        <v>0</v>
      </c>
      <c r="AV133" s="36">
        <f>L133</f>
        <v>0</v>
      </c>
    </row>
    <row r="134" spans="4:6" ht="12.75">
      <c r="D134" s="15" t="s">
        <v>293</v>
      </c>
      <c r="F134" s="20">
        <v>1</v>
      </c>
    </row>
    <row r="135" spans="1:37" ht="12.75">
      <c r="A135" s="5"/>
      <c r="B135" s="13"/>
      <c r="C135" s="13" t="s">
        <v>141</v>
      </c>
      <c r="D135" s="13" t="s">
        <v>294</v>
      </c>
      <c r="E135" s="5" t="s">
        <v>6</v>
      </c>
      <c r="F135" s="5" t="s">
        <v>6</v>
      </c>
      <c r="G135" s="5" t="s">
        <v>6</v>
      </c>
      <c r="H135" s="39">
        <f>SUM(H136:H166)</f>
        <v>0</v>
      </c>
      <c r="I135" s="39">
        <f>SUM(I136:I166)</f>
        <v>0</v>
      </c>
      <c r="J135" s="39">
        <f>H135+I135</f>
        <v>0</v>
      </c>
      <c r="K135" s="29"/>
      <c r="L135" s="39">
        <f>SUM(L136:L166)</f>
        <v>428.84695600000003</v>
      </c>
      <c r="M135" s="29"/>
      <c r="Y135" s="29"/>
      <c r="AI135" s="39">
        <f>SUM(Z136:Z166)</f>
        <v>0</v>
      </c>
      <c r="AJ135" s="39">
        <f>SUM(AA136:AA166)</f>
        <v>0</v>
      </c>
      <c r="AK135" s="39">
        <f>SUM(AB136:AB166)</f>
        <v>0</v>
      </c>
    </row>
    <row r="136" spans="1:48" ht="12.75">
      <c r="A136" s="4" t="s">
        <v>53</v>
      </c>
      <c r="B136" s="4"/>
      <c r="C136" s="4" t="s">
        <v>142</v>
      </c>
      <c r="D136" s="4" t="s">
        <v>295</v>
      </c>
      <c r="E136" s="4" t="s">
        <v>382</v>
      </c>
      <c r="F136" s="19">
        <v>15</v>
      </c>
      <c r="G136" s="19">
        <v>0</v>
      </c>
      <c r="H136" s="19">
        <f>F136*AE136</f>
        <v>0</v>
      </c>
      <c r="I136" s="19">
        <f>J136-H136</f>
        <v>0</v>
      </c>
      <c r="J136" s="19">
        <f>F136*G136</f>
        <v>0</v>
      </c>
      <c r="K136" s="19">
        <v>0.25</v>
      </c>
      <c r="L136" s="19">
        <f>F136*K136</f>
        <v>3.75</v>
      </c>
      <c r="M136" s="32" t="s">
        <v>405</v>
      </c>
      <c r="P136" s="36">
        <f>IF(AG136="5",J136,0)</f>
        <v>0</v>
      </c>
      <c r="R136" s="36">
        <f>IF(AG136="1",H136,0)</f>
        <v>0</v>
      </c>
      <c r="S136" s="36">
        <f>IF(AG136="1",I136,0)</f>
        <v>0</v>
      </c>
      <c r="T136" s="36">
        <f>IF(AG136="7",H136,0)</f>
        <v>0</v>
      </c>
      <c r="U136" s="36">
        <f>IF(AG136="7",I136,0)</f>
        <v>0</v>
      </c>
      <c r="V136" s="36">
        <f>IF(AG136="2",H136,0)</f>
        <v>0</v>
      </c>
      <c r="W136" s="36">
        <f>IF(AG136="2",I136,0)</f>
        <v>0</v>
      </c>
      <c r="X136" s="36">
        <f>IF(AG136="0",J136,0)</f>
        <v>0</v>
      </c>
      <c r="Y136" s="29"/>
      <c r="Z136" s="19">
        <f>IF(AD136=0,J136,0)</f>
        <v>0</v>
      </c>
      <c r="AA136" s="19">
        <f>IF(AD136=15,J136,0)</f>
        <v>0</v>
      </c>
      <c r="AB136" s="19">
        <f>IF(AD136=21,J136,0)</f>
        <v>0</v>
      </c>
      <c r="AD136" s="36">
        <v>21</v>
      </c>
      <c r="AE136" s="36">
        <f>G136*0.406719056180683</f>
        <v>0</v>
      </c>
      <c r="AF136" s="36">
        <f>G136*(1-0.406719056180683)</f>
        <v>0</v>
      </c>
      <c r="AG136" s="32" t="s">
        <v>7</v>
      </c>
      <c r="AM136" s="36">
        <f>F136*AE136</f>
        <v>0</v>
      </c>
      <c r="AN136" s="36">
        <f>F136*AF136</f>
        <v>0</v>
      </c>
      <c r="AO136" s="37" t="s">
        <v>427</v>
      </c>
      <c r="AP136" s="37" t="s">
        <v>437</v>
      </c>
      <c r="AQ136" s="29" t="s">
        <v>438</v>
      </c>
      <c r="AS136" s="36">
        <f>AM136+AN136</f>
        <v>0</v>
      </c>
      <c r="AT136" s="36">
        <f>G136/(100-AU136)*100</f>
        <v>0</v>
      </c>
      <c r="AU136" s="36">
        <v>0</v>
      </c>
      <c r="AV136" s="36">
        <f>L136</f>
        <v>3.75</v>
      </c>
    </row>
    <row r="137" spans="4:6" ht="12.75">
      <c r="D137" s="15" t="s">
        <v>21</v>
      </c>
      <c r="F137" s="20">
        <v>15</v>
      </c>
    </row>
    <row r="138" spans="1:48" ht="12.75">
      <c r="A138" s="6" t="s">
        <v>54</v>
      </c>
      <c r="B138" s="6"/>
      <c r="C138" s="6" t="s">
        <v>143</v>
      </c>
      <c r="D138" s="6" t="s">
        <v>296</v>
      </c>
      <c r="E138" s="6" t="s">
        <v>382</v>
      </c>
      <c r="F138" s="21">
        <v>2</v>
      </c>
      <c r="G138" s="21">
        <v>0</v>
      </c>
      <c r="H138" s="21">
        <f>F138*AE138</f>
        <v>0</v>
      </c>
      <c r="I138" s="21">
        <f>J138-H138</f>
        <v>0</v>
      </c>
      <c r="J138" s="21">
        <f>F138*G138</f>
        <v>0</v>
      </c>
      <c r="K138" s="21">
        <v>0.007</v>
      </c>
      <c r="L138" s="21">
        <f>F138*K138</f>
        <v>0.014</v>
      </c>
      <c r="M138" s="33" t="s">
        <v>405</v>
      </c>
      <c r="P138" s="36">
        <f>IF(AG138="5",J138,0)</f>
        <v>0</v>
      </c>
      <c r="R138" s="36">
        <f>IF(AG138="1",H138,0)</f>
        <v>0</v>
      </c>
      <c r="S138" s="36">
        <f>IF(AG138="1",I138,0)</f>
        <v>0</v>
      </c>
      <c r="T138" s="36">
        <f>IF(AG138="7",H138,0)</f>
        <v>0</v>
      </c>
      <c r="U138" s="36">
        <f>IF(AG138="7",I138,0)</f>
        <v>0</v>
      </c>
      <c r="V138" s="36">
        <f>IF(AG138="2",H138,0)</f>
        <v>0</v>
      </c>
      <c r="W138" s="36">
        <f>IF(AG138="2",I138,0)</f>
        <v>0</v>
      </c>
      <c r="X138" s="36">
        <f>IF(AG138="0",J138,0)</f>
        <v>0</v>
      </c>
      <c r="Y138" s="29"/>
      <c r="Z138" s="21">
        <f>IF(AD138=0,J138,0)</f>
        <v>0</v>
      </c>
      <c r="AA138" s="21">
        <f>IF(AD138=15,J138,0)</f>
        <v>0</v>
      </c>
      <c r="AB138" s="21">
        <f>IF(AD138=21,J138,0)</f>
        <v>0</v>
      </c>
      <c r="AD138" s="36">
        <v>21</v>
      </c>
      <c r="AE138" s="36">
        <f>G138*1</f>
        <v>0</v>
      </c>
      <c r="AF138" s="36">
        <f>G138*(1-1)</f>
        <v>0</v>
      </c>
      <c r="AG138" s="33" t="s">
        <v>7</v>
      </c>
      <c r="AM138" s="36">
        <f>F138*AE138</f>
        <v>0</v>
      </c>
      <c r="AN138" s="36">
        <f>F138*AF138</f>
        <v>0</v>
      </c>
      <c r="AO138" s="37" t="s">
        <v>427</v>
      </c>
      <c r="AP138" s="37" t="s">
        <v>437</v>
      </c>
      <c r="AQ138" s="29" t="s">
        <v>438</v>
      </c>
      <c r="AS138" s="36">
        <f>AM138+AN138</f>
        <v>0</v>
      </c>
      <c r="AT138" s="36">
        <f>G138/(100-AU138)*100</f>
        <v>0</v>
      </c>
      <c r="AU138" s="36">
        <v>0</v>
      </c>
      <c r="AV138" s="36">
        <f>L138</f>
        <v>0.014</v>
      </c>
    </row>
    <row r="139" spans="4:6" ht="12.75">
      <c r="D139" s="15" t="s">
        <v>8</v>
      </c>
      <c r="F139" s="20">
        <v>2</v>
      </c>
    </row>
    <row r="140" spans="1:48" ht="12.75">
      <c r="A140" s="6" t="s">
        <v>55</v>
      </c>
      <c r="B140" s="6"/>
      <c r="C140" s="6" t="s">
        <v>144</v>
      </c>
      <c r="D140" s="6" t="s">
        <v>297</v>
      </c>
      <c r="E140" s="6" t="s">
        <v>382</v>
      </c>
      <c r="F140" s="21">
        <v>1</v>
      </c>
      <c r="G140" s="21">
        <v>0</v>
      </c>
      <c r="H140" s="21">
        <f>F140*AE140</f>
        <v>0</v>
      </c>
      <c r="I140" s="21">
        <f>J140-H140</f>
        <v>0</v>
      </c>
      <c r="J140" s="21">
        <f>F140*G140</f>
        <v>0</v>
      </c>
      <c r="K140" s="21">
        <v>0.0051</v>
      </c>
      <c r="L140" s="21">
        <f>F140*K140</f>
        <v>0.0051</v>
      </c>
      <c r="M140" s="33" t="s">
        <v>405</v>
      </c>
      <c r="P140" s="36">
        <f>IF(AG140="5",J140,0)</f>
        <v>0</v>
      </c>
      <c r="R140" s="36">
        <f>IF(AG140="1",H140,0)</f>
        <v>0</v>
      </c>
      <c r="S140" s="36">
        <f>IF(AG140="1",I140,0)</f>
        <v>0</v>
      </c>
      <c r="T140" s="36">
        <f>IF(AG140="7",H140,0)</f>
        <v>0</v>
      </c>
      <c r="U140" s="36">
        <f>IF(AG140="7",I140,0)</f>
        <v>0</v>
      </c>
      <c r="V140" s="36">
        <f>IF(AG140="2",H140,0)</f>
        <v>0</v>
      </c>
      <c r="W140" s="36">
        <f>IF(AG140="2",I140,0)</f>
        <v>0</v>
      </c>
      <c r="X140" s="36">
        <f>IF(AG140="0",J140,0)</f>
        <v>0</v>
      </c>
      <c r="Y140" s="29"/>
      <c r="Z140" s="21">
        <f>IF(AD140=0,J140,0)</f>
        <v>0</v>
      </c>
      <c r="AA140" s="21">
        <f>IF(AD140=15,J140,0)</f>
        <v>0</v>
      </c>
      <c r="AB140" s="21">
        <f>IF(AD140=21,J140,0)</f>
        <v>0</v>
      </c>
      <c r="AD140" s="36">
        <v>21</v>
      </c>
      <c r="AE140" s="36">
        <f>G140*1</f>
        <v>0</v>
      </c>
      <c r="AF140" s="36">
        <f>G140*(1-1)</f>
        <v>0</v>
      </c>
      <c r="AG140" s="33" t="s">
        <v>7</v>
      </c>
      <c r="AM140" s="36">
        <f>F140*AE140</f>
        <v>0</v>
      </c>
      <c r="AN140" s="36">
        <f>F140*AF140</f>
        <v>0</v>
      </c>
      <c r="AO140" s="37" t="s">
        <v>427</v>
      </c>
      <c r="AP140" s="37" t="s">
        <v>437</v>
      </c>
      <c r="AQ140" s="29" t="s">
        <v>438</v>
      </c>
      <c r="AS140" s="36">
        <f>AM140+AN140</f>
        <v>0</v>
      </c>
      <c r="AT140" s="36">
        <f>G140/(100-AU140)*100</f>
        <v>0</v>
      </c>
      <c r="AU140" s="36">
        <v>0</v>
      </c>
      <c r="AV140" s="36">
        <f>L140</f>
        <v>0.0051</v>
      </c>
    </row>
    <row r="141" spans="4:6" ht="12.75">
      <c r="D141" s="15" t="s">
        <v>7</v>
      </c>
      <c r="F141" s="20">
        <v>1</v>
      </c>
    </row>
    <row r="142" spans="1:48" ht="12.75">
      <c r="A142" s="6" t="s">
        <v>56</v>
      </c>
      <c r="B142" s="6"/>
      <c r="C142" s="6" t="s">
        <v>145</v>
      </c>
      <c r="D142" s="6" t="s">
        <v>298</v>
      </c>
      <c r="E142" s="6" t="s">
        <v>382</v>
      </c>
      <c r="F142" s="21">
        <v>2</v>
      </c>
      <c r="G142" s="21">
        <v>0</v>
      </c>
      <c r="H142" s="21">
        <f>F142*AE142</f>
        <v>0</v>
      </c>
      <c r="I142" s="21">
        <f>J142-H142</f>
        <v>0</v>
      </c>
      <c r="J142" s="21">
        <f>F142*G142</f>
        <v>0</v>
      </c>
      <c r="K142" s="21">
        <v>0.0051</v>
      </c>
      <c r="L142" s="21">
        <f>F142*K142</f>
        <v>0.0102</v>
      </c>
      <c r="M142" s="33" t="s">
        <v>405</v>
      </c>
      <c r="P142" s="36">
        <f>IF(AG142="5",J142,0)</f>
        <v>0</v>
      </c>
      <c r="R142" s="36">
        <f>IF(AG142="1",H142,0)</f>
        <v>0</v>
      </c>
      <c r="S142" s="36">
        <f>IF(AG142="1",I142,0)</f>
        <v>0</v>
      </c>
      <c r="T142" s="36">
        <f>IF(AG142="7",H142,0)</f>
        <v>0</v>
      </c>
      <c r="U142" s="36">
        <f>IF(AG142="7",I142,0)</f>
        <v>0</v>
      </c>
      <c r="V142" s="36">
        <f>IF(AG142="2",H142,0)</f>
        <v>0</v>
      </c>
      <c r="W142" s="36">
        <f>IF(AG142="2",I142,0)</f>
        <v>0</v>
      </c>
      <c r="X142" s="36">
        <f>IF(AG142="0",J142,0)</f>
        <v>0</v>
      </c>
      <c r="Y142" s="29"/>
      <c r="Z142" s="21">
        <f>IF(AD142=0,J142,0)</f>
        <v>0</v>
      </c>
      <c r="AA142" s="21">
        <f>IF(AD142=15,J142,0)</f>
        <v>0</v>
      </c>
      <c r="AB142" s="21">
        <f>IF(AD142=21,J142,0)</f>
        <v>0</v>
      </c>
      <c r="AD142" s="36">
        <v>21</v>
      </c>
      <c r="AE142" s="36">
        <f>G142*1</f>
        <v>0</v>
      </c>
      <c r="AF142" s="36">
        <f>G142*(1-1)</f>
        <v>0</v>
      </c>
      <c r="AG142" s="33" t="s">
        <v>7</v>
      </c>
      <c r="AM142" s="36">
        <f>F142*AE142</f>
        <v>0</v>
      </c>
      <c r="AN142" s="36">
        <f>F142*AF142</f>
        <v>0</v>
      </c>
      <c r="AO142" s="37" t="s">
        <v>427</v>
      </c>
      <c r="AP142" s="37" t="s">
        <v>437</v>
      </c>
      <c r="AQ142" s="29" t="s">
        <v>438</v>
      </c>
      <c r="AS142" s="36">
        <f>AM142+AN142</f>
        <v>0</v>
      </c>
      <c r="AT142" s="36">
        <f>G142/(100-AU142)*100</f>
        <v>0</v>
      </c>
      <c r="AU142" s="36">
        <v>0</v>
      </c>
      <c r="AV142" s="36">
        <f>L142</f>
        <v>0.0102</v>
      </c>
    </row>
    <row r="143" spans="4:6" ht="12.75">
      <c r="D143" s="15" t="s">
        <v>8</v>
      </c>
      <c r="F143" s="20">
        <v>2</v>
      </c>
    </row>
    <row r="144" spans="1:48" ht="12.75">
      <c r="A144" s="6" t="s">
        <v>57</v>
      </c>
      <c r="B144" s="6"/>
      <c r="C144" s="6" t="s">
        <v>146</v>
      </c>
      <c r="D144" s="6" t="s">
        <v>299</v>
      </c>
      <c r="E144" s="6" t="s">
        <v>382</v>
      </c>
      <c r="F144" s="21">
        <v>1</v>
      </c>
      <c r="G144" s="21">
        <v>0</v>
      </c>
      <c r="H144" s="21">
        <f>F144*AE144</f>
        <v>0</v>
      </c>
      <c r="I144" s="21">
        <f>J144-H144</f>
        <v>0</v>
      </c>
      <c r="J144" s="21">
        <f>F144*G144</f>
        <v>0</v>
      </c>
      <c r="K144" s="21">
        <v>0.0051</v>
      </c>
      <c r="L144" s="21">
        <f>F144*K144</f>
        <v>0.0051</v>
      </c>
      <c r="M144" s="33" t="s">
        <v>405</v>
      </c>
      <c r="P144" s="36">
        <f>IF(AG144="5",J144,0)</f>
        <v>0</v>
      </c>
      <c r="R144" s="36">
        <f>IF(AG144="1",H144,0)</f>
        <v>0</v>
      </c>
      <c r="S144" s="36">
        <f>IF(AG144="1",I144,0)</f>
        <v>0</v>
      </c>
      <c r="T144" s="36">
        <f>IF(AG144="7",H144,0)</f>
        <v>0</v>
      </c>
      <c r="U144" s="36">
        <f>IF(AG144="7",I144,0)</f>
        <v>0</v>
      </c>
      <c r="V144" s="36">
        <f>IF(AG144="2",H144,0)</f>
        <v>0</v>
      </c>
      <c r="W144" s="36">
        <f>IF(AG144="2",I144,0)</f>
        <v>0</v>
      </c>
      <c r="X144" s="36">
        <f>IF(AG144="0",J144,0)</f>
        <v>0</v>
      </c>
      <c r="Y144" s="29"/>
      <c r="Z144" s="21">
        <f>IF(AD144=0,J144,0)</f>
        <v>0</v>
      </c>
      <c r="AA144" s="21">
        <f>IF(AD144=15,J144,0)</f>
        <v>0</v>
      </c>
      <c r="AB144" s="21">
        <f>IF(AD144=21,J144,0)</f>
        <v>0</v>
      </c>
      <c r="AD144" s="36">
        <v>21</v>
      </c>
      <c r="AE144" s="36">
        <f>G144*1</f>
        <v>0</v>
      </c>
      <c r="AF144" s="36">
        <f>G144*(1-1)</f>
        <v>0</v>
      </c>
      <c r="AG144" s="33" t="s">
        <v>7</v>
      </c>
      <c r="AM144" s="36">
        <f>F144*AE144</f>
        <v>0</v>
      </c>
      <c r="AN144" s="36">
        <f>F144*AF144</f>
        <v>0</v>
      </c>
      <c r="AO144" s="37" t="s">
        <v>427</v>
      </c>
      <c r="AP144" s="37" t="s">
        <v>437</v>
      </c>
      <c r="AQ144" s="29" t="s">
        <v>438</v>
      </c>
      <c r="AS144" s="36">
        <f>AM144+AN144</f>
        <v>0</v>
      </c>
      <c r="AT144" s="36">
        <f>G144/(100-AU144)*100</f>
        <v>0</v>
      </c>
      <c r="AU144" s="36">
        <v>0</v>
      </c>
      <c r="AV144" s="36">
        <f>L144</f>
        <v>0.0051</v>
      </c>
    </row>
    <row r="145" spans="4:6" ht="12.75">
      <c r="D145" s="15" t="s">
        <v>7</v>
      </c>
      <c r="F145" s="20">
        <v>1</v>
      </c>
    </row>
    <row r="146" spans="1:48" ht="12.75">
      <c r="A146" s="6" t="s">
        <v>58</v>
      </c>
      <c r="B146" s="6"/>
      <c r="C146" s="6" t="s">
        <v>147</v>
      </c>
      <c r="D146" s="6" t="s">
        <v>490</v>
      </c>
      <c r="E146" s="6" t="s">
        <v>382</v>
      </c>
      <c r="F146" s="21">
        <v>6</v>
      </c>
      <c r="G146" s="21">
        <v>0</v>
      </c>
      <c r="H146" s="21">
        <f>F146*AE146</f>
        <v>0</v>
      </c>
      <c r="I146" s="21">
        <f>J146-H146</f>
        <v>0</v>
      </c>
      <c r="J146" s="21">
        <f>F146*G146</f>
        <v>0</v>
      </c>
      <c r="K146" s="21">
        <v>0.0051</v>
      </c>
      <c r="L146" s="21">
        <f>F146*K146</f>
        <v>0.030600000000000002</v>
      </c>
      <c r="M146" s="33" t="s">
        <v>405</v>
      </c>
      <c r="P146" s="36">
        <f>IF(AG146="5",J146,0)</f>
        <v>0</v>
      </c>
      <c r="R146" s="36">
        <f>IF(AG146="1",H146,0)</f>
        <v>0</v>
      </c>
      <c r="S146" s="36">
        <f>IF(AG146="1",I146,0)</f>
        <v>0</v>
      </c>
      <c r="T146" s="36">
        <f>IF(AG146="7",H146,0)</f>
        <v>0</v>
      </c>
      <c r="U146" s="36">
        <f>IF(AG146="7",I146,0)</f>
        <v>0</v>
      </c>
      <c r="V146" s="36">
        <f>IF(AG146="2",H146,0)</f>
        <v>0</v>
      </c>
      <c r="W146" s="36">
        <f>IF(AG146="2",I146,0)</f>
        <v>0</v>
      </c>
      <c r="X146" s="36">
        <f>IF(AG146="0",J146,0)</f>
        <v>0</v>
      </c>
      <c r="Y146" s="29"/>
      <c r="Z146" s="21">
        <f>IF(AD146=0,J146,0)</f>
        <v>0</v>
      </c>
      <c r="AA146" s="21">
        <f>IF(AD146=15,J146,0)</f>
        <v>0</v>
      </c>
      <c r="AB146" s="21">
        <f>IF(AD146=21,J146,0)</f>
        <v>0</v>
      </c>
      <c r="AD146" s="36">
        <v>21</v>
      </c>
      <c r="AE146" s="36">
        <f>G146*1</f>
        <v>0</v>
      </c>
      <c r="AF146" s="36">
        <f>G146*(1-1)</f>
        <v>0</v>
      </c>
      <c r="AG146" s="33" t="s">
        <v>7</v>
      </c>
      <c r="AM146" s="36">
        <f>F146*AE146</f>
        <v>0</v>
      </c>
      <c r="AN146" s="36">
        <f>F146*AF146</f>
        <v>0</v>
      </c>
      <c r="AO146" s="37" t="s">
        <v>427</v>
      </c>
      <c r="AP146" s="37" t="s">
        <v>437</v>
      </c>
      <c r="AQ146" s="29" t="s">
        <v>438</v>
      </c>
      <c r="AS146" s="36">
        <f>AM146+AN146</f>
        <v>0</v>
      </c>
      <c r="AT146" s="36">
        <f>G146/(100-AU146)*100</f>
        <v>0</v>
      </c>
      <c r="AU146" s="36">
        <v>0</v>
      </c>
      <c r="AV146" s="36">
        <f>L146</f>
        <v>0.030600000000000002</v>
      </c>
    </row>
    <row r="147" spans="4:6" ht="12.75">
      <c r="D147" s="15" t="s">
        <v>12</v>
      </c>
      <c r="F147" s="20">
        <v>6</v>
      </c>
    </row>
    <row r="148" spans="1:48" ht="12.75">
      <c r="A148" s="6" t="s">
        <v>59</v>
      </c>
      <c r="B148" s="6"/>
      <c r="C148" s="6" t="s">
        <v>148</v>
      </c>
      <c r="D148" s="6" t="s">
        <v>300</v>
      </c>
      <c r="E148" s="6" t="s">
        <v>382</v>
      </c>
      <c r="F148" s="21">
        <v>15</v>
      </c>
      <c r="G148" s="21">
        <v>0</v>
      </c>
      <c r="H148" s="21">
        <f>F148*AE148</f>
        <v>0</v>
      </c>
      <c r="I148" s="21">
        <f>J148-H148</f>
        <v>0</v>
      </c>
      <c r="J148" s="21">
        <f>F148*G148</f>
        <v>0</v>
      </c>
      <c r="K148" s="21">
        <v>0</v>
      </c>
      <c r="L148" s="21">
        <f>F148*K148</f>
        <v>0</v>
      </c>
      <c r="M148" s="33" t="s">
        <v>405</v>
      </c>
      <c r="P148" s="36">
        <f>IF(AG148="5",J148,0)</f>
        <v>0</v>
      </c>
      <c r="R148" s="36">
        <f>IF(AG148="1",H148,0)</f>
        <v>0</v>
      </c>
      <c r="S148" s="36">
        <f>IF(AG148="1",I148,0)</f>
        <v>0</v>
      </c>
      <c r="T148" s="36">
        <f>IF(AG148="7",H148,0)</f>
        <v>0</v>
      </c>
      <c r="U148" s="36">
        <f>IF(AG148="7",I148,0)</f>
        <v>0</v>
      </c>
      <c r="V148" s="36">
        <f>IF(AG148="2",H148,0)</f>
        <v>0</v>
      </c>
      <c r="W148" s="36">
        <f>IF(AG148="2",I148,0)</f>
        <v>0</v>
      </c>
      <c r="X148" s="36">
        <f>IF(AG148="0",J148,0)</f>
        <v>0</v>
      </c>
      <c r="Y148" s="29"/>
      <c r="Z148" s="21">
        <f>IF(AD148=0,J148,0)</f>
        <v>0</v>
      </c>
      <c r="AA148" s="21">
        <f>IF(AD148=15,J148,0)</f>
        <v>0</v>
      </c>
      <c r="AB148" s="21">
        <f>IF(AD148=21,J148,0)</f>
        <v>0</v>
      </c>
      <c r="AD148" s="36">
        <v>21</v>
      </c>
      <c r="AE148" s="36">
        <f>G148*1</f>
        <v>0</v>
      </c>
      <c r="AF148" s="36">
        <f>G148*(1-1)</f>
        <v>0</v>
      </c>
      <c r="AG148" s="33" t="s">
        <v>7</v>
      </c>
      <c r="AM148" s="36">
        <f>F148*AE148</f>
        <v>0</v>
      </c>
      <c r="AN148" s="36">
        <f>F148*AF148</f>
        <v>0</v>
      </c>
      <c r="AO148" s="37" t="s">
        <v>427</v>
      </c>
      <c r="AP148" s="37" t="s">
        <v>437</v>
      </c>
      <c r="AQ148" s="29" t="s">
        <v>438</v>
      </c>
      <c r="AS148" s="36">
        <f>AM148+AN148</f>
        <v>0</v>
      </c>
      <c r="AT148" s="36">
        <f>G148/(100-AU148)*100</f>
        <v>0</v>
      </c>
      <c r="AU148" s="36">
        <v>0</v>
      </c>
      <c r="AV148" s="36">
        <f>L148</f>
        <v>0</v>
      </c>
    </row>
    <row r="149" spans="4:6" ht="12.75">
      <c r="D149" s="15" t="s">
        <v>22</v>
      </c>
      <c r="F149" s="20">
        <v>16</v>
      </c>
    </row>
    <row r="150" spans="1:48" ht="12.75">
      <c r="A150" s="4" t="s">
        <v>60</v>
      </c>
      <c r="B150" s="4"/>
      <c r="C150" s="4" t="s">
        <v>149</v>
      </c>
      <c r="D150" s="4" t="s">
        <v>301</v>
      </c>
      <c r="E150" s="4" t="s">
        <v>379</v>
      </c>
      <c r="F150" s="19">
        <v>785.6</v>
      </c>
      <c r="G150" s="19">
        <v>0</v>
      </c>
      <c r="H150" s="19">
        <f>F150*AE150</f>
        <v>0</v>
      </c>
      <c r="I150" s="19">
        <f>J150-H150</f>
        <v>0</v>
      </c>
      <c r="J150" s="19">
        <f>F150*G150</f>
        <v>0</v>
      </c>
      <c r="K150" s="19">
        <v>0.15305</v>
      </c>
      <c r="L150" s="19">
        <f>F150*K150</f>
        <v>120.23608</v>
      </c>
      <c r="M150" s="32" t="s">
        <v>405</v>
      </c>
      <c r="P150" s="36">
        <f>IF(AG150="5",J150,0)</f>
        <v>0</v>
      </c>
      <c r="R150" s="36">
        <f>IF(AG150="1",H150,0)</f>
        <v>0</v>
      </c>
      <c r="S150" s="36">
        <f>IF(AG150="1",I150,0)</f>
        <v>0</v>
      </c>
      <c r="T150" s="36">
        <f>IF(AG150="7",H150,0)</f>
        <v>0</v>
      </c>
      <c r="U150" s="36">
        <f>IF(AG150="7",I150,0)</f>
        <v>0</v>
      </c>
      <c r="V150" s="36">
        <f>IF(AG150="2",H150,0)</f>
        <v>0</v>
      </c>
      <c r="W150" s="36">
        <f>IF(AG150="2",I150,0)</f>
        <v>0</v>
      </c>
      <c r="X150" s="36">
        <f>IF(AG150="0",J150,0)</f>
        <v>0</v>
      </c>
      <c r="Y150" s="29"/>
      <c r="Z150" s="19">
        <f>IF(AD150=0,J150,0)</f>
        <v>0</v>
      </c>
      <c r="AA150" s="19">
        <f>IF(AD150=15,J150,0)</f>
        <v>0</v>
      </c>
      <c r="AB150" s="19">
        <f>IF(AD150=21,J150,0)</f>
        <v>0</v>
      </c>
      <c r="AD150" s="36">
        <v>21</v>
      </c>
      <c r="AE150" s="36">
        <f>G150*0.755594713656388</f>
        <v>0</v>
      </c>
      <c r="AF150" s="36">
        <f>G150*(1-0.755594713656388)</f>
        <v>0</v>
      </c>
      <c r="AG150" s="32" t="s">
        <v>7</v>
      </c>
      <c r="AM150" s="36">
        <f>F150*AE150</f>
        <v>0</v>
      </c>
      <c r="AN150" s="36">
        <f>F150*AF150</f>
        <v>0</v>
      </c>
      <c r="AO150" s="37" t="s">
        <v>427</v>
      </c>
      <c r="AP150" s="37" t="s">
        <v>437</v>
      </c>
      <c r="AQ150" s="29" t="s">
        <v>438</v>
      </c>
      <c r="AS150" s="36">
        <f>AM150+AN150</f>
        <v>0</v>
      </c>
      <c r="AT150" s="36">
        <f>G150/(100-AU150)*100</f>
        <v>0</v>
      </c>
      <c r="AU150" s="36">
        <v>0</v>
      </c>
      <c r="AV150" s="36">
        <f>L150</f>
        <v>120.23608</v>
      </c>
    </row>
    <row r="151" spans="4:6" ht="12.75">
      <c r="D151" s="15" t="s">
        <v>302</v>
      </c>
      <c r="F151" s="20">
        <v>592.4</v>
      </c>
    </row>
    <row r="152" spans="4:6" ht="12.75">
      <c r="D152" s="15" t="s">
        <v>303</v>
      </c>
      <c r="F152" s="20">
        <v>138.4</v>
      </c>
    </row>
    <row r="153" spans="4:6" ht="12.75">
      <c r="D153" s="15" t="s">
        <v>304</v>
      </c>
      <c r="F153" s="20">
        <v>54.8</v>
      </c>
    </row>
    <row r="154" spans="1:48" ht="12.75">
      <c r="A154" s="4" t="s">
        <v>61</v>
      </c>
      <c r="B154" s="4"/>
      <c r="C154" s="4" t="s">
        <v>150</v>
      </c>
      <c r="D154" s="4" t="s">
        <v>305</v>
      </c>
      <c r="E154" s="4" t="s">
        <v>379</v>
      </c>
      <c r="F154" s="19">
        <v>924.4</v>
      </c>
      <c r="G154" s="19">
        <v>0</v>
      </c>
      <c r="H154" s="19">
        <f>F154*AE154</f>
        <v>0</v>
      </c>
      <c r="I154" s="19">
        <f>J154-H154</f>
        <v>0</v>
      </c>
      <c r="J154" s="19">
        <f>F154*G154</f>
        <v>0</v>
      </c>
      <c r="K154" s="19">
        <v>0.30847</v>
      </c>
      <c r="L154" s="19">
        <f>F154*K154</f>
        <v>285.149668</v>
      </c>
      <c r="M154" s="32" t="s">
        <v>405</v>
      </c>
      <c r="P154" s="36">
        <f>IF(AG154="5",J154,0)</f>
        <v>0</v>
      </c>
      <c r="R154" s="36">
        <f>IF(AG154="1",H154,0)</f>
        <v>0</v>
      </c>
      <c r="S154" s="36">
        <f>IF(AG154="1",I154,0)</f>
        <v>0</v>
      </c>
      <c r="T154" s="36">
        <f>IF(AG154="7",H154,0)</f>
        <v>0</v>
      </c>
      <c r="U154" s="36">
        <f>IF(AG154="7",I154,0)</f>
        <v>0</v>
      </c>
      <c r="V154" s="36">
        <f>IF(AG154="2",H154,0)</f>
        <v>0</v>
      </c>
      <c r="W154" s="36">
        <f>IF(AG154="2",I154,0)</f>
        <v>0</v>
      </c>
      <c r="X154" s="36">
        <f>IF(AG154="0",J154,0)</f>
        <v>0</v>
      </c>
      <c r="Y154" s="29"/>
      <c r="Z154" s="19">
        <f>IF(AD154=0,J154,0)</f>
        <v>0</v>
      </c>
      <c r="AA154" s="19">
        <f>IF(AD154=15,J154,0)</f>
        <v>0</v>
      </c>
      <c r="AB154" s="19">
        <f>IF(AD154=21,J154,0)</f>
        <v>0</v>
      </c>
      <c r="AD154" s="36">
        <v>21</v>
      </c>
      <c r="AE154" s="36">
        <f>G154*0.749860788863109</f>
        <v>0</v>
      </c>
      <c r="AF154" s="36">
        <f>G154*(1-0.749860788863109)</f>
        <v>0</v>
      </c>
      <c r="AG154" s="32" t="s">
        <v>7</v>
      </c>
      <c r="AM154" s="36">
        <f>F154*AE154</f>
        <v>0</v>
      </c>
      <c r="AN154" s="36">
        <f>F154*AF154</f>
        <v>0</v>
      </c>
      <c r="AO154" s="37" t="s">
        <v>427</v>
      </c>
      <c r="AP154" s="37" t="s">
        <v>437</v>
      </c>
      <c r="AQ154" s="29" t="s">
        <v>438</v>
      </c>
      <c r="AS154" s="36">
        <f>AM154+AN154</f>
        <v>0</v>
      </c>
      <c r="AT154" s="36">
        <f>G154/(100-AU154)*100</f>
        <v>0</v>
      </c>
      <c r="AU154" s="36">
        <v>0</v>
      </c>
      <c r="AV154" s="36">
        <f>L154</f>
        <v>285.149668</v>
      </c>
    </row>
    <row r="155" spans="4:6" ht="12.75">
      <c r="D155" s="15" t="s">
        <v>306</v>
      </c>
      <c r="F155" s="20">
        <v>390</v>
      </c>
    </row>
    <row r="156" spans="4:6" ht="12.75">
      <c r="D156" s="15" t="s">
        <v>307</v>
      </c>
      <c r="F156" s="20">
        <v>28</v>
      </c>
    </row>
    <row r="157" spans="4:6" ht="12.75">
      <c r="D157" s="15" t="s">
        <v>308</v>
      </c>
      <c r="F157" s="20">
        <v>154</v>
      </c>
    </row>
    <row r="158" spans="4:6" ht="12.75">
      <c r="D158" s="15" t="s">
        <v>309</v>
      </c>
      <c r="F158" s="20">
        <v>74.4</v>
      </c>
    </row>
    <row r="159" spans="4:6" ht="12.75">
      <c r="D159" s="15" t="s">
        <v>310</v>
      </c>
      <c r="F159" s="20">
        <v>278</v>
      </c>
    </row>
    <row r="160" spans="1:48" ht="12.75">
      <c r="A160" s="4" t="s">
        <v>62</v>
      </c>
      <c r="B160" s="4"/>
      <c r="C160" s="4" t="s">
        <v>151</v>
      </c>
      <c r="D160" s="4" t="s">
        <v>311</v>
      </c>
      <c r="E160" s="4" t="s">
        <v>379</v>
      </c>
      <c r="F160" s="19">
        <v>31</v>
      </c>
      <c r="G160" s="19">
        <v>0</v>
      </c>
      <c r="H160" s="19">
        <f>F160*AE160</f>
        <v>0</v>
      </c>
      <c r="I160" s="19">
        <f>J160-H160</f>
        <v>0</v>
      </c>
      <c r="J160" s="19">
        <f>F160*G160</f>
        <v>0</v>
      </c>
      <c r="K160" s="19">
        <v>0</v>
      </c>
      <c r="L160" s="19">
        <f>F160*K160</f>
        <v>0</v>
      </c>
      <c r="M160" s="32" t="s">
        <v>405</v>
      </c>
      <c r="P160" s="36">
        <f>IF(AG160="5",J160,0)</f>
        <v>0</v>
      </c>
      <c r="R160" s="36">
        <f>IF(AG160="1",H160,0)</f>
        <v>0</v>
      </c>
      <c r="S160" s="36">
        <f>IF(AG160="1",I160,0)</f>
        <v>0</v>
      </c>
      <c r="T160" s="36">
        <f>IF(AG160="7",H160,0)</f>
        <v>0</v>
      </c>
      <c r="U160" s="36">
        <f>IF(AG160="7",I160,0)</f>
        <v>0</v>
      </c>
      <c r="V160" s="36">
        <f>IF(AG160="2",H160,0)</f>
        <v>0</v>
      </c>
      <c r="W160" s="36">
        <f>IF(AG160="2",I160,0)</f>
        <v>0</v>
      </c>
      <c r="X160" s="36">
        <f>IF(AG160="0",J160,0)</f>
        <v>0</v>
      </c>
      <c r="Y160" s="29"/>
      <c r="Z160" s="19">
        <f>IF(AD160=0,J160,0)</f>
        <v>0</v>
      </c>
      <c r="AA160" s="19">
        <f>IF(AD160=15,J160,0)</f>
        <v>0</v>
      </c>
      <c r="AB160" s="19">
        <f>IF(AD160=21,J160,0)</f>
        <v>0</v>
      </c>
      <c r="AD160" s="36">
        <v>21</v>
      </c>
      <c r="AE160" s="36">
        <f>G160*0</f>
        <v>0</v>
      </c>
      <c r="AF160" s="36">
        <f>G160*(1-0)</f>
        <v>0</v>
      </c>
      <c r="AG160" s="32" t="s">
        <v>7</v>
      </c>
      <c r="AM160" s="36">
        <f>F160*AE160</f>
        <v>0</v>
      </c>
      <c r="AN160" s="36">
        <f>F160*AF160</f>
        <v>0</v>
      </c>
      <c r="AO160" s="37" t="s">
        <v>427</v>
      </c>
      <c r="AP160" s="37" t="s">
        <v>437</v>
      </c>
      <c r="AQ160" s="29" t="s">
        <v>438</v>
      </c>
      <c r="AS160" s="36">
        <f>AM160+AN160</f>
        <v>0</v>
      </c>
      <c r="AT160" s="36">
        <f>G160/(100-AU160)*100</f>
        <v>0</v>
      </c>
      <c r="AU160" s="36">
        <v>0</v>
      </c>
      <c r="AV160" s="36">
        <f>L160</f>
        <v>0</v>
      </c>
    </row>
    <row r="161" spans="4:6" ht="12.75">
      <c r="D161" s="15" t="s">
        <v>37</v>
      </c>
      <c r="F161" s="20">
        <v>31</v>
      </c>
    </row>
    <row r="162" spans="1:48" ht="12.75">
      <c r="A162" s="4" t="s">
        <v>63</v>
      </c>
      <c r="B162" s="4"/>
      <c r="C162" s="4" t="s">
        <v>152</v>
      </c>
      <c r="D162" s="4" t="s">
        <v>312</v>
      </c>
      <c r="E162" s="4" t="s">
        <v>379</v>
      </c>
      <c r="F162" s="19">
        <v>31</v>
      </c>
      <c r="G162" s="19">
        <v>0</v>
      </c>
      <c r="H162" s="19">
        <f>F162*AE162</f>
        <v>0</v>
      </c>
      <c r="I162" s="19">
        <f>J162-H162</f>
        <v>0</v>
      </c>
      <c r="J162" s="19">
        <f>F162*G162</f>
        <v>0</v>
      </c>
      <c r="K162" s="19">
        <v>0</v>
      </c>
      <c r="L162" s="19">
        <f>F162*K162</f>
        <v>0</v>
      </c>
      <c r="M162" s="32" t="s">
        <v>405</v>
      </c>
      <c r="P162" s="36">
        <f>IF(AG162="5",J162,0)</f>
        <v>0</v>
      </c>
      <c r="R162" s="36">
        <f>IF(AG162="1",H162,0)</f>
        <v>0</v>
      </c>
      <c r="S162" s="36">
        <f>IF(AG162="1",I162,0)</f>
        <v>0</v>
      </c>
      <c r="T162" s="36">
        <f>IF(AG162="7",H162,0)</f>
        <v>0</v>
      </c>
      <c r="U162" s="36">
        <f>IF(AG162="7",I162,0)</f>
        <v>0</v>
      </c>
      <c r="V162" s="36">
        <f>IF(AG162="2",H162,0)</f>
        <v>0</v>
      </c>
      <c r="W162" s="36">
        <f>IF(AG162="2",I162,0)</f>
        <v>0</v>
      </c>
      <c r="X162" s="36">
        <f>IF(AG162="0",J162,0)</f>
        <v>0</v>
      </c>
      <c r="Y162" s="29"/>
      <c r="Z162" s="19">
        <f>IF(AD162=0,J162,0)</f>
        <v>0</v>
      </c>
      <c r="AA162" s="19">
        <f>IF(AD162=15,J162,0)</f>
        <v>0</v>
      </c>
      <c r="AB162" s="19">
        <f>IF(AD162=21,J162,0)</f>
        <v>0</v>
      </c>
      <c r="AD162" s="36">
        <v>21</v>
      </c>
      <c r="AE162" s="36">
        <f>G162*0.528251292855775</f>
        <v>0</v>
      </c>
      <c r="AF162" s="36">
        <f>G162*(1-0.528251292855775)</f>
        <v>0</v>
      </c>
      <c r="AG162" s="32" t="s">
        <v>7</v>
      </c>
      <c r="AM162" s="36">
        <f>F162*AE162</f>
        <v>0</v>
      </c>
      <c r="AN162" s="36">
        <f>F162*AF162</f>
        <v>0</v>
      </c>
      <c r="AO162" s="37" t="s">
        <v>427</v>
      </c>
      <c r="AP162" s="37" t="s">
        <v>437</v>
      </c>
      <c r="AQ162" s="29" t="s">
        <v>438</v>
      </c>
      <c r="AS162" s="36">
        <f>AM162+AN162</f>
        <v>0</v>
      </c>
      <c r="AT162" s="36">
        <f>G162/(100-AU162)*100</f>
        <v>0</v>
      </c>
      <c r="AU162" s="36">
        <v>0</v>
      </c>
      <c r="AV162" s="36">
        <f>L162</f>
        <v>0</v>
      </c>
    </row>
    <row r="163" spans="4:6" ht="12.75">
      <c r="D163" s="15" t="s">
        <v>37</v>
      </c>
      <c r="F163" s="20">
        <v>31</v>
      </c>
    </row>
    <row r="164" spans="1:48" ht="12.75">
      <c r="A164" s="4" t="s">
        <v>64</v>
      </c>
      <c r="B164" s="4"/>
      <c r="C164" s="4" t="s">
        <v>153</v>
      </c>
      <c r="D164" s="4" t="s">
        <v>313</v>
      </c>
      <c r="E164" s="4" t="s">
        <v>382</v>
      </c>
      <c r="F164" s="19">
        <v>12</v>
      </c>
      <c r="G164" s="19">
        <v>0</v>
      </c>
      <c r="H164" s="19">
        <f>F164*AE164</f>
        <v>0</v>
      </c>
      <c r="I164" s="19">
        <f>J164-H164</f>
        <v>0</v>
      </c>
      <c r="J164" s="19">
        <f>F164*G164</f>
        <v>0</v>
      </c>
      <c r="K164" s="19">
        <v>1.61679</v>
      </c>
      <c r="L164" s="19">
        <f>F164*K164</f>
        <v>19.40148</v>
      </c>
      <c r="M164" s="32" t="s">
        <v>405</v>
      </c>
      <c r="P164" s="36">
        <f>IF(AG164="5",J164,0)</f>
        <v>0</v>
      </c>
      <c r="R164" s="36">
        <f>IF(AG164="1",H164,0)</f>
        <v>0</v>
      </c>
      <c r="S164" s="36">
        <f>IF(AG164="1",I164,0)</f>
        <v>0</v>
      </c>
      <c r="T164" s="36">
        <f>IF(AG164="7",H164,0)</f>
        <v>0</v>
      </c>
      <c r="U164" s="36">
        <f>IF(AG164="7",I164,0)</f>
        <v>0</v>
      </c>
      <c r="V164" s="36">
        <f>IF(AG164="2",H164,0)</f>
        <v>0</v>
      </c>
      <c r="W164" s="36">
        <f>IF(AG164="2",I164,0)</f>
        <v>0</v>
      </c>
      <c r="X164" s="36">
        <f>IF(AG164="0",J164,0)</f>
        <v>0</v>
      </c>
      <c r="Y164" s="29"/>
      <c r="Z164" s="19">
        <f>IF(AD164=0,J164,0)</f>
        <v>0</v>
      </c>
      <c r="AA164" s="19">
        <f>IF(AD164=15,J164,0)</f>
        <v>0</v>
      </c>
      <c r="AB164" s="19">
        <f>IF(AD164=21,J164,0)</f>
        <v>0</v>
      </c>
      <c r="AD164" s="36">
        <v>21</v>
      </c>
      <c r="AE164" s="36">
        <f>G164*0.856131659362451</f>
        <v>0</v>
      </c>
      <c r="AF164" s="36">
        <f>G164*(1-0.856131659362451)</f>
        <v>0</v>
      </c>
      <c r="AG164" s="32" t="s">
        <v>7</v>
      </c>
      <c r="AM164" s="36">
        <f>F164*AE164</f>
        <v>0</v>
      </c>
      <c r="AN164" s="36">
        <f>F164*AF164</f>
        <v>0</v>
      </c>
      <c r="AO164" s="37" t="s">
        <v>427</v>
      </c>
      <c r="AP164" s="37" t="s">
        <v>437</v>
      </c>
      <c r="AQ164" s="29" t="s">
        <v>438</v>
      </c>
      <c r="AS164" s="36">
        <f>AM164+AN164</f>
        <v>0</v>
      </c>
      <c r="AT164" s="36">
        <f>G164/(100-AU164)*100</f>
        <v>0</v>
      </c>
      <c r="AU164" s="36">
        <v>0</v>
      </c>
      <c r="AV164" s="36">
        <f>L164</f>
        <v>19.40148</v>
      </c>
    </row>
    <row r="165" spans="4:6" ht="12.75">
      <c r="D165" s="15" t="s">
        <v>18</v>
      </c>
      <c r="F165" s="20">
        <v>12</v>
      </c>
    </row>
    <row r="166" spans="1:48" ht="12.75">
      <c r="A166" s="4" t="s">
        <v>65</v>
      </c>
      <c r="B166" s="4"/>
      <c r="C166" s="4" t="s">
        <v>154</v>
      </c>
      <c r="D166" s="4" t="s">
        <v>314</v>
      </c>
      <c r="E166" s="4" t="s">
        <v>379</v>
      </c>
      <c r="F166" s="19">
        <v>556.2</v>
      </c>
      <c r="G166" s="19">
        <v>0</v>
      </c>
      <c r="H166" s="19">
        <f>F166*AE166</f>
        <v>0</v>
      </c>
      <c r="I166" s="19">
        <f>J166-H166</f>
        <v>0</v>
      </c>
      <c r="J166" s="19">
        <f>F166*G166</f>
        <v>0</v>
      </c>
      <c r="K166" s="19">
        <v>0.00044</v>
      </c>
      <c r="L166" s="19">
        <f>F166*K166</f>
        <v>0.24472800000000003</v>
      </c>
      <c r="M166" s="32" t="s">
        <v>405</v>
      </c>
      <c r="P166" s="36">
        <f>IF(AG166="5",J166,0)</f>
        <v>0</v>
      </c>
      <c r="R166" s="36">
        <f>IF(AG166="1",H166,0)</f>
        <v>0</v>
      </c>
      <c r="S166" s="36">
        <f>IF(AG166="1",I166,0)</f>
        <v>0</v>
      </c>
      <c r="T166" s="36">
        <f>IF(AG166="7",H166,0)</f>
        <v>0</v>
      </c>
      <c r="U166" s="36">
        <f>IF(AG166="7",I166,0)</f>
        <v>0</v>
      </c>
      <c r="V166" s="36">
        <f>IF(AG166="2",H166,0)</f>
        <v>0</v>
      </c>
      <c r="W166" s="36">
        <f>IF(AG166="2",I166,0)</f>
        <v>0</v>
      </c>
      <c r="X166" s="36">
        <f>IF(AG166="0",J166,0)</f>
        <v>0</v>
      </c>
      <c r="Y166" s="29"/>
      <c r="Z166" s="19">
        <f>IF(AD166=0,J166,0)</f>
        <v>0</v>
      </c>
      <c r="AA166" s="19">
        <f>IF(AD166=15,J166,0)</f>
        <v>0</v>
      </c>
      <c r="AB166" s="19">
        <f>IF(AD166=21,J166,0)</f>
        <v>0</v>
      </c>
      <c r="AD166" s="36">
        <v>21</v>
      </c>
      <c r="AE166" s="36">
        <f>G166*0.643667657605603</f>
        <v>0</v>
      </c>
      <c r="AF166" s="36">
        <f>G166*(1-0.643667657605603)</f>
        <v>0</v>
      </c>
      <c r="AG166" s="32" t="s">
        <v>7</v>
      </c>
      <c r="AM166" s="36">
        <f>F166*AE166</f>
        <v>0</v>
      </c>
      <c r="AN166" s="36">
        <f>F166*AF166</f>
        <v>0</v>
      </c>
      <c r="AO166" s="37" t="s">
        <v>427</v>
      </c>
      <c r="AP166" s="37" t="s">
        <v>437</v>
      </c>
      <c r="AQ166" s="29" t="s">
        <v>438</v>
      </c>
      <c r="AS166" s="36">
        <f>AM166+AN166</f>
        <v>0</v>
      </c>
      <c r="AT166" s="36">
        <f>G166/(100-AU166)*100</f>
        <v>0</v>
      </c>
      <c r="AU166" s="36">
        <v>0</v>
      </c>
      <c r="AV166" s="36">
        <f>L166</f>
        <v>0.24472800000000003</v>
      </c>
    </row>
    <row r="167" spans="4:6" ht="12.75">
      <c r="D167" s="15" t="s">
        <v>315</v>
      </c>
      <c r="F167" s="20">
        <v>16.2</v>
      </c>
    </row>
    <row r="168" spans="4:6" ht="12.75">
      <c r="D168" s="15" t="s">
        <v>316</v>
      </c>
      <c r="F168" s="20">
        <v>507</v>
      </c>
    </row>
    <row r="169" spans="4:6" ht="12.75">
      <c r="D169" s="15" t="s">
        <v>317</v>
      </c>
      <c r="F169" s="20">
        <v>33</v>
      </c>
    </row>
    <row r="170" spans="1:37" ht="12.75">
      <c r="A170" s="5"/>
      <c r="B170" s="13"/>
      <c r="C170" s="13" t="s">
        <v>155</v>
      </c>
      <c r="D170" s="13" t="s">
        <v>318</v>
      </c>
      <c r="E170" s="5" t="s">
        <v>6</v>
      </c>
      <c r="F170" s="5" t="s">
        <v>6</v>
      </c>
      <c r="G170" s="5" t="s">
        <v>6</v>
      </c>
      <c r="H170" s="39">
        <f>SUM(H171:H175)</f>
        <v>0</v>
      </c>
      <c r="I170" s="39">
        <f>SUM(I171:I175)</f>
        <v>0</v>
      </c>
      <c r="J170" s="39">
        <f>H170+I170</f>
        <v>0</v>
      </c>
      <c r="K170" s="29"/>
      <c r="L170" s="39">
        <f>SUM(L171:L175)</f>
        <v>0.5244</v>
      </c>
      <c r="M170" s="29"/>
      <c r="Y170" s="29"/>
      <c r="AI170" s="39">
        <f>SUM(Z171:Z175)</f>
        <v>0</v>
      </c>
      <c r="AJ170" s="39">
        <f>SUM(AA171:AA175)</f>
        <v>0</v>
      </c>
      <c r="AK170" s="39">
        <f>SUM(AB171:AB175)</f>
        <v>0</v>
      </c>
    </row>
    <row r="171" spans="1:48" ht="12.75">
      <c r="A171" s="4" t="s">
        <v>66</v>
      </c>
      <c r="B171" s="4"/>
      <c r="C171" s="4" t="s">
        <v>156</v>
      </c>
      <c r="D171" s="4" t="s">
        <v>319</v>
      </c>
      <c r="E171" s="4" t="s">
        <v>378</v>
      </c>
      <c r="F171" s="19">
        <v>6250</v>
      </c>
      <c r="G171" s="19">
        <v>0</v>
      </c>
      <c r="H171" s="19">
        <f>F171*AE171</f>
        <v>0</v>
      </c>
      <c r="I171" s="19">
        <f>J171-H171</f>
        <v>0</v>
      </c>
      <c r="J171" s="19">
        <f>F171*G171</f>
        <v>0</v>
      </c>
      <c r="K171" s="19">
        <v>0</v>
      </c>
      <c r="L171" s="19">
        <f>F171*K171</f>
        <v>0</v>
      </c>
      <c r="M171" s="32" t="s">
        <v>405</v>
      </c>
      <c r="P171" s="36">
        <f>IF(AG171="5",J171,0)</f>
        <v>0</v>
      </c>
      <c r="R171" s="36">
        <f>IF(AG171="1",H171,0)</f>
        <v>0</v>
      </c>
      <c r="S171" s="36">
        <f>IF(AG171="1",I171,0)</f>
        <v>0</v>
      </c>
      <c r="T171" s="36">
        <f>IF(AG171="7",H171,0)</f>
        <v>0</v>
      </c>
      <c r="U171" s="36">
        <f>IF(AG171="7",I171,0)</f>
        <v>0</v>
      </c>
      <c r="V171" s="36">
        <f>IF(AG171="2",H171,0)</f>
        <v>0</v>
      </c>
      <c r="W171" s="36">
        <f>IF(AG171="2",I171,0)</f>
        <v>0</v>
      </c>
      <c r="X171" s="36">
        <f>IF(AG171="0",J171,0)</f>
        <v>0</v>
      </c>
      <c r="Y171" s="29"/>
      <c r="Z171" s="19">
        <f>IF(AD171=0,J171,0)</f>
        <v>0</v>
      </c>
      <c r="AA171" s="19">
        <f>IF(AD171=15,J171,0)</f>
        <v>0</v>
      </c>
      <c r="AB171" s="19">
        <f>IF(AD171=21,J171,0)</f>
        <v>0</v>
      </c>
      <c r="AD171" s="36">
        <v>21</v>
      </c>
      <c r="AE171" s="36">
        <f>G171*0.003125</f>
        <v>0</v>
      </c>
      <c r="AF171" s="36">
        <f>G171*(1-0.003125)</f>
        <v>0</v>
      </c>
      <c r="AG171" s="32" t="s">
        <v>7</v>
      </c>
      <c r="AM171" s="36">
        <f>F171*AE171</f>
        <v>0</v>
      </c>
      <c r="AN171" s="36">
        <f>F171*AF171</f>
        <v>0</v>
      </c>
      <c r="AO171" s="37" t="s">
        <v>428</v>
      </c>
      <c r="AP171" s="37" t="s">
        <v>437</v>
      </c>
      <c r="AQ171" s="29" t="s">
        <v>438</v>
      </c>
      <c r="AS171" s="36">
        <f>AM171+AN171</f>
        <v>0</v>
      </c>
      <c r="AT171" s="36">
        <f>G171/(100-AU171)*100</f>
        <v>0</v>
      </c>
      <c r="AU171" s="36">
        <v>0</v>
      </c>
      <c r="AV171" s="36">
        <f>L171</f>
        <v>0</v>
      </c>
    </row>
    <row r="172" spans="4:6" ht="12.75">
      <c r="D172" s="15" t="s">
        <v>320</v>
      </c>
      <c r="F172" s="20">
        <v>6250</v>
      </c>
    </row>
    <row r="173" spans="1:48" ht="12.75">
      <c r="A173" s="6" t="s">
        <v>67</v>
      </c>
      <c r="B173" s="6"/>
      <c r="C173" s="6" t="s">
        <v>157</v>
      </c>
      <c r="D173" s="6" t="s">
        <v>321</v>
      </c>
      <c r="E173" s="6" t="s">
        <v>382</v>
      </c>
      <c r="F173" s="21">
        <v>6</v>
      </c>
      <c r="G173" s="21">
        <v>0</v>
      </c>
      <c r="H173" s="21">
        <f>F173*AE173</f>
        <v>0</v>
      </c>
      <c r="I173" s="21">
        <f>J173-H173</f>
        <v>0</v>
      </c>
      <c r="J173" s="21">
        <f>F173*G173</f>
        <v>0</v>
      </c>
      <c r="K173" s="21">
        <v>0.0376</v>
      </c>
      <c r="L173" s="21">
        <f>F173*K173</f>
        <v>0.22560000000000002</v>
      </c>
      <c r="M173" s="33" t="s">
        <v>405</v>
      </c>
      <c r="P173" s="36">
        <f>IF(AG173="5",J173,0)</f>
        <v>0</v>
      </c>
      <c r="R173" s="36">
        <f>IF(AG173="1",H173,0)</f>
        <v>0</v>
      </c>
      <c r="S173" s="36">
        <f>IF(AG173="1",I173,0)</f>
        <v>0</v>
      </c>
      <c r="T173" s="36">
        <f>IF(AG173="7",H173,0)</f>
        <v>0</v>
      </c>
      <c r="U173" s="36">
        <f>IF(AG173="7",I173,0)</f>
        <v>0</v>
      </c>
      <c r="V173" s="36">
        <f>IF(AG173="2",H173,0)</f>
        <v>0</v>
      </c>
      <c r="W173" s="36">
        <f>IF(AG173="2",I173,0)</f>
        <v>0</v>
      </c>
      <c r="X173" s="36">
        <f>IF(AG173="0",J173,0)</f>
        <v>0</v>
      </c>
      <c r="Y173" s="29"/>
      <c r="Z173" s="21">
        <f>IF(AD173=0,J173,0)</f>
        <v>0</v>
      </c>
      <c r="AA173" s="21">
        <f>IF(AD173=15,J173,0)</f>
        <v>0</v>
      </c>
      <c r="AB173" s="21">
        <f>IF(AD173=21,J173,0)</f>
        <v>0</v>
      </c>
      <c r="AD173" s="36">
        <v>21</v>
      </c>
      <c r="AE173" s="36">
        <f>G173*1</f>
        <v>0</v>
      </c>
      <c r="AF173" s="36">
        <f>G173*(1-1)</f>
        <v>0</v>
      </c>
      <c r="AG173" s="33" t="s">
        <v>7</v>
      </c>
      <c r="AM173" s="36">
        <f>F173*AE173</f>
        <v>0</v>
      </c>
      <c r="AN173" s="36">
        <f>F173*AF173</f>
        <v>0</v>
      </c>
      <c r="AO173" s="37" t="s">
        <v>428</v>
      </c>
      <c r="AP173" s="37" t="s">
        <v>437</v>
      </c>
      <c r="AQ173" s="29" t="s">
        <v>438</v>
      </c>
      <c r="AS173" s="36">
        <f>AM173+AN173</f>
        <v>0</v>
      </c>
      <c r="AT173" s="36">
        <f>G173/(100-AU173)*100</f>
        <v>0</v>
      </c>
      <c r="AU173" s="36">
        <v>0</v>
      </c>
      <c r="AV173" s="36">
        <f>L173</f>
        <v>0.22560000000000002</v>
      </c>
    </row>
    <row r="174" spans="4:6" ht="12.75">
      <c r="D174" s="15" t="s">
        <v>12</v>
      </c>
      <c r="F174" s="20">
        <v>6</v>
      </c>
    </row>
    <row r="175" spans="1:48" ht="12.75">
      <c r="A175" s="6" t="s">
        <v>68</v>
      </c>
      <c r="B175" s="6"/>
      <c r="C175" s="6" t="s">
        <v>158</v>
      </c>
      <c r="D175" s="6" t="s">
        <v>322</v>
      </c>
      <c r="E175" s="6" t="s">
        <v>382</v>
      </c>
      <c r="F175" s="21">
        <v>6</v>
      </c>
      <c r="G175" s="21">
        <v>0</v>
      </c>
      <c r="H175" s="21">
        <f>F175*AE175</f>
        <v>0</v>
      </c>
      <c r="I175" s="21">
        <f>J175-H175</f>
        <v>0</v>
      </c>
      <c r="J175" s="21">
        <f>F175*G175</f>
        <v>0</v>
      </c>
      <c r="K175" s="21">
        <v>0.0498</v>
      </c>
      <c r="L175" s="21">
        <f>F175*K175</f>
        <v>0.29879999999999995</v>
      </c>
      <c r="M175" s="33" t="s">
        <v>405</v>
      </c>
      <c r="P175" s="36">
        <f>IF(AG175="5",J175,0)</f>
        <v>0</v>
      </c>
      <c r="R175" s="36">
        <f>IF(AG175="1",H175,0)</f>
        <v>0</v>
      </c>
      <c r="S175" s="36">
        <f>IF(AG175="1",I175,0)</f>
        <v>0</v>
      </c>
      <c r="T175" s="36">
        <f>IF(AG175="7",H175,0)</f>
        <v>0</v>
      </c>
      <c r="U175" s="36">
        <f>IF(AG175="7",I175,0)</f>
        <v>0</v>
      </c>
      <c r="V175" s="36">
        <f>IF(AG175="2",H175,0)</f>
        <v>0</v>
      </c>
      <c r="W175" s="36">
        <f>IF(AG175="2",I175,0)</f>
        <v>0</v>
      </c>
      <c r="X175" s="36">
        <f>IF(AG175="0",J175,0)</f>
        <v>0</v>
      </c>
      <c r="Y175" s="29"/>
      <c r="Z175" s="21">
        <f>IF(AD175=0,J175,0)</f>
        <v>0</v>
      </c>
      <c r="AA175" s="21">
        <f>IF(AD175=15,J175,0)</f>
        <v>0</v>
      </c>
      <c r="AB175" s="21">
        <f>IF(AD175=21,J175,0)</f>
        <v>0</v>
      </c>
      <c r="AD175" s="36">
        <v>21</v>
      </c>
      <c r="AE175" s="36">
        <f>G175*1</f>
        <v>0</v>
      </c>
      <c r="AF175" s="36">
        <f>G175*(1-1)</f>
        <v>0</v>
      </c>
      <c r="AG175" s="33" t="s">
        <v>7</v>
      </c>
      <c r="AM175" s="36">
        <f>F175*AE175</f>
        <v>0</v>
      </c>
      <c r="AN175" s="36">
        <f>F175*AF175</f>
        <v>0</v>
      </c>
      <c r="AO175" s="37" t="s">
        <v>428</v>
      </c>
      <c r="AP175" s="37" t="s">
        <v>437</v>
      </c>
      <c r="AQ175" s="29" t="s">
        <v>438</v>
      </c>
      <c r="AS175" s="36">
        <f>AM175+AN175</f>
        <v>0</v>
      </c>
      <c r="AT175" s="36">
        <f>G175/(100-AU175)*100</f>
        <v>0</v>
      </c>
      <c r="AU175" s="36">
        <v>0</v>
      </c>
      <c r="AV175" s="36">
        <f>L175</f>
        <v>0.29879999999999995</v>
      </c>
    </row>
    <row r="176" spans="4:6" ht="12.75">
      <c r="D176" s="15" t="s">
        <v>12</v>
      </c>
      <c r="F176" s="20">
        <v>6</v>
      </c>
    </row>
    <row r="177" spans="1:37" ht="12.75">
      <c r="A177" s="5"/>
      <c r="B177" s="13"/>
      <c r="C177" s="13" t="s">
        <v>159</v>
      </c>
      <c r="D177" s="13" t="s">
        <v>323</v>
      </c>
      <c r="E177" s="5" t="s">
        <v>6</v>
      </c>
      <c r="F177" s="5" t="s">
        <v>6</v>
      </c>
      <c r="G177" s="5" t="s">
        <v>6</v>
      </c>
      <c r="H177" s="39">
        <f>SUM(H178:H180)</f>
        <v>0</v>
      </c>
      <c r="I177" s="39">
        <f>SUM(I178:I180)</f>
        <v>0</v>
      </c>
      <c r="J177" s="39">
        <f>H177+I177</f>
        <v>0</v>
      </c>
      <c r="K177" s="29"/>
      <c r="L177" s="39">
        <f>SUM(L178:L180)</f>
        <v>0</v>
      </c>
      <c r="M177" s="29"/>
      <c r="Y177" s="29"/>
      <c r="AI177" s="39">
        <f>SUM(Z178:Z180)</f>
        <v>0</v>
      </c>
      <c r="AJ177" s="39">
        <f>SUM(AA178:AA180)</f>
        <v>0</v>
      </c>
      <c r="AK177" s="39">
        <f>SUM(AB178:AB180)</f>
        <v>0</v>
      </c>
    </row>
    <row r="178" spans="1:48" ht="12.75">
      <c r="A178" s="4" t="s">
        <v>69</v>
      </c>
      <c r="B178" s="4"/>
      <c r="C178" s="4" t="s">
        <v>160</v>
      </c>
      <c r="D178" s="4" t="s">
        <v>324</v>
      </c>
      <c r="E178" s="4" t="s">
        <v>384</v>
      </c>
      <c r="F178" s="19">
        <v>720.183</v>
      </c>
      <c r="G178" s="19">
        <v>0</v>
      </c>
      <c r="H178" s="19">
        <f>F178*AE178</f>
        <v>0</v>
      </c>
      <c r="I178" s="19">
        <f>J178-H178</f>
        <v>0</v>
      </c>
      <c r="J178" s="19">
        <f>F178*G178</f>
        <v>0</v>
      </c>
      <c r="K178" s="19">
        <v>0</v>
      </c>
      <c r="L178" s="19">
        <f>F178*K178</f>
        <v>0</v>
      </c>
      <c r="M178" s="32" t="s">
        <v>405</v>
      </c>
      <c r="P178" s="36">
        <f>IF(AG178="5",J178,0)</f>
        <v>0</v>
      </c>
      <c r="R178" s="36">
        <f>IF(AG178="1",H178,0)</f>
        <v>0</v>
      </c>
      <c r="S178" s="36">
        <f>IF(AG178="1",I178,0)</f>
        <v>0</v>
      </c>
      <c r="T178" s="36">
        <f>IF(AG178="7",H178,0)</f>
        <v>0</v>
      </c>
      <c r="U178" s="36">
        <f>IF(AG178="7",I178,0)</f>
        <v>0</v>
      </c>
      <c r="V178" s="36">
        <f>IF(AG178="2",H178,0)</f>
        <v>0</v>
      </c>
      <c r="W178" s="36">
        <f>IF(AG178="2",I178,0)</f>
        <v>0</v>
      </c>
      <c r="X178" s="36">
        <f>IF(AG178="0",J178,0)</f>
        <v>0</v>
      </c>
      <c r="Y178" s="29"/>
      <c r="Z178" s="19">
        <f>IF(AD178=0,J178,0)</f>
        <v>0</v>
      </c>
      <c r="AA178" s="19">
        <f>IF(AD178=15,J178,0)</f>
        <v>0</v>
      </c>
      <c r="AB178" s="19">
        <f>IF(AD178=21,J178,0)</f>
        <v>0</v>
      </c>
      <c r="AD178" s="36">
        <v>21</v>
      </c>
      <c r="AE178" s="36">
        <f>G178*0</f>
        <v>0</v>
      </c>
      <c r="AF178" s="36">
        <f>G178*(1-0)</f>
        <v>0</v>
      </c>
      <c r="AG178" s="32" t="s">
        <v>11</v>
      </c>
      <c r="AM178" s="36">
        <f>F178*AE178</f>
        <v>0</v>
      </c>
      <c r="AN178" s="36">
        <f>F178*AF178</f>
        <v>0</v>
      </c>
      <c r="AO178" s="37" t="s">
        <v>429</v>
      </c>
      <c r="AP178" s="37" t="s">
        <v>437</v>
      </c>
      <c r="AQ178" s="29" t="s">
        <v>438</v>
      </c>
      <c r="AS178" s="36">
        <f>AM178+AN178</f>
        <v>0</v>
      </c>
      <c r="AT178" s="36">
        <f>G178/(100-AU178)*100</f>
        <v>0</v>
      </c>
      <c r="AU178" s="36">
        <v>0</v>
      </c>
      <c r="AV178" s="36">
        <f>L178</f>
        <v>0</v>
      </c>
    </row>
    <row r="179" spans="4:6" ht="12.75">
      <c r="D179" s="15" t="s">
        <v>325</v>
      </c>
      <c r="F179" s="20">
        <v>720.183</v>
      </c>
    </row>
    <row r="180" spans="1:48" ht="12.75">
      <c r="A180" s="4" t="s">
        <v>70</v>
      </c>
      <c r="B180" s="4"/>
      <c r="C180" s="4" t="s">
        <v>161</v>
      </c>
      <c r="D180" s="4" t="s">
        <v>326</v>
      </c>
      <c r="E180" s="4" t="s">
        <v>384</v>
      </c>
      <c r="F180" s="19">
        <v>3760.467</v>
      </c>
      <c r="G180" s="19">
        <v>0</v>
      </c>
      <c r="H180" s="19">
        <f>F180*AE180</f>
        <v>0</v>
      </c>
      <c r="I180" s="19">
        <f>J180-H180</f>
        <v>0</v>
      </c>
      <c r="J180" s="19">
        <f>F180*G180</f>
        <v>0</v>
      </c>
      <c r="K180" s="19">
        <v>0</v>
      </c>
      <c r="L180" s="19">
        <f>F180*K180</f>
        <v>0</v>
      </c>
      <c r="M180" s="32" t="s">
        <v>405</v>
      </c>
      <c r="P180" s="36">
        <f>IF(AG180="5",J180,0)</f>
        <v>0</v>
      </c>
      <c r="R180" s="36">
        <f>IF(AG180="1",H180,0)</f>
        <v>0</v>
      </c>
      <c r="S180" s="36">
        <f>IF(AG180="1",I180,0)</f>
        <v>0</v>
      </c>
      <c r="T180" s="36">
        <f>IF(AG180="7",H180,0)</f>
        <v>0</v>
      </c>
      <c r="U180" s="36">
        <f>IF(AG180="7",I180,0)</f>
        <v>0</v>
      </c>
      <c r="V180" s="36">
        <f>IF(AG180="2",H180,0)</f>
        <v>0</v>
      </c>
      <c r="W180" s="36">
        <f>IF(AG180="2",I180,0)</f>
        <v>0</v>
      </c>
      <c r="X180" s="36">
        <f>IF(AG180="0",J180,0)</f>
        <v>0</v>
      </c>
      <c r="Y180" s="29"/>
      <c r="Z180" s="19">
        <f>IF(AD180=0,J180,0)</f>
        <v>0</v>
      </c>
      <c r="AA180" s="19">
        <f>IF(AD180=15,J180,0)</f>
        <v>0</v>
      </c>
      <c r="AB180" s="19">
        <f>IF(AD180=21,J180,0)</f>
        <v>0</v>
      </c>
      <c r="AD180" s="36">
        <v>21</v>
      </c>
      <c r="AE180" s="36">
        <f>G180*0</f>
        <v>0</v>
      </c>
      <c r="AF180" s="36">
        <f>G180*(1-0)</f>
        <v>0</v>
      </c>
      <c r="AG180" s="32" t="s">
        <v>11</v>
      </c>
      <c r="AM180" s="36">
        <f>F180*AE180</f>
        <v>0</v>
      </c>
      <c r="AN180" s="36">
        <f>F180*AF180</f>
        <v>0</v>
      </c>
      <c r="AO180" s="37" t="s">
        <v>429</v>
      </c>
      <c r="AP180" s="37" t="s">
        <v>437</v>
      </c>
      <c r="AQ180" s="29" t="s">
        <v>438</v>
      </c>
      <c r="AS180" s="36">
        <f>AM180+AN180</f>
        <v>0</v>
      </c>
      <c r="AT180" s="36">
        <f>G180/(100-AU180)*100</f>
        <v>0</v>
      </c>
      <c r="AU180" s="36">
        <v>0</v>
      </c>
      <c r="AV180" s="36">
        <f>L180</f>
        <v>0</v>
      </c>
    </row>
    <row r="181" spans="4:6" ht="12.75">
      <c r="D181" s="15" t="s">
        <v>327</v>
      </c>
      <c r="F181" s="20">
        <v>3760.467</v>
      </c>
    </row>
    <row r="182" spans="1:37" ht="12.75">
      <c r="A182" s="5"/>
      <c r="B182" s="13"/>
      <c r="C182" s="13" t="s">
        <v>162</v>
      </c>
      <c r="D182" s="13" t="s">
        <v>328</v>
      </c>
      <c r="E182" s="5" t="s">
        <v>6</v>
      </c>
      <c r="F182" s="5" t="s">
        <v>6</v>
      </c>
      <c r="G182" s="5" t="s">
        <v>6</v>
      </c>
      <c r="H182" s="39">
        <f>SUM(H183:H201)</f>
        <v>0</v>
      </c>
      <c r="I182" s="39">
        <f>SUM(I183:I201)</f>
        <v>0</v>
      </c>
      <c r="J182" s="39">
        <f>H182+I182</f>
        <v>0</v>
      </c>
      <c r="K182" s="29"/>
      <c r="L182" s="39">
        <f>SUM(L183:L201)</f>
        <v>0.47415000000000007</v>
      </c>
      <c r="M182" s="29"/>
      <c r="Y182" s="29"/>
      <c r="AI182" s="39">
        <f>SUM(Z183:Z201)</f>
        <v>0</v>
      </c>
      <c r="AJ182" s="39">
        <f>SUM(AA183:AA201)</f>
        <v>0</v>
      </c>
      <c r="AK182" s="39">
        <f>SUM(AB183:AB201)</f>
        <v>0</v>
      </c>
    </row>
    <row r="183" spans="1:48" ht="12.75">
      <c r="A183" s="4" t="s">
        <v>71</v>
      </c>
      <c r="B183" s="4"/>
      <c r="C183" s="4" t="s">
        <v>163</v>
      </c>
      <c r="D183" s="4" t="s">
        <v>329</v>
      </c>
      <c r="E183" s="4" t="s">
        <v>379</v>
      </c>
      <c r="F183" s="19">
        <v>170</v>
      </c>
      <c r="G183" s="19">
        <v>0</v>
      </c>
      <c r="H183" s="19">
        <f>F183*AE183</f>
        <v>0</v>
      </c>
      <c r="I183" s="19">
        <f>J183-H183</f>
        <v>0</v>
      </c>
      <c r="J183" s="19">
        <f>F183*G183</f>
        <v>0</v>
      </c>
      <c r="K183" s="19">
        <v>0</v>
      </c>
      <c r="L183" s="19">
        <f>F183*K183</f>
        <v>0</v>
      </c>
      <c r="M183" s="32" t="s">
        <v>405</v>
      </c>
      <c r="P183" s="36">
        <f>IF(AG183="5",J183,0)</f>
        <v>0</v>
      </c>
      <c r="R183" s="36">
        <f>IF(AG183="1",H183,0)</f>
        <v>0</v>
      </c>
      <c r="S183" s="36">
        <f>IF(AG183="1",I183,0)</f>
        <v>0</v>
      </c>
      <c r="T183" s="36">
        <f>IF(AG183="7",H183,0)</f>
        <v>0</v>
      </c>
      <c r="U183" s="36">
        <f>IF(AG183="7",I183,0)</f>
        <v>0</v>
      </c>
      <c r="V183" s="36">
        <f>IF(AG183="2",H183,0)</f>
        <v>0</v>
      </c>
      <c r="W183" s="36">
        <f>IF(AG183="2",I183,0)</f>
        <v>0</v>
      </c>
      <c r="X183" s="36">
        <f>IF(AG183="0",J183,0)</f>
        <v>0</v>
      </c>
      <c r="Y183" s="29"/>
      <c r="Z183" s="19">
        <f>IF(AD183=0,J183,0)</f>
        <v>0</v>
      </c>
      <c r="AA183" s="19">
        <f>IF(AD183=15,J183,0)</f>
        <v>0</v>
      </c>
      <c r="AB183" s="19">
        <f>IF(AD183=21,J183,0)</f>
        <v>0</v>
      </c>
      <c r="AD183" s="36">
        <v>21</v>
      </c>
      <c r="AE183" s="36">
        <f>G183*0.426395939086294</f>
        <v>0</v>
      </c>
      <c r="AF183" s="36">
        <f>G183*(1-0.426395939086294)</f>
        <v>0</v>
      </c>
      <c r="AG183" s="32" t="s">
        <v>8</v>
      </c>
      <c r="AM183" s="36">
        <f>F183*AE183</f>
        <v>0</v>
      </c>
      <c r="AN183" s="36">
        <f>F183*AF183</f>
        <v>0</v>
      </c>
      <c r="AO183" s="37" t="s">
        <v>430</v>
      </c>
      <c r="AP183" s="37" t="s">
        <v>437</v>
      </c>
      <c r="AQ183" s="29" t="s">
        <v>438</v>
      </c>
      <c r="AS183" s="36">
        <f>AM183+AN183</f>
        <v>0</v>
      </c>
      <c r="AT183" s="36">
        <f>G183/(100-AU183)*100</f>
        <v>0</v>
      </c>
      <c r="AU183" s="36">
        <v>0</v>
      </c>
      <c r="AV183" s="36">
        <f>L183</f>
        <v>0</v>
      </c>
    </row>
    <row r="184" spans="4:6" ht="12.75">
      <c r="D184" s="15" t="s">
        <v>330</v>
      </c>
      <c r="F184" s="20">
        <v>170</v>
      </c>
    </row>
    <row r="185" spans="1:48" ht="12.75">
      <c r="A185" s="4" t="s">
        <v>72</v>
      </c>
      <c r="B185" s="4"/>
      <c r="C185" s="4" t="s">
        <v>164</v>
      </c>
      <c r="D185" s="4" t="s">
        <v>331</v>
      </c>
      <c r="E185" s="4" t="s">
        <v>382</v>
      </c>
      <c r="F185" s="19">
        <v>1</v>
      </c>
      <c r="G185" s="19">
        <v>0</v>
      </c>
      <c r="H185" s="19">
        <f>F185*AE185</f>
        <v>0</v>
      </c>
      <c r="I185" s="19">
        <f>J185-H185</f>
        <v>0</v>
      </c>
      <c r="J185" s="19">
        <f>F185*G185</f>
        <v>0</v>
      </c>
      <c r="K185" s="19">
        <v>0</v>
      </c>
      <c r="L185" s="19">
        <f>F185*K185</f>
        <v>0</v>
      </c>
      <c r="M185" s="32" t="s">
        <v>405</v>
      </c>
      <c r="P185" s="36">
        <f>IF(AG185="5",J185,0)</f>
        <v>0</v>
      </c>
      <c r="R185" s="36">
        <f>IF(AG185="1",H185,0)</f>
        <v>0</v>
      </c>
      <c r="S185" s="36">
        <f>IF(AG185="1",I185,0)</f>
        <v>0</v>
      </c>
      <c r="T185" s="36">
        <f>IF(AG185="7",H185,0)</f>
        <v>0</v>
      </c>
      <c r="U185" s="36">
        <f>IF(AG185="7",I185,0)</f>
        <v>0</v>
      </c>
      <c r="V185" s="36">
        <f>IF(AG185="2",H185,0)</f>
        <v>0</v>
      </c>
      <c r="W185" s="36">
        <f>IF(AG185="2",I185,0)</f>
        <v>0</v>
      </c>
      <c r="X185" s="36">
        <f>IF(AG185="0",J185,0)</f>
        <v>0</v>
      </c>
      <c r="Y185" s="29"/>
      <c r="Z185" s="19">
        <f>IF(AD185=0,J185,0)</f>
        <v>0</v>
      </c>
      <c r="AA185" s="19">
        <f>IF(AD185=15,J185,0)</f>
        <v>0</v>
      </c>
      <c r="AB185" s="19">
        <f>IF(AD185=21,J185,0)</f>
        <v>0</v>
      </c>
      <c r="AD185" s="36">
        <v>21</v>
      </c>
      <c r="AE185" s="36">
        <f>G185*0</f>
        <v>0</v>
      </c>
      <c r="AF185" s="36">
        <f>G185*(1-0)</f>
        <v>0</v>
      </c>
      <c r="AG185" s="32" t="s">
        <v>8</v>
      </c>
      <c r="AM185" s="36">
        <f>F185*AE185</f>
        <v>0</v>
      </c>
      <c r="AN185" s="36">
        <f>F185*AF185</f>
        <v>0</v>
      </c>
      <c r="AO185" s="37" t="s">
        <v>430</v>
      </c>
      <c r="AP185" s="37" t="s">
        <v>437</v>
      </c>
      <c r="AQ185" s="29" t="s">
        <v>438</v>
      </c>
      <c r="AS185" s="36">
        <f>AM185+AN185</f>
        <v>0</v>
      </c>
      <c r="AT185" s="36">
        <f>G185/(100-AU185)*100</f>
        <v>0</v>
      </c>
      <c r="AU185" s="36">
        <v>0</v>
      </c>
      <c r="AV185" s="36">
        <f>L185</f>
        <v>0</v>
      </c>
    </row>
    <row r="186" spans="4:6" ht="12.75">
      <c r="D186" s="15" t="s">
        <v>7</v>
      </c>
      <c r="F186" s="20">
        <v>1</v>
      </c>
    </row>
    <row r="187" spans="1:48" ht="12.75">
      <c r="A187" s="4" t="s">
        <v>73</v>
      </c>
      <c r="B187" s="4"/>
      <c r="C187" s="4" t="s">
        <v>165</v>
      </c>
      <c r="D187" s="4" t="s">
        <v>332</v>
      </c>
      <c r="E187" s="4" t="s">
        <v>382</v>
      </c>
      <c r="F187" s="19">
        <v>15</v>
      </c>
      <c r="G187" s="19">
        <v>0</v>
      </c>
      <c r="H187" s="19">
        <f>F187*AE187</f>
        <v>0</v>
      </c>
      <c r="I187" s="19">
        <f>J187-H187</f>
        <v>0</v>
      </c>
      <c r="J187" s="19">
        <f>F187*G187</f>
        <v>0</v>
      </c>
      <c r="K187" s="19">
        <v>0</v>
      </c>
      <c r="L187" s="19">
        <f>F187*K187</f>
        <v>0</v>
      </c>
      <c r="M187" s="32" t="s">
        <v>405</v>
      </c>
      <c r="P187" s="36">
        <f>IF(AG187="5",J187,0)</f>
        <v>0</v>
      </c>
      <c r="R187" s="36">
        <f>IF(AG187="1",H187,0)</f>
        <v>0</v>
      </c>
      <c r="S187" s="36">
        <f>IF(AG187="1",I187,0)</f>
        <v>0</v>
      </c>
      <c r="T187" s="36">
        <f>IF(AG187="7",H187,0)</f>
        <v>0</v>
      </c>
      <c r="U187" s="36">
        <f>IF(AG187="7",I187,0)</f>
        <v>0</v>
      </c>
      <c r="V187" s="36">
        <f>IF(AG187="2",H187,0)</f>
        <v>0</v>
      </c>
      <c r="W187" s="36">
        <f>IF(AG187="2",I187,0)</f>
        <v>0</v>
      </c>
      <c r="X187" s="36">
        <f>IF(AG187="0",J187,0)</f>
        <v>0</v>
      </c>
      <c r="Y187" s="29"/>
      <c r="Z187" s="19">
        <f>IF(AD187=0,J187,0)</f>
        <v>0</v>
      </c>
      <c r="AA187" s="19">
        <f>IF(AD187=15,J187,0)</f>
        <v>0</v>
      </c>
      <c r="AB187" s="19">
        <f>IF(AD187=21,J187,0)</f>
        <v>0</v>
      </c>
      <c r="AD187" s="36">
        <v>21</v>
      </c>
      <c r="AE187" s="36">
        <f>G187*0.897945087204282</f>
        <v>0</v>
      </c>
      <c r="AF187" s="36">
        <f>G187*(1-0.897945087204282)</f>
        <v>0</v>
      </c>
      <c r="AG187" s="32" t="s">
        <v>8</v>
      </c>
      <c r="AM187" s="36">
        <f>F187*AE187</f>
        <v>0</v>
      </c>
      <c r="AN187" s="36">
        <f>F187*AF187</f>
        <v>0</v>
      </c>
      <c r="AO187" s="37" t="s">
        <v>430</v>
      </c>
      <c r="AP187" s="37" t="s">
        <v>437</v>
      </c>
      <c r="AQ187" s="29" t="s">
        <v>438</v>
      </c>
      <c r="AS187" s="36">
        <f>AM187+AN187</f>
        <v>0</v>
      </c>
      <c r="AT187" s="36">
        <f>G187/(100-AU187)*100</f>
        <v>0</v>
      </c>
      <c r="AU187" s="36">
        <v>0</v>
      </c>
      <c r="AV187" s="36">
        <f>L187</f>
        <v>0</v>
      </c>
    </row>
    <row r="188" spans="4:6" ht="12.75">
      <c r="D188" s="15" t="s">
        <v>21</v>
      </c>
      <c r="F188" s="20">
        <v>15</v>
      </c>
    </row>
    <row r="189" spans="1:48" ht="12.75">
      <c r="A189" s="4" t="s">
        <v>74</v>
      </c>
      <c r="B189" s="4"/>
      <c r="C189" s="4" t="s">
        <v>166</v>
      </c>
      <c r="D189" s="4" t="s">
        <v>333</v>
      </c>
      <c r="E189" s="4" t="s">
        <v>382</v>
      </c>
      <c r="F189" s="19">
        <v>15</v>
      </c>
      <c r="G189" s="19">
        <v>0</v>
      </c>
      <c r="H189" s="19">
        <f>F189*AE189</f>
        <v>0</v>
      </c>
      <c r="I189" s="19">
        <f>J189-H189</f>
        <v>0</v>
      </c>
      <c r="J189" s="19">
        <f>F189*G189</f>
        <v>0</v>
      </c>
      <c r="K189" s="19">
        <v>0.02545</v>
      </c>
      <c r="L189" s="19">
        <f>F189*K189</f>
        <v>0.38175000000000003</v>
      </c>
      <c r="M189" s="32" t="s">
        <v>405</v>
      </c>
      <c r="P189" s="36">
        <f>IF(AG189="5",J189,0)</f>
        <v>0</v>
      </c>
      <c r="R189" s="36">
        <f>IF(AG189="1",H189,0)</f>
        <v>0</v>
      </c>
      <c r="S189" s="36">
        <f>IF(AG189="1",I189,0)</f>
        <v>0</v>
      </c>
      <c r="T189" s="36">
        <f>IF(AG189="7",H189,0)</f>
        <v>0</v>
      </c>
      <c r="U189" s="36">
        <f>IF(AG189="7",I189,0)</f>
        <v>0</v>
      </c>
      <c r="V189" s="36">
        <f>IF(AG189="2",H189,0)</f>
        <v>0</v>
      </c>
      <c r="W189" s="36">
        <f>IF(AG189="2",I189,0)</f>
        <v>0</v>
      </c>
      <c r="X189" s="36">
        <f>IF(AG189="0",J189,0)</f>
        <v>0</v>
      </c>
      <c r="Y189" s="29"/>
      <c r="Z189" s="19">
        <f>IF(AD189=0,J189,0)</f>
        <v>0</v>
      </c>
      <c r="AA189" s="19">
        <f>IF(AD189=15,J189,0)</f>
        <v>0</v>
      </c>
      <c r="AB189" s="19">
        <f>IF(AD189=21,J189,0)</f>
        <v>0</v>
      </c>
      <c r="AD189" s="36">
        <v>21</v>
      </c>
      <c r="AE189" s="36">
        <f>G189*0.878394390885188</f>
        <v>0</v>
      </c>
      <c r="AF189" s="36">
        <f>G189*(1-0.878394390885188)</f>
        <v>0</v>
      </c>
      <c r="AG189" s="32" t="s">
        <v>8</v>
      </c>
      <c r="AM189" s="36">
        <f>F189*AE189</f>
        <v>0</v>
      </c>
      <c r="AN189" s="36">
        <f>F189*AF189</f>
        <v>0</v>
      </c>
      <c r="AO189" s="37" t="s">
        <v>430</v>
      </c>
      <c r="AP189" s="37" t="s">
        <v>437</v>
      </c>
      <c r="AQ189" s="29" t="s">
        <v>438</v>
      </c>
      <c r="AS189" s="36">
        <f>AM189+AN189</f>
        <v>0</v>
      </c>
      <c r="AT189" s="36">
        <f>G189/(100-AU189)*100</f>
        <v>0</v>
      </c>
      <c r="AU189" s="36">
        <v>0</v>
      </c>
      <c r="AV189" s="36">
        <f>L189</f>
        <v>0.38175000000000003</v>
      </c>
    </row>
    <row r="190" spans="4:6" ht="12.75">
      <c r="D190" s="15" t="s">
        <v>334</v>
      </c>
      <c r="F190" s="20">
        <v>15</v>
      </c>
    </row>
    <row r="191" spans="1:48" ht="12.75">
      <c r="A191" s="4" t="s">
        <v>75</v>
      </c>
      <c r="B191" s="4"/>
      <c r="C191" s="4" t="s">
        <v>167</v>
      </c>
      <c r="D191" s="4" t="s">
        <v>335</v>
      </c>
      <c r="E191" s="4" t="s">
        <v>379</v>
      </c>
      <c r="F191" s="19">
        <v>420</v>
      </c>
      <c r="G191" s="19">
        <v>0</v>
      </c>
      <c r="H191" s="19">
        <f>F191*AE191</f>
        <v>0</v>
      </c>
      <c r="I191" s="19">
        <f>J191-H191</f>
        <v>0</v>
      </c>
      <c r="J191" s="19">
        <f>F191*G191</f>
        <v>0</v>
      </c>
      <c r="K191" s="19">
        <v>0</v>
      </c>
      <c r="L191" s="19">
        <f>F191*K191</f>
        <v>0</v>
      </c>
      <c r="M191" s="32" t="s">
        <v>405</v>
      </c>
      <c r="P191" s="36">
        <f>IF(AG191="5",J191,0)</f>
        <v>0</v>
      </c>
      <c r="R191" s="36">
        <f>IF(AG191="1",H191,0)</f>
        <v>0</v>
      </c>
      <c r="S191" s="36">
        <f>IF(AG191="1",I191,0)</f>
        <v>0</v>
      </c>
      <c r="T191" s="36">
        <f>IF(AG191="7",H191,0)</f>
        <v>0</v>
      </c>
      <c r="U191" s="36">
        <f>IF(AG191="7",I191,0)</f>
        <v>0</v>
      </c>
      <c r="V191" s="36">
        <f>IF(AG191="2",H191,0)</f>
        <v>0</v>
      </c>
      <c r="W191" s="36">
        <f>IF(AG191="2",I191,0)</f>
        <v>0</v>
      </c>
      <c r="X191" s="36">
        <f>IF(AG191="0",J191,0)</f>
        <v>0</v>
      </c>
      <c r="Y191" s="29"/>
      <c r="Z191" s="19">
        <f>IF(AD191=0,J191,0)</f>
        <v>0</v>
      </c>
      <c r="AA191" s="19">
        <f>IF(AD191=15,J191,0)</f>
        <v>0</v>
      </c>
      <c r="AB191" s="19">
        <f>IF(AD191=21,J191,0)</f>
        <v>0</v>
      </c>
      <c r="AD191" s="36">
        <v>21</v>
      </c>
      <c r="AE191" s="36">
        <f>G191*0</f>
        <v>0</v>
      </c>
      <c r="AF191" s="36">
        <f>G191*(1-0)</f>
        <v>0</v>
      </c>
      <c r="AG191" s="32" t="s">
        <v>8</v>
      </c>
      <c r="AM191" s="36">
        <f>F191*AE191</f>
        <v>0</v>
      </c>
      <c r="AN191" s="36">
        <f>F191*AF191</f>
        <v>0</v>
      </c>
      <c r="AO191" s="37" t="s">
        <v>430</v>
      </c>
      <c r="AP191" s="37" t="s">
        <v>437</v>
      </c>
      <c r="AQ191" s="29" t="s">
        <v>438</v>
      </c>
      <c r="AS191" s="36">
        <f>AM191+AN191</f>
        <v>0</v>
      </c>
      <c r="AT191" s="36">
        <f>G191/(100-AU191)*100</f>
        <v>0</v>
      </c>
      <c r="AU191" s="36">
        <v>0</v>
      </c>
      <c r="AV191" s="36">
        <f>L191</f>
        <v>0</v>
      </c>
    </row>
    <row r="192" spans="4:6" ht="12.75">
      <c r="D192" s="15" t="s">
        <v>336</v>
      </c>
      <c r="F192" s="20">
        <v>420</v>
      </c>
    </row>
    <row r="193" spans="1:48" ht="12.75">
      <c r="A193" s="4" t="s">
        <v>76</v>
      </c>
      <c r="B193" s="4"/>
      <c r="C193" s="4" t="s">
        <v>168</v>
      </c>
      <c r="D193" s="4" t="s">
        <v>337</v>
      </c>
      <c r="E193" s="4" t="s">
        <v>379</v>
      </c>
      <c r="F193" s="19">
        <v>440</v>
      </c>
      <c r="G193" s="19">
        <v>0</v>
      </c>
      <c r="H193" s="19">
        <f>F193*AE193</f>
        <v>0</v>
      </c>
      <c r="I193" s="19">
        <f>J193-H193</f>
        <v>0</v>
      </c>
      <c r="J193" s="19">
        <f>F193*G193</f>
        <v>0</v>
      </c>
      <c r="K193" s="19">
        <v>0.00021</v>
      </c>
      <c r="L193" s="19">
        <f>F193*K193</f>
        <v>0.09240000000000001</v>
      </c>
      <c r="M193" s="32" t="s">
        <v>405</v>
      </c>
      <c r="P193" s="36">
        <f>IF(AG193="5",J193,0)</f>
        <v>0</v>
      </c>
      <c r="R193" s="36">
        <f>IF(AG193="1",H193,0)</f>
        <v>0</v>
      </c>
      <c r="S193" s="36">
        <f>IF(AG193="1",I193,0)</f>
        <v>0</v>
      </c>
      <c r="T193" s="36">
        <f>IF(AG193="7",H193,0)</f>
        <v>0</v>
      </c>
      <c r="U193" s="36">
        <f>IF(AG193="7",I193,0)</f>
        <v>0</v>
      </c>
      <c r="V193" s="36">
        <f>IF(AG193="2",H193,0)</f>
        <v>0</v>
      </c>
      <c r="W193" s="36">
        <f>IF(AG193="2",I193,0)</f>
        <v>0</v>
      </c>
      <c r="X193" s="36">
        <f>IF(AG193="0",J193,0)</f>
        <v>0</v>
      </c>
      <c r="Y193" s="29"/>
      <c r="Z193" s="19">
        <f>IF(AD193=0,J193,0)</f>
        <v>0</v>
      </c>
      <c r="AA193" s="19">
        <f>IF(AD193=15,J193,0)</f>
        <v>0</v>
      </c>
      <c r="AB193" s="19">
        <f>IF(AD193=21,J193,0)</f>
        <v>0</v>
      </c>
      <c r="AD193" s="36">
        <v>21</v>
      </c>
      <c r="AE193" s="36">
        <f>G193*0.423</f>
        <v>0</v>
      </c>
      <c r="AF193" s="36">
        <f>G193*(1-0.423)</f>
        <v>0</v>
      </c>
      <c r="AG193" s="32" t="s">
        <v>8</v>
      </c>
      <c r="AM193" s="36">
        <f>F193*AE193</f>
        <v>0</v>
      </c>
      <c r="AN193" s="36">
        <f>F193*AF193</f>
        <v>0</v>
      </c>
      <c r="AO193" s="37" t="s">
        <v>430</v>
      </c>
      <c r="AP193" s="37" t="s">
        <v>437</v>
      </c>
      <c r="AQ193" s="29" t="s">
        <v>438</v>
      </c>
      <c r="AS193" s="36">
        <f>AM193+AN193</f>
        <v>0</v>
      </c>
      <c r="AT193" s="36">
        <f>G193/(100-AU193)*100</f>
        <v>0</v>
      </c>
      <c r="AU193" s="36">
        <v>0</v>
      </c>
      <c r="AV193" s="36">
        <f>L193</f>
        <v>0.09240000000000001</v>
      </c>
    </row>
    <row r="194" spans="4:6" ht="12.75">
      <c r="D194" s="15" t="s">
        <v>338</v>
      </c>
      <c r="F194" s="20">
        <v>440</v>
      </c>
    </row>
    <row r="195" spans="1:48" ht="12.75">
      <c r="A195" s="4" t="s">
        <v>77</v>
      </c>
      <c r="B195" s="4"/>
      <c r="C195" s="4" t="s">
        <v>169</v>
      </c>
      <c r="D195" s="4" t="s">
        <v>339</v>
      </c>
      <c r="E195" s="4" t="s">
        <v>382</v>
      </c>
      <c r="F195" s="19">
        <v>15</v>
      </c>
      <c r="G195" s="19">
        <v>0</v>
      </c>
      <c r="H195" s="19">
        <f>F195*AE195</f>
        <v>0</v>
      </c>
      <c r="I195" s="19">
        <f>J195-H195</f>
        <v>0</v>
      </c>
      <c r="J195" s="19">
        <f>F195*G195</f>
        <v>0</v>
      </c>
      <c r="K195" s="19">
        <v>0</v>
      </c>
      <c r="L195" s="19">
        <f>F195*K195</f>
        <v>0</v>
      </c>
      <c r="M195" s="32" t="s">
        <v>405</v>
      </c>
      <c r="P195" s="36">
        <f>IF(AG195="5",J195,0)</f>
        <v>0</v>
      </c>
      <c r="R195" s="36">
        <f>IF(AG195="1",H195,0)</f>
        <v>0</v>
      </c>
      <c r="S195" s="36">
        <f>IF(AG195="1",I195,0)</f>
        <v>0</v>
      </c>
      <c r="T195" s="36">
        <f>IF(AG195="7",H195,0)</f>
        <v>0</v>
      </c>
      <c r="U195" s="36">
        <f>IF(AG195="7",I195,0)</f>
        <v>0</v>
      </c>
      <c r="V195" s="36">
        <f>IF(AG195="2",H195,0)</f>
        <v>0</v>
      </c>
      <c r="W195" s="36">
        <f>IF(AG195="2",I195,0)</f>
        <v>0</v>
      </c>
      <c r="X195" s="36">
        <f>IF(AG195="0",J195,0)</f>
        <v>0</v>
      </c>
      <c r="Y195" s="29"/>
      <c r="Z195" s="19">
        <f>IF(AD195=0,J195,0)</f>
        <v>0</v>
      </c>
      <c r="AA195" s="19">
        <f>IF(AD195=15,J195,0)</f>
        <v>0</v>
      </c>
      <c r="AB195" s="19">
        <f>IF(AD195=21,J195,0)</f>
        <v>0</v>
      </c>
      <c r="AD195" s="36">
        <v>21</v>
      </c>
      <c r="AE195" s="36">
        <f>G195*0</f>
        <v>0</v>
      </c>
      <c r="AF195" s="36">
        <f>G195*(1-0)</f>
        <v>0</v>
      </c>
      <c r="AG195" s="32" t="s">
        <v>8</v>
      </c>
      <c r="AM195" s="36">
        <f>F195*AE195</f>
        <v>0</v>
      </c>
      <c r="AN195" s="36">
        <f>F195*AF195</f>
        <v>0</v>
      </c>
      <c r="AO195" s="37" t="s">
        <v>430</v>
      </c>
      <c r="AP195" s="37" t="s">
        <v>437</v>
      </c>
      <c r="AQ195" s="29" t="s">
        <v>438</v>
      </c>
      <c r="AS195" s="36">
        <f>AM195+AN195</f>
        <v>0</v>
      </c>
      <c r="AT195" s="36">
        <f>G195/(100-AU195)*100</f>
        <v>0</v>
      </c>
      <c r="AU195" s="36">
        <v>0</v>
      </c>
      <c r="AV195" s="36">
        <f>L195</f>
        <v>0</v>
      </c>
    </row>
    <row r="196" spans="4:6" ht="12.75">
      <c r="D196" s="15" t="s">
        <v>21</v>
      </c>
      <c r="F196" s="20">
        <v>15</v>
      </c>
    </row>
    <row r="197" spans="1:48" ht="12.75">
      <c r="A197" s="4" t="s">
        <v>78</v>
      </c>
      <c r="B197" s="4"/>
      <c r="C197" s="4" t="s">
        <v>170</v>
      </c>
      <c r="D197" s="4" t="s">
        <v>340</v>
      </c>
      <c r="E197" s="4" t="s">
        <v>382</v>
      </c>
      <c r="F197" s="19">
        <v>3</v>
      </c>
      <c r="G197" s="19">
        <v>0</v>
      </c>
      <c r="H197" s="19">
        <f>F197*AE197</f>
        <v>0</v>
      </c>
      <c r="I197" s="19">
        <f>J197-H197</f>
        <v>0</v>
      </c>
      <c r="J197" s="19">
        <f>F197*G197</f>
        <v>0</v>
      </c>
      <c r="K197" s="19">
        <v>0</v>
      </c>
      <c r="L197" s="19">
        <f>F197*K197</f>
        <v>0</v>
      </c>
      <c r="M197" s="32" t="s">
        <v>405</v>
      </c>
      <c r="P197" s="36">
        <f>IF(AG197="5",J197,0)</f>
        <v>0</v>
      </c>
      <c r="R197" s="36">
        <f>IF(AG197="1",H197,0)</f>
        <v>0</v>
      </c>
      <c r="S197" s="36">
        <f>IF(AG197="1",I197,0)</f>
        <v>0</v>
      </c>
      <c r="T197" s="36">
        <f>IF(AG197="7",H197,0)</f>
        <v>0</v>
      </c>
      <c r="U197" s="36">
        <f>IF(AG197="7",I197,0)</f>
        <v>0</v>
      </c>
      <c r="V197" s="36">
        <f>IF(AG197="2",H197,0)</f>
        <v>0</v>
      </c>
      <c r="W197" s="36">
        <f>IF(AG197="2",I197,0)</f>
        <v>0</v>
      </c>
      <c r="X197" s="36">
        <f>IF(AG197="0",J197,0)</f>
        <v>0</v>
      </c>
      <c r="Y197" s="29"/>
      <c r="Z197" s="19">
        <f>IF(AD197=0,J197,0)</f>
        <v>0</v>
      </c>
      <c r="AA197" s="19">
        <f>IF(AD197=15,J197,0)</f>
        <v>0</v>
      </c>
      <c r="AB197" s="19">
        <f>IF(AD197=21,J197,0)</f>
        <v>0</v>
      </c>
      <c r="AD197" s="36">
        <v>21</v>
      </c>
      <c r="AE197" s="36">
        <f>G197*0</f>
        <v>0</v>
      </c>
      <c r="AF197" s="36">
        <f>G197*(1-0)</f>
        <v>0</v>
      </c>
      <c r="AG197" s="32" t="s">
        <v>8</v>
      </c>
      <c r="AM197" s="36">
        <f>F197*AE197</f>
        <v>0</v>
      </c>
      <c r="AN197" s="36">
        <f>F197*AF197</f>
        <v>0</v>
      </c>
      <c r="AO197" s="37" t="s">
        <v>430</v>
      </c>
      <c r="AP197" s="37" t="s">
        <v>437</v>
      </c>
      <c r="AQ197" s="29" t="s">
        <v>438</v>
      </c>
      <c r="AS197" s="36">
        <f>AM197+AN197</f>
        <v>0</v>
      </c>
      <c r="AT197" s="36">
        <f>G197/(100-AU197)*100</f>
        <v>0</v>
      </c>
      <c r="AU197" s="36">
        <v>0</v>
      </c>
      <c r="AV197" s="36">
        <f>L197</f>
        <v>0</v>
      </c>
    </row>
    <row r="198" spans="4:6" ht="12.75">
      <c r="D198" s="15" t="s">
        <v>9</v>
      </c>
      <c r="F198" s="20">
        <v>3</v>
      </c>
    </row>
    <row r="199" spans="1:48" ht="12.75">
      <c r="A199" s="4" t="s">
        <v>79</v>
      </c>
      <c r="B199" s="4"/>
      <c r="C199" s="4" t="s">
        <v>171</v>
      </c>
      <c r="D199" s="4" t="s">
        <v>341</v>
      </c>
      <c r="E199" s="4" t="s">
        <v>382</v>
      </c>
      <c r="F199" s="19">
        <v>15</v>
      </c>
      <c r="G199" s="19">
        <v>0</v>
      </c>
      <c r="H199" s="19">
        <f>F199*AE199</f>
        <v>0</v>
      </c>
      <c r="I199" s="19">
        <f>J199-H199</f>
        <v>0</v>
      </c>
      <c r="J199" s="19">
        <f>F199*G199</f>
        <v>0</v>
      </c>
      <c r="K199" s="19">
        <v>0</v>
      </c>
      <c r="L199" s="19">
        <f>F199*K199</f>
        <v>0</v>
      </c>
      <c r="M199" s="32" t="s">
        <v>405</v>
      </c>
      <c r="P199" s="36">
        <f>IF(AG199="5",J199,0)</f>
        <v>0</v>
      </c>
      <c r="R199" s="36">
        <f>IF(AG199="1",H199,0)</f>
        <v>0</v>
      </c>
      <c r="S199" s="36">
        <f>IF(AG199="1",I199,0)</f>
        <v>0</v>
      </c>
      <c r="T199" s="36">
        <f>IF(AG199="7",H199,0)</f>
        <v>0</v>
      </c>
      <c r="U199" s="36">
        <f>IF(AG199="7",I199,0)</f>
        <v>0</v>
      </c>
      <c r="V199" s="36">
        <f>IF(AG199="2",H199,0)</f>
        <v>0</v>
      </c>
      <c r="W199" s="36">
        <f>IF(AG199="2",I199,0)</f>
        <v>0</v>
      </c>
      <c r="X199" s="36">
        <f>IF(AG199="0",J199,0)</f>
        <v>0</v>
      </c>
      <c r="Y199" s="29"/>
      <c r="Z199" s="19">
        <f>IF(AD199=0,J199,0)</f>
        <v>0</v>
      </c>
      <c r="AA199" s="19">
        <f>IF(AD199=15,J199,0)</f>
        <v>0</v>
      </c>
      <c r="AB199" s="19">
        <f>IF(AD199=21,J199,0)</f>
        <v>0</v>
      </c>
      <c r="AD199" s="36">
        <v>21</v>
      </c>
      <c r="AE199" s="36">
        <f>G199*0</f>
        <v>0</v>
      </c>
      <c r="AF199" s="36">
        <f>G199*(1-0)</f>
        <v>0</v>
      </c>
      <c r="AG199" s="32" t="s">
        <v>8</v>
      </c>
      <c r="AM199" s="36">
        <f>F199*AE199</f>
        <v>0</v>
      </c>
      <c r="AN199" s="36">
        <f>F199*AF199</f>
        <v>0</v>
      </c>
      <c r="AO199" s="37" t="s">
        <v>430</v>
      </c>
      <c r="AP199" s="37" t="s">
        <v>437</v>
      </c>
      <c r="AQ199" s="29" t="s">
        <v>438</v>
      </c>
      <c r="AS199" s="36">
        <f>AM199+AN199</f>
        <v>0</v>
      </c>
      <c r="AT199" s="36">
        <f>G199/(100-AU199)*100</f>
        <v>0</v>
      </c>
      <c r="AU199" s="36">
        <v>0</v>
      </c>
      <c r="AV199" s="36">
        <f>L199</f>
        <v>0</v>
      </c>
    </row>
    <row r="200" spans="4:6" ht="12.75">
      <c r="D200" s="15" t="s">
        <v>21</v>
      </c>
      <c r="F200" s="20">
        <v>15</v>
      </c>
    </row>
    <row r="201" spans="1:48" ht="12.75">
      <c r="A201" s="4" t="s">
        <v>80</v>
      </c>
      <c r="B201" s="4"/>
      <c r="C201" s="4" t="s">
        <v>172</v>
      </c>
      <c r="D201" s="4" t="s">
        <v>342</v>
      </c>
      <c r="E201" s="4" t="s">
        <v>383</v>
      </c>
      <c r="F201" s="19">
        <v>14</v>
      </c>
      <c r="G201" s="19">
        <v>0</v>
      </c>
      <c r="H201" s="19">
        <f>F201*AE201</f>
        <v>0</v>
      </c>
      <c r="I201" s="19">
        <f>J201-H201</f>
        <v>0</v>
      </c>
      <c r="J201" s="19">
        <f>F201*G201</f>
        <v>0</v>
      </c>
      <c r="K201" s="19">
        <v>0</v>
      </c>
      <c r="L201" s="19">
        <f>F201*K201</f>
        <v>0</v>
      </c>
      <c r="M201" s="32" t="s">
        <v>405</v>
      </c>
      <c r="P201" s="36">
        <f>IF(AG201="5",J201,0)</f>
        <v>0</v>
      </c>
      <c r="R201" s="36">
        <f>IF(AG201="1",H201,0)</f>
        <v>0</v>
      </c>
      <c r="S201" s="36">
        <f>IF(AG201="1",I201,0)</f>
        <v>0</v>
      </c>
      <c r="T201" s="36">
        <f>IF(AG201="7",H201,0)</f>
        <v>0</v>
      </c>
      <c r="U201" s="36">
        <f>IF(AG201="7",I201,0)</f>
        <v>0</v>
      </c>
      <c r="V201" s="36">
        <f>IF(AG201="2",H201,0)</f>
        <v>0</v>
      </c>
      <c r="W201" s="36">
        <f>IF(AG201="2",I201,0)</f>
        <v>0</v>
      </c>
      <c r="X201" s="36">
        <f>IF(AG201="0",J201,0)</f>
        <v>0</v>
      </c>
      <c r="Y201" s="29"/>
      <c r="Z201" s="19">
        <f>IF(AD201=0,J201,0)</f>
        <v>0</v>
      </c>
      <c r="AA201" s="19">
        <f>IF(AD201=15,J201,0)</f>
        <v>0</v>
      </c>
      <c r="AB201" s="19">
        <f>IF(AD201=21,J201,0)</f>
        <v>0</v>
      </c>
      <c r="AD201" s="36">
        <v>21</v>
      </c>
      <c r="AE201" s="36">
        <f>G201*0</f>
        <v>0</v>
      </c>
      <c r="AF201" s="36">
        <f>G201*(1-0)</f>
        <v>0</v>
      </c>
      <c r="AG201" s="32" t="s">
        <v>7</v>
      </c>
      <c r="AM201" s="36">
        <f>F201*AE201</f>
        <v>0</v>
      </c>
      <c r="AN201" s="36">
        <f>F201*AF201</f>
        <v>0</v>
      </c>
      <c r="AO201" s="37" t="s">
        <v>430</v>
      </c>
      <c r="AP201" s="37" t="s">
        <v>437</v>
      </c>
      <c r="AQ201" s="29" t="s">
        <v>438</v>
      </c>
      <c r="AS201" s="36">
        <f>AM201+AN201</f>
        <v>0</v>
      </c>
      <c r="AT201" s="36">
        <f>G201/(100-AU201)*100</f>
        <v>0</v>
      </c>
      <c r="AU201" s="36">
        <v>0</v>
      </c>
      <c r="AV201" s="36">
        <f>L201</f>
        <v>0</v>
      </c>
    </row>
    <row r="202" spans="4:6" ht="12.75">
      <c r="D202" s="15" t="s">
        <v>20</v>
      </c>
      <c r="F202" s="20">
        <v>14</v>
      </c>
    </row>
    <row r="203" spans="1:37" ht="12.75">
      <c r="A203" s="5"/>
      <c r="B203" s="13"/>
      <c r="C203" s="13" t="s">
        <v>173</v>
      </c>
      <c r="D203" s="13" t="s">
        <v>343</v>
      </c>
      <c r="E203" s="5" t="s">
        <v>6</v>
      </c>
      <c r="F203" s="5" t="s">
        <v>6</v>
      </c>
      <c r="G203" s="5" t="s">
        <v>6</v>
      </c>
      <c r="H203" s="39">
        <f>SUM(H204:H204)</f>
        <v>0</v>
      </c>
      <c r="I203" s="39">
        <f>SUM(I204:I204)</f>
        <v>0</v>
      </c>
      <c r="J203" s="39">
        <f>H203+I203</f>
        <v>0</v>
      </c>
      <c r="K203" s="29"/>
      <c r="L203" s="39">
        <f>SUM(L204:L204)</f>
        <v>0</v>
      </c>
      <c r="M203" s="29"/>
      <c r="Y203" s="29"/>
      <c r="AI203" s="39">
        <f>SUM(Z204:Z204)</f>
        <v>0</v>
      </c>
      <c r="AJ203" s="39">
        <f>SUM(AA204:AA204)</f>
        <v>0</v>
      </c>
      <c r="AK203" s="39">
        <f>SUM(AB204:AB204)</f>
        <v>0</v>
      </c>
    </row>
    <row r="204" spans="1:48" ht="12.75">
      <c r="A204" s="4" t="s">
        <v>81</v>
      </c>
      <c r="B204" s="4"/>
      <c r="C204" s="4" t="s">
        <v>174</v>
      </c>
      <c r="D204" s="4" t="s">
        <v>344</v>
      </c>
      <c r="E204" s="4" t="s">
        <v>381</v>
      </c>
      <c r="F204" s="19">
        <v>1</v>
      </c>
      <c r="G204" s="19">
        <v>0</v>
      </c>
      <c r="H204" s="19">
        <f>F204*AE204</f>
        <v>0</v>
      </c>
      <c r="I204" s="19">
        <f>J204-H204</f>
        <v>0</v>
      </c>
      <c r="J204" s="19">
        <f>F204*G204</f>
        <v>0</v>
      </c>
      <c r="K204" s="19">
        <v>0</v>
      </c>
      <c r="L204" s="19">
        <f>F204*K204</f>
        <v>0</v>
      </c>
      <c r="M204" s="32" t="s">
        <v>405</v>
      </c>
      <c r="P204" s="36">
        <f>IF(AG204="5",J204,0)</f>
        <v>0</v>
      </c>
      <c r="R204" s="36">
        <f>IF(AG204="1",H204,0)</f>
        <v>0</v>
      </c>
      <c r="S204" s="36">
        <f>IF(AG204="1",I204,0)</f>
        <v>0</v>
      </c>
      <c r="T204" s="36">
        <f>IF(AG204="7",H204,0)</f>
        <v>0</v>
      </c>
      <c r="U204" s="36">
        <f>IF(AG204="7",I204,0)</f>
        <v>0</v>
      </c>
      <c r="V204" s="36">
        <f>IF(AG204="2",H204,0)</f>
        <v>0</v>
      </c>
      <c r="W204" s="36">
        <f>IF(AG204="2",I204,0)</f>
        <v>0</v>
      </c>
      <c r="X204" s="36">
        <f>IF(AG204="0",J204,0)</f>
        <v>0</v>
      </c>
      <c r="Y204" s="29"/>
      <c r="Z204" s="19">
        <f>IF(AD204=0,J204,0)</f>
        <v>0</v>
      </c>
      <c r="AA204" s="19">
        <f>IF(AD204=15,J204,0)</f>
        <v>0</v>
      </c>
      <c r="AB204" s="19">
        <f>IF(AD204=21,J204,0)</f>
        <v>0</v>
      </c>
      <c r="AD204" s="36">
        <v>21</v>
      </c>
      <c r="AE204" s="36">
        <f>G204*0.00602410714285714</f>
        <v>0</v>
      </c>
      <c r="AF204" s="36">
        <f>G204*(1-0.00602410714285714)</f>
        <v>0</v>
      </c>
      <c r="AG204" s="32" t="s">
        <v>8</v>
      </c>
      <c r="AM204" s="36">
        <f>F204*AE204</f>
        <v>0</v>
      </c>
      <c r="AN204" s="36">
        <f>F204*AF204</f>
        <v>0</v>
      </c>
      <c r="AO204" s="37" t="s">
        <v>431</v>
      </c>
      <c r="AP204" s="37" t="s">
        <v>437</v>
      </c>
      <c r="AQ204" s="29" t="s">
        <v>438</v>
      </c>
      <c r="AS204" s="36">
        <f>AM204+AN204</f>
        <v>0</v>
      </c>
      <c r="AT204" s="36">
        <f>G204/(100-AU204)*100</f>
        <v>0</v>
      </c>
      <c r="AU204" s="36">
        <v>0</v>
      </c>
      <c r="AV204" s="36">
        <f>L204</f>
        <v>0</v>
      </c>
    </row>
    <row r="205" spans="4:6" ht="12.75">
      <c r="D205" s="15" t="s">
        <v>293</v>
      </c>
      <c r="F205" s="20">
        <v>1</v>
      </c>
    </row>
    <row r="206" spans="1:37" ht="12.75">
      <c r="A206" s="5"/>
      <c r="B206" s="13"/>
      <c r="C206" s="13" t="s">
        <v>175</v>
      </c>
      <c r="D206" s="13" t="s">
        <v>345</v>
      </c>
      <c r="E206" s="5" t="s">
        <v>6</v>
      </c>
      <c r="F206" s="5" t="s">
        <v>6</v>
      </c>
      <c r="G206" s="5" t="s">
        <v>6</v>
      </c>
      <c r="H206" s="39">
        <f>SUM(H207:H219)</f>
        <v>0</v>
      </c>
      <c r="I206" s="39">
        <f>SUM(I207:I219)</f>
        <v>0</v>
      </c>
      <c r="J206" s="39">
        <f>H206+I206</f>
        <v>0</v>
      </c>
      <c r="K206" s="29"/>
      <c r="L206" s="39">
        <f>SUM(L207:L219)</f>
        <v>80.7027</v>
      </c>
      <c r="M206" s="29"/>
      <c r="Y206" s="29"/>
      <c r="AI206" s="39">
        <f>SUM(Z207:Z219)</f>
        <v>0</v>
      </c>
      <c r="AJ206" s="39">
        <f>SUM(AA207:AA219)</f>
        <v>0</v>
      </c>
      <c r="AK206" s="39">
        <f>SUM(AB207:AB219)</f>
        <v>0</v>
      </c>
    </row>
    <row r="207" spans="1:48" ht="12.75">
      <c r="A207" s="4" t="s">
        <v>82</v>
      </c>
      <c r="B207" s="4"/>
      <c r="C207" s="4" t="s">
        <v>176</v>
      </c>
      <c r="D207" s="4" t="s">
        <v>346</v>
      </c>
      <c r="E207" s="4" t="s">
        <v>382</v>
      </c>
      <c r="F207" s="19">
        <v>15</v>
      </c>
      <c r="G207" s="19">
        <v>0</v>
      </c>
      <c r="H207" s="19">
        <f>F207*AE207</f>
        <v>0</v>
      </c>
      <c r="I207" s="19">
        <f>J207-H207</f>
        <v>0</v>
      </c>
      <c r="J207" s="19">
        <f>F207*G207</f>
        <v>0</v>
      </c>
      <c r="K207" s="19">
        <v>0</v>
      </c>
      <c r="L207" s="19">
        <f>F207*K207</f>
        <v>0</v>
      </c>
      <c r="M207" s="32" t="s">
        <v>405</v>
      </c>
      <c r="P207" s="36">
        <f>IF(AG207="5",J207,0)</f>
        <v>0</v>
      </c>
      <c r="R207" s="36">
        <f>IF(AG207="1",H207,0)</f>
        <v>0</v>
      </c>
      <c r="S207" s="36">
        <f>IF(AG207="1",I207,0)</f>
        <v>0</v>
      </c>
      <c r="T207" s="36">
        <f>IF(AG207="7",H207,0)</f>
        <v>0</v>
      </c>
      <c r="U207" s="36">
        <f>IF(AG207="7",I207,0)</f>
        <v>0</v>
      </c>
      <c r="V207" s="36">
        <f>IF(AG207="2",H207,0)</f>
        <v>0</v>
      </c>
      <c r="W207" s="36">
        <f>IF(AG207="2",I207,0)</f>
        <v>0</v>
      </c>
      <c r="X207" s="36">
        <f>IF(AG207="0",J207,0)</f>
        <v>0</v>
      </c>
      <c r="Y207" s="29"/>
      <c r="Z207" s="19">
        <f>IF(AD207=0,J207,0)</f>
        <v>0</v>
      </c>
      <c r="AA207" s="19">
        <f>IF(AD207=15,J207,0)</f>
        <v>0</v>
      </c>
      <c r="AB207" s="19">
        <f>IF(AD207=21,J207,0)</f>
        <v>0</v>
      </c>
      <c r="AD207" s="36">
        <v>21</v>
      </c>
      <c r="AE207" s="36">
        <f>G207*0</f>
        <v>0</v>
      </c>
      <c r="AF207" s="36">
        <f>G207*(1-0)</f>
        <v>0</v>
      </c>
      <c r="AG207" s="32" t="s">
        <v>8</v>
      </c>
      <c r="AM207" s="36">
        <f>F207*AE207</f>
        <v>0</v>
      </c>
      <c r="AN207" s="36">
        <f>F207*AF207</f>
        <v>0</v>
      </c>
      <c r="AO207" s="37" t="s">
        <v>432</v>
      </c>
      <c r="AP207" s="37" t="s">
        <v>437</v>
      </c>
      <c r="AQ207" s="29" t="s">
        <v>438</v>
      </c>
      <c r="AS207" s="36">
        <f>AM207+AN207</f>
        <v>0</v>
      </c>
      <c r="AT207" s="36">
        <f>G207/(100-AU207)*100</f>
        <v>0</v>
      </c>
      <c r="AU207" s="36">
        <v>0</v>
      </c>
      <c r="AV207" s="36">
        <f>L207</f>
        <v>0</v>
      </c>
    </row>
    <row r="208" spans="4:6" ht="12.75">
      <c r="D208" s="15" t="s">
        <v>21</v>
      </c>
      <c r="F208" s="20">
        <v>15</v>
      </c>
    </row>
    <row r="209" spans="1:48" ht="12.75">
      <c r="A209" s="4" t="s">
        <v>83</v>
      </c>
      <c r="B209" s="4"/>
      <c r="C209" s="4" t="s">
        <v>177</v>
      </c>
      <c r="D209" s="4" t="s">
        <v>347</v>
      </c>
      <c r="E209" s="4" t="s">
        <v>380</v>
      </c>
      <c r="F209" s="19">
        <v>7.5</v>
      </c>
      <c r="G209" s="19">
        <v>0</v>
      </c>
      <c r="H209" s="19">
        <f>F209*AE209</f>
        <v>0</v>
      </c>
      <c r="I209" s="19">
        <f>J209-H209</f>
        <v>0</v>
      </c>
      <c r="J209" s="19">
        <f>F209*G209</f>
        <v>0</v>
      </c>
      <c r="K209" s="19">
        <v>2.525</v>
      </c>
      <c r="L209" s="19">
        <f>F209*K209</f>
        <v>18.9375</v>
      </c>
      <c r="M209" s="32" t="s">
        <v>405</v>
      </c>
      <c r="P209" s="36">
        <f>IF(AG209="5",J209,0)</f>
        <v>0</v>
      </c>
      <c r="R209" s="36">
        <f>IF(AG209="1",H209,0)</f>
        <v>0</v>
      </c>
      <c r="S209" s="36">
        <f>IF(AG209="1",I209,0)</f>
        <v>0</v>
      </c>
      <c r="T209" s="36">
        <f>IF(AG209="7",H209,0)</f>
        <v>0</v>
      </c>
      <c r="U209" s="36">
        <f>IF(AG209="7",I209,0)</f>
        <v>0</v>
      </c>
      <c r="V209" s="36">
        <f>IF(AG209="2",H209,0)</f>
        <v>0</v>
      </c>
      <c r="W209" s="36">
        <f>IF(AG209="2",I209,0)</f>
        <v>0</v>
      </c>
      <c r="X209" s="36">
        <f>IF(AG209="0",J209,0)</f>
        <v>0</v>
      </c>
      <c r="Y209" s="29"/>
      <c r="Z209" s="19">
        <f>IF(AD209=0,J209,0)</f>
        <v>0</v>
      </c>
      <c r="AA209" s="19">
        <f>IF(AD209=15,J209,0)</f>
        <v>0</v>
      </c>
      <c r="AB209" s="19">
        <f>IF(AD209=21,J209,0)</f>
        <v>0</v>
      </c>
      <c r="AD209" s="36">
        <v>21</v>
      </c>
      <c r="AE209" s="36">
        <f>G209*0.595955716532231</f>
        <v>0</v>
      </c>
      <c r="AF209" s="36">
        <f>G209*(1-0.595955716532231)</f>
        <v>0</v>
      </c>
      <c r="AG209" s="32" t="s">
        <v>8</v>
      </c>
      <c r="AM209" s="36">
        <f>F209*AE209</f>
        <v>0</v>
      </c>
      <c r="AN209" s="36">
        <f>F209*AF209</f>
        <v>0</v>
      </c>
      <c r="AO209" s="37" t="s">
        <v>432</v>
      </c>
      <c r="AP209" s="37" t="s">
        <v>437</v>
      </c>
      <c r="AQ209" s="29" t="s">
        <v>438</v>
      </c>
      <c r="AS209" s="36">
        <f>AM209+AN209</f>
        <v>0</v>
      </c>
      <c r="AT209" s="36">
        <f>G209/(100-AU209)*100</f>
        <v>0</v>
      </c>
      <c r="AU209" s="36">
        <v>0</v>
      </c>
      <c r="AV209" s="36">
        <f>L209</f>
        <v>18.9375</v>
      </c>
    </row>
    <row r="210" spans="4:6" ht="12.75">
      <c r="D210" s="15" t="s">
        <v>348</v>
      </c>
      <c r="F210" s="20">
        <v>7.5</v>
      </c>
    </row>
    <row r="211" spans="1:48" ht="12.75">
      <c r="A211" s="4" t="s">
        <v>84</v>
      </c>
      <c r="B211" s="4"/>
      <c r="C211" s="4" t="s">
        <v>178</v>
      </c>
      <c r="D211" s="4" t="s">
        <v>349</v>
      </c>
      <c r="E211" s="4" t="s">
        <v>379</v>
      </c>
      <c r="F211" s="19">
        <v>420</v>
      </c>
      <c r="G211" s="19">
        <v>0</v>
      </c>
      <c r="H211" s="19">
        <f>F211*AE211</f>
        <v>0</v>
      </c>
      <c r="I211" s="19">
        <f>J211-H211</f>
        <v>0</v>
      </c>
      <c r="J211" s="19">
        <f>F211*G211</f>
        <v>0</v>
      </c>
      <c r="K211" s="19">
        <v>0</v>
      </c>
      <c r="L211" s="19">
        <f>F211*K211</f>
        <v>0</v>
      </c>
      <c r="M211" s="32" t="s">
        <v>405</v>
      </c>
      <c r="P211" s="36">
        <f>IF(AG211="5",J211,0)</f>
        <v>0</v>
      </c>
      <c r="R211" s="36">
        <f>IF(AG211="1",H211,0)</f>
        <v>0</v>
      </c>
      <c r="S211" s="36">
        <f>IF(AG211="1",I211,0)</f>
        <v>0</v>
      </c>
      <c r="T211" s="36">
        <f>IF(AG211="7",H211,0)</f>
        <v>0</v>
      </c>
      <c r="U211" s="36">
        <f>IF(AG211="7",I211,0)</f>
        <v>0</v>
      </c>
      <c r="V211" s="36">
        <f>IF(AG211="2",H211,0)</f>
        <v>0</v>
      </c>
      <c r="W211" s="36">
        <f>IF(AG211="2",I211,0)</f>
        <v>0</v>
      </c>
      <c r="X211" s="36">
        <f>IF(AG211="0",J211,0)</f>
        <v>0</v>
      </c>
      <c r="Y211" s="29"/>
      <c r="Z211" s="19">
        <f>IF(AD211=0,J211,0)</f>
        <v>0</v>
      </c>
      <c r="AA211" s="19">
        <f>IF(AD211=15,J211,0)</f>
        <v>0</v>
      </c>
      <c r="AB211" s="19">
        <f>IF(AD211=21,J211,0)</f>
        <v>0</v>
      </c>
      <c r="AD211" s="36">
        <v>21</v>
      </c>
      <c r="AE211" s="36">
        <f>G211*0</f>
        <v>0</v>
      </c>
      <c r="AF211" s="36">
        <f>G211*(1-0)</f>
        <v>0</v>
      </c>
      <c r="AG211" s="32" t="s">
        <v>8</v>
      </c>
      <c r="AM211" s="36">
        <f>F211*AE211</f>
        <v>0</v>
      </c>
      <c r="AN211" s="36">
        <f>F211*AF211</f>
        <v>0</v>
      </c>
      <c r="AO211" s="37" t="s">
        <v>432</v>
      </c>
      <c r="AP211" s="37" t="s">
        <v>437</v>
      </c>
      <c r="AQ211" s="29" t="s">
        <v>438</v>
      </c>
      <c r="AS211" s="36">
        <f>AM211+AN211</f>
        <v>0</v>
      </c>
      <c r="AT211" s="36">
        <f>G211/(100-AU211)*100</f>
        <v>0</v>
      </c>
      <c r="AU211" s="36">
        <v>0</v>
      </c>
      <c r="AV211" s="36">
        <f>L211</f>
        <v>0</v>
      </c>
    </row>
    <row r="212" spans="4:6" ht="12.75">
      <c r="D212" s="15" t="s">
        <v>350</v>
      </c>
      <c r="F212" s="20">
        <v>420</v>
      </c>
    </row>
    <row r="213" spans="1:48" ht="12.75">
      <c r="A213" s="4" t="s">
        <v>85</v>
      </c>
      <c r="B213" s="4"/>
      <c r="C213" s="4" t="s">
        <v>179</v>
      </c>
      <c r="D213" s="4" t="s">
        <v>351</v>
      </c>
      <c r="E213" s="4" t="s">
        <v>379</v>
      </c>
      <c r="F213" s="19">
        <v>420</v>
      </c>
      <c r="G213" s="19">
        <v>0</v>
      </c>
      <c r="H213" s="19">
        <f>F213*AE213</f>
        <v>0</v>
      </c>
      <c r="I213" s="19">
        <f>J213-H213</f>
        <v>0</v>
      </c>
      <c r="J213" s="19">
        <f>F213*G213</f>
        <v>0</v>
      </c>
      <c r="K213" s="19">
        <v>0.147</v>
      </c>
      <c r="L213" s="19">
        <f>F213*K213</f>
        <v>61.739999999999995</v>
      </c>
      <c r="M213" s="32" t="s">
        <v>405</v>
      </c>
      <c r="P213" s="36">
        <f>IF(AG213="5",J213,0)</f>
        <v>0</v>
      </c>
      <c r="R213" s="36">
        <f>IF(AG213="1",H213,0)</f>
        <v>0</v>
      </c>
      <c r="S213" s="36">
        <f>IF(AG213="1",I213,0)</f>
        <v>0</v>
      </c>
      <c r="T213" s="36">
        <f>IF(AG213="7",H213,0)</f>
        <v>0</v>
      </c>
      <c r="U213" s="36">
        <f>IF(AG213="7",I213,0)</f>
        <v>0</v>
      </c>
      <c r="V213" s="36">
        <f>IF(AG213="2",H213,0)</f>
        <v>0</v>
      </c>
      <c r="W213" s="36">
        <f>IF(AG213="2",I213,0)</f>
        <v>0</v>
      </c>
      <c r="X213" s="36">
        <f>IF(AG213="0",J213,0)</f>
        <v>0</v>
      </c>
      <c r="Y213" s="29"/>
      <c r="Z213" s="19">
        <f>IF(AD213=0,J213,0)</f>
        <v>0</v>
      </c>
      <c r="AA213" s="19">
        <f>IF(AD213=15,J213,0)</f>
        <v>0</v>
      </c>
      <c r="AB213" s="19">
        <f>IF(AD213=21,J213,0)</f>
        <v>0</v>
      </c>
      <c r="AD213" s="36">
        <v>21</v>
      </c>
      <c r="AE213" s="36">
        <f>G213*0.698467033784789</f>
        <v>0</v>
      </c>
      <c r="AF213" s="36">
        <f>G213*(1-0.698467033784789)</f>
        <v>0</v>
      </c>
      <c r="AG213" s="32" t="s">
        <v>8</v>
      </c>
      <c r="AM213" s="36">
        <f>F213*AE213</f>
        <v>0</v>
      </c>
      <c r="AN213" s="36">
        <f>F213*AF213</f>
        <v>0</v>
      </c>
      <c r="AO213" s="37" t="s">
        <v>432</v>
      </c>
      <c r="AP213" s="37" t="s">
        <v>437</v>
      </c>
      <c r="AQ213" s="29" t="s">
        <v>438</v>
      </c>
      <c r="AS213" s="36">
        <f>AM213+AN213</f>
        <v>0</v>
      </c>
      <c r="AT213" s="36">
        <f>G213/(100-AU213)*100</f>
        <v>0</v>
      </c>
      <c r="AU213" s="36">
        <v>0</v>
      </c>
      <c r="AV213" s="36">
        <f>L213</f>
        <v>61.739999999999995</v>
      </c>
    </row>
    <row r="214" spans="4:6" ht="12.75">
      <c r="D214" s="15" t="s">
        <v>352</v>
      </c>
      <c r="F214" s="20">
        <v>420</v>
      </c>
    </row>
    <row r="215" spans="1:48" ht="12.75">
      <c r="A215" s="4" t="s">
        <v>86</v>
      </c>
      <c r="B215" s="4"/>
      <c r="C215" s="4" t="s">
        <v>180</v>
      </c>
      <c r="D215" s="4" t="s">
        <v>353</v>
      </c>
      <c r="E215" s="4" t="s">
        <v>379</v>
      </c>
      <c r="F215" s="19">
        <v>420</v>
      </c>
      <c r="G215" s="19">
        <v>0</v>
      </c>
      <c r="H215" s="19">
        <f>F215*AE215</f>
        <v>0</v>
      </c>
      <c r="I215" s="19">
        <f>J215-H215</f>
        <v>0</v>
      </c>
      <c r="J215" s="19">
        <f>F215*G215</f>
        <v>0</v>
      </c>
      <c r="K215" s="19">
        <v>0</v>
      </c>
      <c r="L215" s="19">
        <f>F215*K215</f>
        <v>0</v>
      </c>
      <c r="M215" s="32" t="s">
        <v>405</v>
      </c>
      <c r="P215" s="36">
        <f>IF(AG215="5",J215,0)</f>
        <v>0</v>
      </c>
      <c r="R215" s="36">
        <f>IF(AG215="1",H215,0)</f>
        <v>0</v>
      </c>
      <c r="S215" s="36">
        <f>IF(AG215="1",I215,0)</f>
        <v>0</v>
      </c>
      <c r="T215" s="36">
        <f>IF(AG215="7",H215,0)</f>
        <v>0</v>
      </c>
      <c r="U215" s="36">
        <f>IF(AG215="7",I215,0)</f>
        <v>0</v>
      </c>
      <c r="V215" s="36">
        <f>IF(AG215="2",H215,0)</f>
        <v>0</v>
      </c>
      <c r="W215" s="36">
        <f>IF(AG215="2",I215,0)</f>
        <v>0</v>
      </c>
      <c r="X215" s="36">
        <f>IF(AG215="0",J215,0)</f>
        <v>0</v>
      </c>
      <c r="Y215" s="29"/>
      <c r="Z215" s="19">
        <f>IF(AD215=0,J215,0)</f>
        <v>0</v>
      </c>
      <c r="AA215" s="19">
        <f>IF(AD215=15,J215,0)</f>
        <v>0</v>
      </c>
      <c r="AB215" s="19">
        <f>IF(AD215=21,J215,0)</f>
        <v>0</v>
      </c>
      <c r="AD215" s="36">
        <v>21</v>
      </c>
      <c r="AE215" s="36">
        <f>G215*0</f>
        <v>0</v>
      </c>
      <c r="AF215" s="36">
        <f>G215*(1-0)</f>
        <v>0</v>
      </c>
      <c r="AG215" s="32" t="s">
        <v>8</v>
      </c>
      <c r="AM215" s="36">
        <f>F215*AE215</f>
        <v>0</v>
      </c>
      <c r="AN215" s="36">
        <f>F215*AF215</f>
        <v>0</v>
      </c>
      <c r="AO215" s="37" t="s">
        <v>432</v>
      </c>
      <c r="AP215" s="37" t="s">
        <v>437</v>
      </c>
      <c r="AQ215" s="29" t="s">
        <v>438</v>
      </c>
      <c r="AS215" s="36">
        <f>AM215+AN215</f>
        <v>0</v>
      </c>
      <c r="AT215" s="36">
        <f>G215/(100-AU215)*100</f>
        <v>0</v>
      </c>
      <c r="AU215" s="36">
        <v>0</v>
      </c>
      <c r="AV215" s="36">
        <f>L215</f>
        <v>0</v>
      </c>
    </row>
    <row r="216" spans="4:6" ht="12.75">
      <c r="D216" s="15" t="s">
        <v>350</v>
      </c>
      <c r="F216" s="20">
        <v>420</v>
      </c>
    </row>
    <row r="217" spans="1:48" ht="12.75">
      <c r="A217" s="4" t="s">
        <v>87</v>
      </c>
      <c r="B217" s="4"/>
      <c r="C217" s="4" t="s">
        <v>181</v>
      </c>
      <c r="D217" s="4" t="s">
        <v>354</v>
      </c>
      <c r="E217" s="4" t="s">
        <v>378</v>
      </c>
      <c r="F217" s="19">
        <v>210</v>
      </c>
      <c r="G217" s="19">
        <v>0</v>
      </c>
      <c r="H217" s="19">
        <f>F217*AE217</f>
        <v>0</v>
      </c>
      <c r="I217" s="19">
        <f>J217-H217</f>
        <v>0</v>
      </c>
      <c r="J217" s="19">
        <f>F217*G217</f>
        <v>0</v>
      </c>
      <c r="K217" s="19">
        <v>0</v>
      </c>
      <c r="L217" s="19">
        <f>F217*K217</f>
        <v>0</v>
      </c>
      <c r="M217" s="32" t="s">
        <v>405</v>
      </c>
      <c r="P217" s="36">
        <f>IF(AG217="5",J217,0)</f>
        <v>0</v>
      </c>
      <c r="R217" s="36">
        <f>IF(AG217="1",H217,0)</f>
        <v>0</v>
      </c>
      <c r="S217" s="36">
        <f>IF(AG217="1",I217,0)</f>
        <v>0</v>
      </c>
      <c r="T217" s="36">
        <f>IF(AG217="7",H217,0)</f>
        <v>0</v>
      </c>
      <c r="U217" s="36">
        <f>IF(AG217="7",I217,0)</f>
        <v>0</v>
      </c>
      <c r="V217" s="36">
        <f>IF(AG217="2",H217,0)</f>
        <v>0</v>
      </c>
      <c r="W217" s="36">
        <f>IF(AG217="2",I217,0)</f>
        <v>0</v>
      </c>
      <c r="X217" s="36">
        <f>IF(AG217="0",J217,0)</f>
        <v>0</v>
      </c>
      <c r="Y217" s="29"/>
      <c r="Z217" s="19">
        <f>IF(AD217=0,J217,0)</f>
        <v>0</v>
      </c>
      <c r="AA217" s="19">
        <f>IF(AD217=15,J217,0)</f>
        <v>0</v>
      </c>
      <c r="AB217" s="19">
        <f>IF(AD217=21,J217,0)</f>
        <v>0</v>
      </c>
      <c r="AD217" s="36">
        <v>21</v>
      </c>
      <c r="AE217" s="36">
        <f>G217*0</f>
        <v>0</v>
      </c>
      <c r="AF217" s="36">
        <f>G217*(1-0)</f>
        <v>0</v>
      </c>
      <c r="AG217" s="32" t="s">
        <v>8</v>
      </c>
      <c r="AM217" s="36">
        <f>F217*AE217</f>
        <v>0</v>
      </c>
      <c r="AN217" s="36">
        <f>F217*AF217</f>
        <v>0</v>
      </c>
      <c r="AO217" s="37" t="s">
        <v>432</v>
      </c>
      <c r="AP217" s="37" t="s">
        <v>437</v>
      </c>
      <c r="AQ217" s="29" t="s">
        <v>438</v>
      </c>
      <c r="AS217" s="36">
        <f>AM217+AN217</f>
        <v>0</v>
      </c>
      <c r="AT217" s="36">
        <f>G217/(100-AU217)*100</f>
        <v>0</v>
      </c>
      <c r="AU217" s="36">
        <v>0</v>
      </c>
      <c r="AV217" s="36">
        <f>L217</f>
        <v>0</v>
      </c>
    </row>
    <row r="218" spans="4:6" ht="12.75">
      <c r="D218" s="15" t="s">
        <v>355</v>
      </c>
      <c r="F218" s="20">
        <v>210</v>
      </c>
    </row>
    <row r="219" spans="1:48" ht="12.75">
      <c r="A219" s="4" t="s">
        <v>88</v>
      </c>
      <c r="B219" s="4"/>
      <c r="C219" s="4" t="s">
        <v>182</v>
      </c>
      <c r="D219" s="4" t="s">
        <v>356</v>
      </c>
      <c r="E219" s="4" t="s">
        <v>379</v>
      </c>
      <c r="F219" s="19">
        <v>420</v>
      </c>
      <c r="G219" s="19">
        <v>0</v>
      </c>
      <c r="H219" s="19">
        <f>F219*AE219</f>
        <v>0</v>
      </c>
      <c r="I219" s="19">
        <f>J219-H219</f>
        <v>0</v>
      </c>
      <c r="J219" s="19">
        <f>F219*G219</f>
        <v>0</v>
      </c>
      <c r="K219" s="19">
        <v>6E-05</v>
      </c>
      <c r="L219" s="19">
        <f>F219*K219</f>
        <v>0.0252</v>
      </c>
      <c r="M219" s="32" t="s">
        <v>405</v>
      </c>
      <c r="P219" s="36">
        <f>IF(AG219="5",J219,0)</f>
        <v>0</v>
      </c>
      <c r="R219" s="36">
        <f>IF(AG219="1",H219,0)</f>
        <v>0</v>
      </c>
      <c r="S219" s="36">
        <f>IF(AG219="1",I219,0)</f>
        <v>0</v>
      </c>
      <c r="T219" s="36">
        <f>IF(AG219="7",H219,0)</f>
        <v>0</v>
      </c>
      <c r="U219" s="36">
        <f>IF(AG219="7",I219,0)</f>
        <v>0</v>
      </c>
      <c r="V219" s="36">
        <f>IF(AG219="2",H219,0)</f>
        <v>0</v>
      </c>
      <c r="W219" s="36">
        <f>IF(AG219="2",I219,0)</f>
        <v>0</v>
      </c>
      <c r="X219" s="36">
        <f>IF(AG219="0",J219,0)</f>
        <v>0</v>
      </c>
      <c r="Y219" s="29"/>
      <c r="Z219" s="19">
        <f>IF(AD219=0,J219,0)</f>
        <v>0</v>
      </c>
      <c r="AA219" s="19">
        <f>IF(AD219=15,J219,0)</f>
        <v>0</v>
      </c>
      <c r="AB219" s="19">
        <f>IF(AD219=21,J219,0)</f>
        <v>0</v>
      </c>
      <c r="AD219" s="36">
        <v>21</v>
      </c>
      <c r="AE219" s="36">
        <f>G219*0.389922480620155</f>
        <v>0</v>
      </c>
      <c r="AF219" s="36">
        <f>G219*(1-0.389922480620155)</f>
        <v>0</v>
      </c>
      <c r="AG219" s="32" t="s">
        <v>8</v>
      </c>
      <c r="AM219" s="36">
        <f>F219*AE219</f>
        <v>0</v>
      </c>
      <c r="AN219" s="36">
        <f>F219*AF219</f>
        <v>0</v>
      </c>
      <c r="AO219" s="37" t="s">
        <v>432</v>
      </c>
      <c r="AP219" s="37" t="s">
        <v>437</v>
      </c>
      <c r="AQ219" s="29" t="s">
        <v>438</v>
      </c>
      <c r="AS219" s="36">
        <f>AM219+AN219</f>
        <v>0</v>
      </c>
      <c r="AT219" s="36">
        <f>G219/(100-AU219)*100</f>
        <v>0</v>
      </c>
      <c r="AU219" s="36">
        <v>0</v>
      </c>
      <c r="AV219" s="36">
        <f>L219</f>
        <v>0.0252</v>
      </c>
    </row>
    <row r="220" spans="4:6" ht="12.75">
      <c r="D220" s="15" t="s">
        <v>352</v>
      </c>
      <c r="F220" s="20">
        <v>420</v>
      </c>
    </row>
    <row r="221" spans="1:37" ht="12.75">
      <c r="A221" s="5"/>
      <c r="B221" s="13"/>
      <c r="C221" s="13" t="s">
        <v>183</v>
      </c>
      <c r="D221" s="13" t="s">
        <v>357</v>
      </c>
      <c r="E221" s="5" t="s">
        <v>6</v>
      </c>
      <c r="F221" s="5" t="s">
        <v>6</v>
      </c>
      <c r="G221" s="5" t="s">
        <v>6</v>
      </c>
      <c r="H221" s="39">
        <f>SUM(H222:H235)</f>
        <v>0</v>
      </c>
      <c r="I221" s="39">
        <f>SUM(I222:I235)</f>
        <v>0</v>
      </c>
      <c r="J221" s="39">
        <f>H221+I221</f>
        <v>0</v>
      </c>
      <c r="K221" s="29"/>
      <c r="L221" s="39">
        <f>SUM(L222:L235)</f>
        <v>0</v>
      </c>
      <c r="M221" s="29"/>
      <c r="Y221" s="29"/>
      <c r="AI221" s="39">
        <f>SUM(Z222:Z235)</f>
        <v>0</v>
      </c>
      <c r="AJ221" s="39">
        <f>SUM(AA222:AA235)</f>
        <v>0</v>
      </c>
      <c r="AK221" s="39">
        <f>SUM(AB222:AB235)</f>
        <v>0</v>
      </c>
    </row>
    <row r="222" spans="1:48" ht="12.75">
      <c r="A222" s="4" t="s">
        <v>89</v>
      </c>
      <c r="B222" s="4"/>
      <c r="C222" s="4" t="s">
        <v>184</v>
      </c>
      <c r="D222" s="4" t="s">
        <v>358</v>
      </c>
      <c r="E222" s="4" t="s">
        <v>384</v>
      </c>
      <c r="F222" s="19">
        <v>408.976</v>
      </c>
      <c r="G222" s="19">
        <v>0</v>
      </c>
      <c r="H222" s="19">
        <f>F222*AE222</f>
        <v>0</v>
      </c>
      <c r="I222" s="19">
        <f>J222-H222</f>
        <v>0</v>
      </c>
      <c r="J222" s="19">
        <f>F222*G222</f>
        <v>0</v>
      </c>
      <c r="K222" s="19">
        <v>0</v>
      </c>
      <c r="L222" s="19">
        <f>F222*K222</f>
        <v>0</v>
      </c>
      <c r="M222" s="32" t="s">
        <v>405</v>
      </c>
      <c r="P222" s="36">
        <f>IF(AG222="5",J222,0)</f>
        <v>0</v>
      </c>
      <c r="R222" s="36">
        <f>IF(AG222="1",H222,0)</f>
        <v>0</v>
      </c>
      <c r="S222" s="36">
        <f>IF(AG222="1",I222,0)</f>
        <v>0</v>
      </c>
      <c r="T222" s="36">
        <f>IF(AG222="7",H222,0)</f>
        <v>0</v>
      </c>
      <c r="U222" s="36">
        <f>IF(AG222="7",I222,0)</f>
        <v>0</v>
      </c>
      <c r="V222" s="36">
        <f>IF(AG222="2",H222,0)</f>
        <v>0</v>
      </c>
      <c r="W222" s="36">
        <f>IF(AG222="2",I222,0)</f>
        <v>0</v>
      </c>
      <c r="X222" s="36">
        <f>IF(AG222="0",J222,0)</f>
        <v>0</v>
      </c>
      <c r="Y222" s="29"/>
      <c r="Z222" s="19">
        <f>IF(AD222=0,J222,0)</f>
        <v>0</v>
      </c>
      <c r="AA222" s="19">
        <f>IF(AD222=15,J222,0)</f>
        <v>0</v>
      </c>
      <c r="AB222" s="19">
        <f>IF(AD222=21,J222,0)</f>
        <v>0</v>
      </c>
      <c r="AD222" s="36">
        <v>21</v>
      </c>
      <c r="AE222" s="36">
        <f>G222*0.00909118940427532</f>
        <v>0</v>
      </c>
      <c r="AF222" s="36">
        <f>G222*(1-0.00909118940427532)</f>
        <v>0</v>
      </c>
      <c r="AG222" s="32" t="s">
        <v>11</v>
      </c>
      <c r="AM222" s="36">
        <f>F222*AE222</f>
        <v>0</v>
      </c>
      <c r="AN222" s="36">
        <f>F222*AF222</f>
        <v>0</v>
      </c>
      <c r="AO222" s="37" t="s">
        <v>433</v>
      </c>
      <c r="AP222" s="37" t="s">
        <v>437</v>
      </c>
      <c r="AQ222" s="29" t="s">
        <v>438</v>
      </c>
      <c r="AS222" s="36">
        <f>AM222+AN222</f>
        <v>0</v>
      </c>
      <c r="AT222" s="36">
        <f>G222/(100-AU222)*100</f>
        <v>0</v>
      </c>
      <c r="AU222" s="36">
        <v>0</v>
      </c>
      <c r="AV222" s="36">
        <f>L222</f>
        <v>0</v>
      </c>
    </row>
    <row r="223" spans="4:6" ht="12.75">
      <c r="D223" s="15" t="s">
        <v>359</v>
      </c>
      <c r="F223" s="20">
        <v>166.265</v>
      </c>
    </row>
    <row r="224" spans="4:6" ht="12.75">
      <c r="D224" s="15" t="s">
        <v>360</v>
      </c>
      <c r="F224" s="20">
        <v>8.465</v>
      </c>
    </row>
    <row r="225" spans="4:6" ht="12.75">
      <c r="D225" s="15" t="s">
        <v>361</v>
      </c>
      <c r="F225" s="20">
        <v>17.161</v>
      </c>
    </row>
    <row r="226" spans="4:6" ht="12.75">
      <c r="D226" s="15" t="s">
        <v>362</v>
      </c>
      <c r="F226" s="20">
        <v>15.12</v>
      </c>
    </row>
    <row r="227" spans="4:6" ht="12.75">
      <c r="D227" s="15" t="s">
        <v>363</v>
      </c>
      <c r="F227" s="20">
        <v>173.34</v>
      </c>
    </row>
    <row r="228" spans="4:6" ht="12.75">
      <c r="D228" s="15" t="s">
        <v>364</v>
      </c>
      <c r="F228" s="20">
        <v>28.625</v>
      </c>
    </row>
    <row r="229" spans="1:48" ht="12.75">
      <c r="A229" s="4" t="s">
        <v>90</v>
      </c>
      <c r="B229" s="4"/>
      <c r="C229" s="4" t="s">
        <v>185</v>
      </c>
      <c r="D229" s="4" t="s">
        <v>365</v>
      </c>
      <c r="E229" s="4" t="s">
        <v>384</v>
      </c>
      <c r="F229" s="19">
        <v>15541.088</v>
      </c>
      <c r="G229" s="19">
        <v>0</v>
      </c>
      <c r="H229" s="19">
        <f>F229*AE229</f>
        <v>0</v>
      </c>
      <c r="I229" s="19">
        <f>J229-H229</f>
        <v>0</v>
      </c>
      <c r="J229" s="19">
        <f>F229*G229</f>
        <v>0</v>
      </c>
      <c r="K229" s="19">
        <v>0</v>
      </c>
      <c r="L229" s="19">
        <f>F229*K229</f>
        <v>0</v>
      </c>
      <c r="M229" s="32" t="s">
        <v>405</v>
      </c>
      <c r="P229" s="36">
        <f>IF(AG229="5",J229,0)</f>
        <v>0</v>
      </c>
      <c r="R229" s="36">
        <f>IF(AG229="1",H229,0)</f>
        <v>0</v>
      </c>
      <c r="S229" s="36">
        <f>IF(AG229="1",I229,0)</f>
        <v>0</v>
      </c>
      <c r="T229" s="36">
        <f>IF(AG229="7",H229,0)</f>
        <v>0</v>
      </c>
      <c r="U229" s="36">
        <f>IF(AG229="7",I229,0)</f>
        <v>0</v>
      </c>
      <c r="V229" s="36">
        <f>IF(AG229="2",H229,0)</f>
        <v>0</v>
      </c>
      <c r="W229" s="36">
        <f>IF(AG229="2",I229,0)</f>
        <v>0</v>
      </c>
      <c r="X229" s="36">
        <f>IF(AG229="0",J229,0)</f>
        <v>0</v>
      </c>
      <c r="Y229" s="29"/>
      <c r="Z229" s="19">
        <f>IF(AD229=0,J229,0)</f>
        <v>0</v>
      </c>
      <c r="AA229" s="19">
        <f>IF(AD229=15,J229,0)</f>
        <v>0</v>
      </c>
      <c r="AB229" s="19">
        <f>IF(AD229=21,J229,0)</f>
        <v>0</v>
      </c>
      <c r="AD229" s="36">
        <v>21</v>
      </c>
      <c r="AE229" s="36">
        <f>G229*0</f>
        <v>0</v>
      </c>
      <c r="AF229" s="36">
        <f>G229*(1-0)</f>
        <v>0</v>
      </c>
      <c r="AG229" s="32" t="s">
        <v>11</v>
      </c>
      <c r="AM229" s="36">
        <f>F229*AE229</f>
        <v>0</v>
      </c>
      <c r="AN229" s="36">
        <f>F229*AF229</f>
        <v>0</v>
      </c>
      <c r="AO229" s="37" t="s">
        <v>433</v>
      </c>
      <c r="AP229" s="37" t="s">
        <v>437</v>
      </c>
      <c r="AQ229" s="29" t="s">
        <v>438</v>
      </c>
      <c r="AS229" s="36">
        <f>AM229+AN229</f>
        <v>0</v>
      </c>
      <c r="AT229" s="36">
        <f>G229/(100-AU229)*100</f>
        <v>0</v>
      </c>
      <c r="AU229" s="36">
        <v>0</v>
      </c>
      <c r="AV229" s="36">
        <f>L229</f>
        <v>0</v>
      </c>
    </row>
    <row r="230" spans="4:6" ht="12.75">
      <c r="D230" s="15" t="s">
        <v>366</v>
      </c>
      <c r="F230" s="20">
        <v>15541.088</v>
      </c>
    </row>
    <row r="231" spans="1:48" ht="12.75">
      <c r="A231" s="4" t="s">
        <v>91</v>
      </c>
      <c r="B231" s="4"/>
      <c r="C231" s="4" t="s">
        <v>186</v>
      </c>
      <c r="D231" s="4" t="s">
        <v>367</v>
      </c>
      <c r="E231" s="4" t="s">
        <v>384</v>
      </c>
      <c r="F231" s="19">
        <v>408.976</v>
      </c>
      <c r="G231" s="19">
        <v>0</v>
      </c>
      <c r="H231" s="19">
        <f>F231*AE231</f>
        <v>0</v>
      </c>
      <c r="I231" s="19">
        <f>J231-H231</f>
        <v>0</v>
      </c>
      <c r="J231" s="19">
        <f>F231*G231</f>
        <v>0</v>
      </c>
      <c r="K231" s="19">
        <v>0</v>
      </c>
      <c r="L231" s="19">
        <f>F231*K231</f>
        <v>0</v>
      </c>
      <c r="M231" s="32" t="s">
        <v>405</v>
      </c>
      <c r="P231" s="36">
        <f>IF(AG231="5",J231,0)</f>
        <v>0</v>
      </c>
      <c r="R231" s="36">
        <f>IF(AG231="1",H231,0)</f>
        <v>0</v>
      </c>
      <c r="S231" s="36">
        <f>IF(AG231="1",I231,0)</f>
        <v>0</v>
      </c>
      <c r="T231" s="36">
        <f>IF(AG231="7",H231,0)</f>
        <v>0</v>
      </c>
      <c r="U231" s="36">
        <f>IF(AG231="7",I231,0)</f>
        <v>0</v>
      </c>
      <c r="V231" s="36">
        <f>IF(AG231="2",H231,0)</f>
        <v>0</v>
      </c>
      <c r="W231" s="36">
        <f>IF(AG231="2",I231,0)</f>
        <v>0</v>
      </c>
      <c r="X231" s="36">
        <f>IF(AG231="0",J231,0)</f>
        <v>0</v>
      </c>
      <c r="Y231" s="29"/>
      <c r="Z231" s="19">
        <f>IF(AD231=0,J231,0)</f>
        <v>0</v>
      </c>
      <c r="AA231" s="19">
        <f>IF(AD231=15,J231,0)</f>
        <v>0</v>
      </c>
      <c r="AB231" s="19">
        <f>IF(AD231=21,J231,0)</f>
        <v>0</v>
      </c>
      <c r="AD231" s="36">
        <v>21</v>
      </c>
      <c r="AE231" s="36">
        <f>G231*0</f>
        <v>0</v>
      </c>
      <c r="AF231" s="36">
        <f>G231*(1-0)</f>
        <v>0</v>
      </c>
      <c r="AG231" s="32" t="s">
        <v>11</v>
      </c>
      <c r="AM231" s="36">
        <f>F231*AE231</f>
        <v>0</v>
      </c>
      <c r="AN231" s="36">
        <f>F231*AF231</f>
        <v>0</v>
      </c>
      <c r="AO231" s="37" t="s">
        <v>433</v>
      </c>
      <c r="AP231" s="37" t="s">
        <v>437</v>
      </c>
      <c r="AQ231" s="29" t="s">
        <v>438</v>
      </c>
      <c r="AS231" s="36">
        <f>AM231+AN231</f>
        <v>0</v>
      </c>
      <c r="AT231" s="36">
        <f>G231/(100-AU231)*100</f>
        <v>0</v>
      </c>
      <c r="AU231" s="36">
        <v>0</v>
      </c>
      <c r="AV231" s="36">
        <f>L231</f>
        <v>0</v>
      </c>
    </row>
    <row r="232" spans="4:6" ht="12.75">
      <c r="D232" s="15" t="s">
        <v>368</v>
      </c>
      <c r="F232" s="20">
        <v>408.976</v>
      </c>
    </row>
    <row r="233" spans="1:48" ht="12.75">
      <c r="A233" s="4" t="s">
        <v>92</v>
      </c>
      <c r="B233" s="4"/>
      <c r="C233" s="4" t="s">
        <v>187</v>
      </c>
      <c r="D233" s="4" t="s">
        <v>369</v>
      </c>
      <c r="E233" s="4" t="s">
        <v>384</v>
      </c>
      <c r="F233" s="19">
        <v>234.246</v>
      </c>
      <c r="G233" s="19">
        <v>0</v>
      </c>
      <c r="H233" s="19">
        <f>F233*AE233</f>
        <v>0</v>
      </c>
      <c r="I233" s="19">
        <f>J233-H233</f>
        <v>0</v>
      </c>
      <c r="J233" s="19">
        <f>F233*G233</f>
        <v>0</v>
      </c>
      <c r="K233" s="19">
        <v>0</v>
      </c>
      <c r="L233" s="19">
        <f>F233*K233</f>
        <v>0</v>
      </c>
      <c r="M233" s="32" t="s">
        <v>405</v>
      </c>
      <c r="P233" s="36">
        <f>IF(AG233="5",J233,0)</f>
        <v>0</v>
      </c>
      <c r="R233" s="36">
        <f>IF(AG233="1",H233,0)</f>
        <v>0</v>
      </c>
      <c r="S233" s="36">
        <f>IF(AG233="1",I233,0)</f>
        <v>0</v>
      </c>
      <c r="T233" s="36">
        <f>IF(AG233="7",H233,0)</f>
        <v>0</v>
      </c>
      <c r="U233" s="36">
        <f>IF(AG233="7",I233,0)</f>
        <v>0</v>
      </c>
      <c r="V233" s="36">
        <f>IF(AG233="2",H233,0)</f>
        <v>0</v>
      </c>
      <c r="W233" s="36">
        <f>IF(AG233="2",I233,0)</f>
        <v>0</v>
      </c>
      <c r="X233" s="36">
        <f>IF(AG233="0",J233,0)</f>
        <v>0</v>
      </c>
      <c r="Y233" s="29"/>
      <c r="Z233" s="19">
        <f>IF(AD233=0,J233,0)</f>
        <v>0</v>
      </c>
      <c r="AA233" s="19">
        <f>IF(AD233=15,J233,0)</f>
        <v>0</v>
      </c>
      <c r="AB233" s="19">
        <f>IF(AD233=21,J233,0)</f>
        <v>0</v>
      </c>
      <c r="AD233" s="36">
        <v>21</v>
      </c>
      <c r="AE233" s="36">
        <f>G233*0</f>
        <v>0</v>
      </c>
      <c r="AF233" s="36">
        <f>G233*(1-0)</f>
        <v>0</v>
      </c>
      <c r="AG233" s="32" t="s">
        <v>11</v>
      </c>
      <c r="AM233" s="36">
        <f>F233*AE233</f>
        <v>0</v>
      </c>
      <c r="AN233" s="36">
        <f>F233*AF233</f>
        <v>0</v>
      </c>
      <c r="AO233" s="37" t="s">
        <v>433</v>
      </c>
      <c r="AP233" s="37" t="s">
        <v>437</v>
      </c>
      <c r="AQ233" s="29" t="s">
        <v>438</v>
      </c>
      <c r="AS233" s="36">
        <f>AM233+AN233</f>
        <v>0</v>
      </c>
      <c r="AT233" s="36">
        <f>G233/(100-AU233)*100</f>
        <v>0</v>
      </c>
      <c r="AU233" s="36">
        <v>0</v>
      </c>
      <c r="AV233" s="36">
        <f>L233</f>
        <v>0</v>
      </c>
    </row>
    <row r="234" spans="4:6" ht="12.75">
      <c r="D234" s="15" t="s">
        <v>370</v>
      </c>
      <c r="F234" s="20">
        <v>234.246</v>
      </c>
    </row>
    <row r="235" spans="1:48" ht="12.75">
      <c r="A235" s="4" t="s">
        <v>93</v>
      </c>
      <c r="B235" s="4"/>
      <c r="C235" s="4" t="s">
        <v>188</v>
      </c>
      <c r="D235" s="4" t="s">
        <v>371</v>
      </c>
      <c r="E235" s="4" t="s">
        <v>384</v>
      </c>
      <c r="F235" s="19">
        <v>174.73</v>
      </c>
      <c r="G235" s="19">
        <v>0</v>
      </c>
      <c r="H235" s="19">
        <f>F235*AE235</f>
        <v>0</v>
      </c>
      <c r="I235" s="19">
        <f>J235-H235</f>
        <v>0</v>
      </c>
      <c r="J235" s="19">
        <f>F235*G235</f>
        <v>0</v>
      </c>
      <c r="K235" s="19">
        <v>0</v>
      </c>
      <c r="L235" s="19">
        <f>F235*K235</f>
        <v>0</v>
      </c>
      <c r="M235" s="32" t="s">
        <v>405</v>
      </c>
      <c r="P235" s="36">
        <f>IF(AG235="5",J235,0)</f>
        <v>0</v>
      </c>
      <c r="R235" s="36">
        <f>IF(AG235="1",H235,0)</f>
        <v>0</v>
      </c>
      <c r="S235" s="36">
        <f>IF(AG235="1",I235,0)</f>
        <v>0</v>
      </c>
      <c r="T235" s="36">
        <f>IF(AG235="7",H235,0)</f>
        <v>0</v>
      </c>
      <c r="U235" s="36">
        <f>IF(AG235="7",I235,0)</f>
        <v>0</v>
      </c>
      <c r="V235" s="36">
        <f>IF(AG235="2",H235,0)</f>
        <v>0</v>
      </c>
      <c r="W235" s="36">
        <f>IF(AG235="2",I235,0)</f>
        <v>0</v>
      </c>
      <c r="X235" s="36">
        <f>IF(AG235="0",J235,0)</f>
        <v>0</v>
      </c>
      <c r="Y235" s="29"/>
      <c r="Z235" s="19">
        <f>IF(AD235=0,J235,0)</f>
        <v>0</v>
      </c>
      <c r="AA235" s="19">
        <f>IF(AD235=15,J235,0)</f>
        <v>0</v>
      </c>
      <c r="AB235" s="19">
        <f>IF(AD235=21,J235,0)</f>
        <v>0</v>
      </c>
      <c r="AD235" s="36">
        <v>21</v>
      </c>
      <c r="AE235" s="36">
        <f>G235*0</f>
        <v>0</v>
      </c>
      <c r="AF235" s="36">
        <f>G235*(1-0)</f>
        <v>0</v>
      </c>
      <c r="AG235" s="32" t="s">
        <v>11</v>
      </c>
      <c r="AM235" s="36">
        <f>F235*AE235</f>
        <v>0</v>
      </c>
      <c r="AN235" s="36">
        <f>F235*AF235</f>
        <v>0</v>
      </c>
      <c r="AO235" s="37" t="s">
        <v>433</v>
      </c>
      <c r="AP235" s="37" t="s">
        <v>437</v>
      </c>
      <c r="AQ235" s="29" t="s">
        <v>438</v>
      </c>
      <c r="AS235" s="36">
        <f>AM235+AN235</f>
        <v>0</v>
      </c>
      <c r="AT235" s="36">
        <f>G235/(100-AU235)*100</f>
        <v>0</v>
      </c>
      <c r="AU235" s="36">
        <v>0</v>
      </c>
      <c r="AV235" s="36">
        <f>L235</f>
        <v>0</v>
      </c>
    </row>
    <row r="236" spans="1:13" ht="12.75">
      <c r="A236" s="7"/>
      <c r="B236" s="7"/>
      <c r="C236" s="7"/>
      <c r="D236" s="16" t="s">
        <v>372</v>
      </c>
      <c r="E236" s="7"/>
      <c r="F236" s="22">
        <v>174.73</v>
      </c>
      <c r="G236" s="7"/>
      <c r="H236" s="7"/>
      <c r="I236" s="7"/>
      <c r="J236" s="7"/>
      <c r="K236" s="7"/>
      <c r="L236" s="7"/>
      <c r="M236" s="7"/>
    </row>
    <row r="237" spans="1:13" ht="12.75">
      <c r="A237" s="8"/>
      <c r="B237" s="8"/>
      <c r="C237" s="8"/>
      <c r="D237" s="8"/>
      <c r="E237" s="8"/>
      <c r="F237" s="8"/>
      <c r="G237" s="8"/>
      <c r="H237" s="70" t="s">
        <v>391</v>
      </c>
      <c r="I237" s="71"/>
      <c r="J237" s="40">
        <f>J12+J35+J45+J52+J61+J64+J67+J70+J98+J103+J118+J122+J135+J170+J177+J182+J203+J206+J221</f>
        <v>0</v>
      </c>
      <c r="K237" s="8"/>
      <c r="L237" s="8"/>
      <c r="M237" s="8"/>
    </row>
    <row r="238" ht="11.25" customHeight="1">
      <c r="A238" s="9" t="s">
        <v>94</v>
      </c>
    </row>
    <row r="239" spans="1:13" ht="12.7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</sheetData>
  <sheetProtection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237:I237"/>
    <mergeCell ref="A239:M239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1" t="s">
        <v>439</v>
      </c>
      <c r="B1" s="82"/>
      <c r="C1" s="82"/>
      <c r="D1" s="82"/>
      <c r="E1" s="82"/>
      <c r="F1" s="82"/>
      <c r="G1" s="82"/>
    </row>
    <row r="2" spans="1:8" ht="12.75">
      <c r="A2" s="83" t="s">
        <v>1</v>
      </c>
      <c r="B2" s="85" t="str">
        <f>'Stavební rozpočet'!D2</f>
        <v>REVITALIZACE VEŘ.PROSTRANSTVÍ -LOK.Č.2</v>
      </c>
      <c r="C2" s="71"/>
      <c r="D2" s="88" t="s">
        <v>392</v>
      </c>
      <c r="E2" s="88" t="str">
        <f>'Stavební rozpočet'!J2</f>
        <v>MĚSTO VARNSDORF</v>
      </c>
      <c r="F2" s="84"/>
      <c r="G2" s="89"/>
      <c r="H2" s="34"/>
    </row>
    <row r="3" spans="1:8" ht="12.75">
      <c r="A3" s="80"/>
      <c r="B3" s="86"/>
      <c r="C3" s="86"/>
      <c r="D3" s="73"/>
      <c r="E3" s="73"/>
      <c r="F3" s="73"/>
      <c r="G3" s="78"/>
      <c r="H3" s="34"/>
    </row>
    <row r="4" spans="1:8" ht="12.75">
      <c r="A4" s="74" t="s">
        <v>2</v>
      </c>
      <c r="B4" s="72" t="str">
        <f>'Stavební rozpočet'!D4</f>
        <v>VII.REKONSTRUKCE MK+PŘILEHLÉ STÁNÍ A CHODNÍKY</v>
      </c>
      <c r="C4" s="73"/>
      <c r="D4" s="72" t="s">
        <v>393</v>
      </c>
      <c r="E4" s="72" t="str">
        <f>'Stavební rozpočet'!J4</f>
        <v>ING.COBL JIŘÍ</v>
      </c>
      <c r="F4" s="73"/>
      <c r="G4" s="78"/>
      <c r="H4" s="34"/>
    </row>
    <row r="5" spans="1:8" ht="12.75">
      <c r="A5" s="80"/>
      <c r="B5" s="73"/>
      <c r="C5" s="73"/>
      <c r="D5" s="73"/>
      <c r="E5" s="73"/>
      <c r="F5" s="73"/>
      <c r="G5" s="78"/>
      <c r="H5" s="34"/>
    </row>
    <row r="6" spans="1:8" ht="12.75">
      <c r="A6" s="74" t="s">
        <v>3</v>
      </c>
      <c r="B6" s="72" t="str">
        <f>'Stavební rozpočet'!D6</f>
        <v>SO 101-DOPRAVNÍ ŘEŠENÍ-ČÁST-1</v>
      </c>
      <c r="C6" s="73"/>
      <c r="D6" s="72" t="s">
        <v>394</v>
      </c>
      <c r="E6" s="72" t="str">
        <f>'Stavební rozpočet'!J6</f>
        <v>BUDE VYBRÁN</v>
      </c>
      <c r="F6" s="73"/>
      <c r="G6" s="78"/>
      <c r="H6" s="34"/>
    </row>
    <row r="7" spans="1:8" ht="12.75">
      <c r="A7" s="80"/>
      <c r="B7" s="73"/>
      <c r="C7" s="73"/>
      <c r="D7" s="73"/>
      <c r="E7" s="73"/>
      <c r="F7" s="73"/>
      <c r="G7" s="78"/>
      <c r="H7" s="34"/>
    </row>
    <row r="8" spans="1:8" ht="12.75">
      <c r="A8" s="74" t="s">
        <v>395</v>
      </c>
      <c r="B8" s="72" t="str">
        <f>'Stavební rozpočet'!J8</f>
        <v>IIČVDF</v>
      </c>
      <c r="C8" s="73"/>
      <c r="D8" s="77" t="s">
        <v>376</v>
      </c>
      <c r="E8" s="72" t="str">
        <f>'Stavební rozpočet'!G8</f>
        <v>26.04.2018</v>
      </c>
      <c r="F8" s="73"/>
      <c r="G8" s="78"/>
      <c r="H8" s="34"/>
    </row>
    <row r="9" spans="1:8" ht="12.75">
      <c r="A9" s="75"/>
      <c r="B9" s="76"/>
      <c r="C9" s="76"/>
      <c r="D9" s="76"/>
      <c r="E9" s="76"/>
      <c r="F9" s="76"/>
      <c r="G9" s="79"/>
      <c r="H9" s="34"/>
    </row>
    <row r="10" spans="1:8" ht="12.75">
      <c r="A10" s="41" t="s">
        <v>95</v>
      </c>
      <c r="B10" s="43" t="s">
        <v>96</v>
      </c>
      <c r="C10" s="44" t="s">
        <v>192</v>
      </c>
      <c r="D10" s="45" t="s">
        <v>440</v>
      </c>
      <c r="E10" s="45" t="s">
        <v>441</v>
      </c>
      <c r="F10" s="45" t="s">
        <v>442</v>
      </c>
      <c r="G10" s="47" t="s">
        <v>443</v>
      </c>
      <c r="H10" s="35"/>
    </row>
    <row r="11" spans="1:9" ht="12.75">
      <c r="A11" s="42"/>
      <c r="B11" s="42" t="s">
        <v>17</v>
      </c>
      <c r="C11" s="42" t="s">
        <v>194</v>
      </c>
      <c r="D11" s="48">
        <f>'Stavební rozpočet'!H12</f>
        <v>0</v>
      </c>
      <c r="E11" s="48">
        <f>'Stavební rozpočet'!I12</f>
        <v>0</v>
      </c>
      <c r="F11" s="48">
        <f aca="true" t="shared" si="0" ref="F11:F29">D11+E11</f>
        <v>0</v>
      </c>
      <c r="G11" s="48">
        <f>'Stavební rozpočet'!L12</f>
        <v>1299.16016</v>
      </c>
      <c r="H11" s="36" t="s">
        <v>444</v>
      </c>
      <c r="I11" s="36">
        <f aca="true" t="shared" si="1" ref="I11:I29">IF(H11="F",0,F11)</f>
        <v>0</v>
      </c>
    </row>
    <row r="12" spans="1:9" ht="12.75">
      <c r="A12" s="17"/>
      <c r="B12" s="17" t="s">
        <v>18</v>
      </c>
      <c r="C12" s="17" t="s">
        <v>213</v>
      </c>
      <c r="D12" s="36">
        <f>'Stavební rozpočet'!H35</f>
        <v>0</v>
      </c>
      <c r="E12" s="36">
        <f>'Stavební rozpočet'!I35</f>
        <v>0</v>
      </c>
      <c r="F12" s="36">
        <f t="shared" si="0"/>
        <v>0</v>
      </c>
      <c r="G12" s="36">
        <f>'Stavební rozpočet'!L35</f>
        <v>0</v>
      </c>
      <c r="H12" s="36" t="s">
        <v>444</v>
      </c>
      <c r="I12" s="36">
        <f t="shared" si="1"/>
        <v>0</v>
      </c>
    </row>
    <row r="13" spans="1:9" ht="12.75">
      <c r="A13" s="17"/>
      <c r="B13" s="17" t="s">
        <v>19</v>
      </c>
      <c r="C13" s="17" t="s">
        <v>223</v>
      </c>
      <c r="D13" s="36">
        <f>'Stavební rozpočet'!H45</f>
        <v>0</v>
      </c>
      <c r="E13" s="36">
        <f>'Stavební rozpočet'!I45</f>
        <v>0</v>
      </c>
      <c r="F13" s="36">
        <f t="shared" si="0"/>
        <v>0</v>
      </c>
      <c r="G13" s="36">
        <f>'Stavební rozpočet'!L45</f>
        <v>0</v>
      </c>
      <c r="H13" s="36" t="s">
        <v>444</v>
      </c>
      <c r="I13" s="36">
        <f t="shared" si="1"/>
        <v>0</v>
      </c>
    </row>
    <row r="14" spans="1:9" ht="12.75">
      <c r="A14" s="17"/>
      <c r="B14" s="17" t="s">
        <v>22</v>
      </c>
      <c r="C14" s="17" t="s">
        <v>229</v>
      </c>
      <c r="D14" s="36">
        <f>'Stavební rozpočet'!H52</f>
        <v>0</v>
      </c>
      <c r="E14" s="36">
        <f>'Stavební rozpočet'!I52</f>
        <v>0</v>
      </c>
      <c r="F14" s="36">
        <f t="shared" si="0"/>
        <v>0</v>
      </c>
      <c r="G14" s="36">
        <f>'Stavební rozpočet'!L52</f>
        <v>0</v>
      </c>
      <c r="H14" s="36" t="s">
        <v>444</v>
      </c>
      <c r="I14" s="36">
        <f t="shared" si="1"/>
        <v>0</v>
      </c>
    </row>
    <row r="15" spans="1:9" ht="12.75">
      <c r="A15" s="17"/>
      <c r="B15" s="17" t="s">
        <v>23</v>
      </c>
      <c r="C15" s="17" t="s">
        <v>238</v>
      </c>
      <c r="D15" s="36">
        <f>'Stavební rozpočet'!H61</f>
        <v>0</v>
      </c>
      <c r="E15" s="36">
        <f>'Stavební rozpočet'!I61</f>
        <v>0</v>
      </c>
      <c r="F15" s="36">
        <f t="shared" si="0"/>
        <v>0</v>
      </c>
      <c r="G15" s="36">
        <f>'Stavební rozpočet'!L61</f>
        <v>0</v>
      </c>
      <c r="H15" s="36" t="s">
        <v>444</v>
      </c>
      <c r="I15" s="36">
        <f t="shared" si="1"/>
        <v>0</v>
      </c>
    </row>
    <row r="16" spans="1:9" ht="12.75">
      <c r="A16" s="17"/>
      <c r="B16" s="17" t="s">
        <v>24</v>
      </c>
      <c r="C16" s="17" t="s">
        <v>240</v>
      </c>
      <c r="D16" s="36">
        <f>'Stavební rozpočet'!H64</f>
        <v>0</v>
      </c>
      <c r="E16" s="36">
        <f>'Stavební rozpočet'!I64</f>
        <v>0</v>
      </c>
      <c r="F16" s="36">
        <f t="shared" si="0"/>
        <v>0</v>
      </c>
      <c r="G16" s="36">
        <f>'Stavební rozpočet'!L64</f>
        <v>0</v>
      </c>
      <c r="H16" s="36" t="s">
        <v>444</v>
      </c>
      <c r="I16" s="36">
        <f t="shared" si="1"/>
        <v>0</v>
      </c>
    </row>
    <row r="17" spans="1:9" ht="12.75">
      <c r="A17" s="17"/>
      <c r="B17" s="17" t="s">
        <v>25</v>
      </c>
      <c r="C17" s="17" t="s">
        <v>242</v>
      </c>
      <c r="D17" s="36">
        <f>'Stavební rozpočet'!H67</f>
        <v>0</v>
      </c>
      <c r="E17" s="36">
        <f>'Stavební rozpočet'!I67</f>
        <v>0</v>
      </c>
      <c r="F17" s="36">
        <f t="shared" si="0"/>
        <v>0</v>
      </c>
      <c r="G17" s="36">
        <f>'Stavební rozpočet'!L67</f>
        <v>0</v>
      </c>
      <c r="H17" s="36" t="s">
        <v>444</v>
      </c>
      <c r="I17" s="36">
        <f t="shared" si="1"/>
        <v>0</v>
      </c>
    </row>
    <row r="18" spans="1:9" ht="12.75">
      <c r="A18" s="17"/>
      <c r="B18" s="17" t="s">
        <v>62</v>
      </c>
      <c r="C18" s="17" t="s">
        <v>244</v>
      </c>
      <c r="D18" s="36">
        <f>'Stavební rozpočet'!H70</f>
        <v>0</v>
      </c>
      <c r="E18" s="36">
        <f>'Stavební rozpočet'!I70</f>
        <v>0</v>
      </c>
      <c r="F18" s="36">
        <f t="shared" si="0"/>
        <v>0</v>
      </c>
      <c r="G18" s="36">
        <f>'Stavební rozpočet'!L70</f>
        <v>2280.2847650000003</v>
      </c>
      <c r="H18" s="36" t="s">
        <v>444</v>
      </c>
      <c r="I18" s="36">
        <f t="shared" si="1"/>
        <v>0</v>
      </c>
    </row>
    <row r="19" spans="1:9" ht="12.75">
      <c r="A19" s="17"/>
      <c r="B19" s="17" t="s">
        <v>63</v>
      </c>
      <c r="C19" s="17" t="s">
        <v>267</v>
      </c>
      <c r="D19" s="36">
        <f>'Stavební rozpočet'!H98</f>
        <v>0</v>
      </c>
      <c r="E19" s="36">
        <f>'Stavební rozpočet'!I98</f>
        <v>0</v>
      </c>
      <c r="F19" s="36">
        <f t="shared" si="0"/>
        <v>0</v>
      </c>
      <c r="G19" s="36">
        <f>'Stavební rozpočet'!L98</f>
        <v>112.63756275000001</v>
      </c>
      <c r="H19" s="36" t="s">
        <v>444</v>
      </c>
      <c r="I19" s="36">
        <f t="shared" si="1"/>
        <v>0</v>
      </c>
    </row>
    <row r="20" spans="1:9" ht="12.75">
      <c r="A20" s="17"/>
      <c r="B20" s="17" t="s">
        <v>65</v>
      </c>
      <c r="C20" s="17" t="s">
        <v>270</v>
      </c>
      <c r="D20" s="36">
        <f>'Stavební rozpočet'!H103</f>
        <v>0</v>
      </c>
      <c r="E20" s="36">
        <f>'Stavební rozpočet'!I103</f>
        <v>0</v>
      </c>
      <c r="F20" s="36">
        <f t="shared" si="0"/>
        <v>0</v>
      </c>
      <c r="G20" s="36">
        <f>'Stavební rozpočet'!L103</f>
        <v>278.91666</v>
      </c>
      <c r="H20" s="36" t="s">
        <v>444</v>
      </c>
      <c r="I20" s="36">
        <f t="shared" si="1"/>
        <v>0</v>
      </c>
    </row>
    <row r="21" spans="1:9" ht="12.75">
      <c r="A21" s="17"/>
      <c r="B21" s="17" t="s">
        <v>135</v>
      </c>
      <c r="C21" s="17" t="s">
        <v>283</v>
      </c>
      <c r="D21" s="36">
        <f>'Stavební rozpočet'!H118</f>
        <v>0</v>
      </c>
      <c r="E21" s="36">
        <f>'Stavební rozpočet'!I118</f>
        <v>0</v>
      </c>
      <c r="F21" s="36">
        <f t="shared" si="0"/>
        <v>0</v>
      </c>
      <c r="G21" s="36">
        <f>'Stavební rozpočet'!L118</f>
        <v>12.664480000000001</v>
      </c>
      <c r="H21" s="36" t="s">
        <v>444</v>
      </c>
      <c r="I21" s="36">
        <f t="shared" si="1"/>
        <v>0</v>
      </c>
    </row>
    <row r="22" spans="1:9" ht="12.75">
      <c r="A22" s="17"/>
      <c r="B22" s="17" t="s">
        <v>138</v>
      </c>
      <c r="C22" s="17" t="s">
        <v>286</v>
      </c>
      <c r="D22" s="36">
        <f>'Stavební rozpočet'!H122</f>
        <v>0</v>
      </c>
      <c r="E22" s="36">
        <f>'Stavební rozpočet'!I122</f>
        <v>0</v>
      </c>
      <c r="F22" s="36">
        <f t="shared" si="0"/>
        <v>0</v>
      </c>
      <c r="G22" s="36">
        <f>'Stavební rozpočet'!L122</f>
        <v>0</v>
      </c>
      <c r="H22" s="36" t="s">
        <v>444</v>
      </c>
      <c r="I22" s="36">
        <f t="shared" si="1"/>
        <v>0</v>
      </c>
    </row>
    <row r="23" spans="1:9" ht="12.75">
      <c r="A23" s="17"/>
      <c r="B23" s="17" t="s">
        <v>141</v>
      </c>
      <c r="C23" s="17" t="s">
        <v>294</v>
      </c>
      <c r="D23" s="36">
        <f>'Stavební rozpočet'!H135</f>
        <v>0</v>
      </c>
      <c r="E23" s="36">
        <f>'Stavební rozpočet'!I135</f>
        <v>0</v>
      </c>
      <c r="F23" s="36">
        <f t="shared" si="0"/>
        <v>0</v>
      </c>
      <c r="G23" s="36">
        <f>'Stavební rozpočet'!L135</f>
        <v>428.84695600000003</v>
      </c>
      <c r="H23" s="36" t="s">
        <v>444</v>
      </c>
      <c r="I23" s="36">
        <f t="shared" si="1"/>
        <v>0</v>
      </c>
    </row>
    <row r="24" spans="1:9" ht="12.75">
      <c r="A24" s="17"/>
      <c r="B24" s="17" t="s">
        <v>155</v>
      </c>
      <c r="C24" s="17" t="s">
        <v>318</v>
      </c>
      <c r="D24" s="36">
        <f>'Stavební rozpočet'!H170</f>
        <v>0</v>
      </c>
      <c r="E24" s="36">
        <f>'Stavební rozpočet'!I170</f>
        <v>0</v>
      </c>
      <c r="F24" s="36">
        <f t="shared" si="0"/>
        <v>0</v>
      </c>
      <c r="G24" s="36">
        <f>'Stavební rozpočet'!L170</f>
        <v>0.5244</v>
      </c>
      <c r="H24" s="36" t="s">
        <v>444</v>
      </c>
      <c r="I24" s="36">
        <f t="shared" si="1"/>
        <v>0</v>
      </c>
    </row>
    <row r="25" spans="1:9" ht="12.75">
      <c r="A25" s="17"/>
      <c r="B25" s="17" t="s">
        <v>159</v>
      </c>
      <c r="C25" s="17" t="s">
        <v>323</v>
      </c>
      <c r="D25" s="36">
        <f>'Stavební rozpočet'!H177</f>
        <v>0</v>
      </c>
      <c r="E25" s="36">
        <f>'Stavební rozpočet'!I177</f>
        <v>0</v>
      </c>
      <c r="F25" s="36">
        <f t="shared" si="0"/>
        <v>0</v>
      </c>
      <c r="G25" s="36">
        <f>'Stavební rozpočet'!L177</f>
        <v>0</v>
      </c>
      <c r="H25" s="36" t="s">
        <v>444</v>
      </c>
      <c r="I25" s="36">
        <f t="shared" si="1"/>
        <v>0</v>
      </c>
    </row>
    <row r="26" spans="1:9" ht="12.75">
      <c r="A26" s="17"/>
      <c r="B26" s="17" t="s">
        <v>162</v>
      </c>
      <c r="C26" s="17" t="s">
        <v>328</v>
      </c>
      <c r="D26" s="36">
        <f>'Stavební rozpočet'!H182</f>
        <v>0</v>
      </c>
      <c r="E26" s="36">
        <f>'Stavební rozpočet'!I182</f>
        <v>0</v>
      </c>
      <c r="F26" s="36">
        <f t="shared" si="0"/>
        <v>0</v>
      </c>
      <c r="G26" s="36">
        <f>'Stavební rozpočet'!L182</f>
        <v>0.47415000000000007</v>
      </c>
      <c r="H26" s="36" t="s">
        <v>444</v>
      </c>
      <c r="I26" s="36">
        <f t="shared" si="1"/>
        <v>0</v>
      </c>
    </row>
    <row r="27" spans="1:9" ht="12.75">
      <c r="A27" s="17"/>
      <c r="B27" s="17" t="s">
        <v>173</v>
      </c>
      <c r="C27" s="17" t="s">
        <v>343</v>
      </c>
      <c r="D27" s="36">
        <f>'Stavební rozpočet'!H203</f>
        <v>0</v>
      </c>
      <c r="E27" s="36">
        <f>'Stavební rozpočet'!I203</f>
        <v>0</v>
      </c>
      <c r="F27" s="36">
        <f t="shared" si="0"/>
        <v>0</v>
      </c>
      <c r="G27" s="36">
        <f>'Stavební rozpočet'!L203</f>
        <v>0</v>
      </c>
      <c r="H27" s="36" t="s">
        <v>444</v>
      </c>
      <c r="I27" s="36">
        <f t="shared" si="1"/>
        <v>0</v>
      </c>
    </row>
    <row r="28" spans="1:9" ht="12.75">
      <c r="A28" s="17"/>
      <c r="B28" s="17" t="s">
        <v>175</v>
      </c>
      <c r="C28" s="17" t="s">
        <v>345</v>
      </c>
      <c r="D28" s="36">
        <f>'Stavební rozpočet'!H206</f>
        <v>0</v>
      </c>
      <c r="E28" s="36">
        <f>'Stavební rozpočet'!I206</f>
        <v>0</v>
      </c>
      <c r="F28" s="36">
        <f t="shared" si="0"/>
        <v>0</v>
      </c>
      <c r="G28" s="36">
        <f>'Stavební rozpočet'!L206</f>
        <v>80.7027</v>
      </c>
      <c r="H28" s="36" t="s">
        <v>444</v>
      </c>
      <c r="I28" s="36">
        <f t="shared" si="1"/>
        <v>0</v>
      </c>
    </row>
    <row r="29" spans="1:9" ht="12.75">
      <c r="A29" s="17"/>
      <c r="B29" s="17" t="s">
        <v>183</v>
      </c>
      <c r="C29" s="17" t="s">
        <v>357</v>
      </c>
      <c r="D29" s="36">
        <f>'Stavební rozpočet'!H221</f>
        <v>0</v>
      </c>
      <c r="E29" s="36">
        <f>'Stavební rozpočet'!I221</f>
        <v>0</v>
      </c>
      <c r="F29" s="36">
        <f t="shared" si="0"/>
        <v>0</v>
      </c>
      <c r="G29" s="36">
        <f>'Stavební rozpočet'!L221</f>
        <v>0</v>
      </c>
      <c r="H29" s="36" t="s">
        <v>444</v>
      </c>
      <c r="I29" s="36">
        <f t="shared" si="1"/>
        <v>0</v>
      </c>
    </row>
    <row r="31" spans="5:6" ht="12.75">
      <c r="E31" s="46" t="s">
        <v>391</v>
      </c>
      <c r="F31" s="49">
        <f>SUM(I11:I29)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7"/>
      <c r="C1" s="114" t="s">
        <v>460</v>
      </c>
      <c r="D1" s="82"/>
      <c r="E1" s="82"/>
      <c r="F1" s="82"/>
      <c r="G1" s="82"/>
      <c r="H1" s="82"/>
      <c r="I1" s="82"/>
    </row>
    <row r="2" spans="1:10" ht="12.75">
      <c r="A2" s="83" t="s">
        <v>1</v>
      </c>
      <c r="B2" s="84"/>
      <c r="C2" s="85" t="str">
        <f>'Stavební rozpočet'!D2</f>
        <v>REVITALIZACE VEŘ.PROSTRANSTVÍ -LOK.Č.2</v>
      </c>
      <c r="D2" s="71"/>
      <c r="E2" s="88" t="s">
        <v>392</v>
      </c>
      <c r="F2" s="88" t="str">
        <f>'Stavební rozpočet'!J2</f>
        <v>MĚSTO VARNSDORF</v>
      </c>
      <c r="G2" s="84"/>
      <c r="H2" s="88" t="s">
        <v>486</v>
      </c>
      <c r="I2" s="115"/>
      <c r="J2" s="34"/>
    </row>
    <row r="3" spans="1:10" ht="12.75">
      <c r="A3" s="80"/>
      <c r="B3" s="73"/>
      <c r="C3" s="86"/>
      <c r="D3" s="86"/>
      <c r="E3" s="73"/>
      <c r="F3" s="73"/>
      <c r="G3" s="73"/>
      <c r="H3" s="73"/>
      <c r="I3" s="78"/>
      <c r="J3" s="34"/>
    </row>
    <row r="4" spans="1:10" ht="12.75">
      <c r="A4" s="74" t="s">
        <v>2</v>
      </c>
      <c r="B4" s="73"/>
      <c r="C4" s="72" t="str">
        <f>'Stavební rozpočet'!D4</f>
        <v>VII.REKONSTRUKCE MK+PŘILEHLÉ STÁNÍ A CHODNÍKY</v>
      </c>
      <c r="D4" s="73"/>
      <c r="E4" s="72" t="s">
        <v>393</v>
      </c>
      <c r="F4" s="72" t="str">
        <f>'Stavební rozpočet'!J4</f>
        <v>ING.COBL JIŘÍ</v>
      </c>
      <c r="G4" s="73"/>
      <c r="H4" s="72" t="s">
        <v>486</v>
      </c>
      <c r="I4" s="113"/>
      <c r="J4" s="34"/>
    </row>
    <row r="5" spans="1:10" ht="12.75">
      <c r="A5" s="80"/>
      <c r="B5" s="73"/>
      <c r="C5" s="73"/>
      <c r="D5" s="73"/>
      <c r="E5" s="73"/>
      <c r="F5" s="73"/>
      <c r="G5" s="73"/>
      <c r="H5" s="73"/>
      <c r="I5" s="78"/>
      <c r="J5" s="34"/>
    </row>
    <row r="6" spans="1:10" ht="12.75">
      <c r="A6" s="74" t="s">
        <v>3</v>
      </c>
      <c r="B6" s="73"/>
      <c r="C6" s="72" t="str">
        <f>'Stavební rozpočet'!D6</f>
        <v>SO 101-DOPRAVNÍ ŘEŠENÍ-ČÁST-1</v>
      </c>
      <c r="D6" s="73"/>
      <c r="E6" s="72" t="s">
        <v>394</v>
      </c>
      <c r="F6" s="72" t="str">
        <f>'Stavební rozpočet'!J6</f>
        <v>BUDE VYBRÁN</v>
      </c>
      <c r="G6" s="73"/>
      <c r="H6" s="72" t="s">
        <v>486</v>
      </c>
      <c r="I6" s="113"/>
      <c r="J6" s="34"/>
    </row>
    <row r="7" spans="1:10" ht="12.75">
      <c r="A7" s="80"/>
      <c r="B7" s="73"/>
      <c r="C7" s="73"/>
      <c r="D7" s="73"/>
      <c r="E7" s="73"/>
      <c r="F7" s="73"/>
      <c r="G7" s="73"/>
      <c r="H7" s="73"/>
      <c r="I7" s="78"/>
      <c r="J7" s="34"/>
    </row>
    <row r="8" spans="1:10" ht="12.75">
      <c r="A8" s="74" t="s">
        <v>374</v>
      </c>
      <c r="B8" s="73"/>
      <c r="C8" s="72" t="str">
        <f>'Stavební rozpočet'!G4</f>
        <v> </v>
      </c>
      <c r="D8" s="73"/>
      <c r="E8" s="72" t="s">
        <v>375</v>
      </c>
      <c r="F8" s="72" t="str">
        <f>'Stavební rozpočet'!G6</f>
        <v> </v>
      </c>
      <c r="G8" s="73"/>
      <c r="H8" s="77" t="s">
        <v>487</v>
      </c>
      <c r="I8" s="113" t="s">
        <v>93</v>
      </c>
      <c r="J8" s="34"/>
    </row>
    <row r="9" spans="1:10" ht="12.75">
      <c r="A9" s="80"/>
      <c r="B9" s="73"/>
      <c r="C9" s="73"/>
      <c r="D9" s="73"/>
      <c r="E9" s="73"/>
      <c r="F9" s="73"/>
      <c r="G9" s="73"/>
      <c r="H9" s="73"/>
      <c r="I9" s="78"/>
      <c r="J9" s="34"/>
    </row>
    <row r="10" spans="1:10" ht="12.75">
      <c r="A10" s="74" t="s">
        <v>4</v>
      </c>
      <c r="B10" s="73"/>
      <c r="C10" s="72" t="str">
        <f>'Stavební rozpočet'!D8</f>
        <v> </v>
      </c>
      <c r="D10" s="73"/>
      <c r="E10" s="72" t="s">
        <v>395</v>
      </c>
      <c r="F10" s="72" t="str">
        <f>'Stavební rozpočet'!J8</f>
        <v>IIČVDF</v>
      </c>
      <c r="G10" s="73"/>
      <c r="H10" s="77" t="s">
        <v>488</v>
      </c>
      <c r="I10" s="111" t="str">
        <f>'Stavební rozpočet'!G8</f>
        <v>26.04.2018</v>
      </c>
      <c r="J10" s="34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12"/>
      <c r="J11" s="34"/>
    </row>
    <row r="12" spans="1:9" ht="23.25" customHeight="1">
      <c r="A12" s="105" t="s">
        <v>445</v>
      </c>
      <c r="B12" s="106"/>
      <c r="C12" s="106"/>
      <c r="D12" s="106"/>
      <c r="E12" s="106"/>
      <c r="F12" s="106"/>
      <c r="G12" s="106"/>
      <c r="H12" s="106"/>
      <c r="I12" s="106"/>
    </row>
    <row r="13" spans="1:10" ht="26.25" customHeight="1">
      <c r="A13" s="50" t="s">
        <v>446</v>
      </c>
      <c r="B13" s="107" t="s">
        <v>458</v>
      </c>
      <c r="C13" s="108"/>
      <c r="D13" s="50" t="s">
        <v>461</v>
      </c>
      <c r="E13" s="107" t="s">
        <v>471</v>
      </c>
      <c r="F13" s="108"/>
      <c r="G13" s="50" t="s">
        <v>472</v>
      </c>
      <c r="H13" s="107" t="s">
        <v>489</v>
      </c>
      <c r="I13" s="108"/>
      <c r="J13" s="34"/>
    </row>
    <row r="14" spans="1:10" ht="15" customHeight="1">
      <c r="A14" s="51" t="s">
        <v>447</v>
      </c>
      <c r="B14" s="55" t="s">
        <v>459</v>
      </c>
      <c r="C14" s="59">
        <f>SUM('Stavební rozpočet'!R12:R236)</f>
        <v>0</v>
      </c>
      <c r="D14" s="103" t="s">
        <v>462</v>
      </c>
      <c r="E14" s="104"/>
      <c r="F14" s="59">
        <v>0</v>
      </c>
      <c r="G14" s="103" t="s">
        <v>473</v>
      </c>
      <c r="H14" s="104"/>
      <c r="I14" s="59">
        <v>0</v>
      </c>
      <c r="J14" s="34"/>
    </row>
    <row r="15" spans="1:10" ht="15" customHeight="1">
      <c r="A15" s="52"/>
      <c r="B15" s="55" t="s">
        <v>396</v>
      </c>
      <c r="C15" s="59">
        <f>SUM('Stavební rozpočet'!S12:S236)</f>
        <v>0</v>
      </c>
      <c r="D15" s="103" t="s">
        <v>463</v>
      </c>
      <c r="E15" s="104"/>
      <c r="F15" s="59">
        <v>0</v>
      </c>
      <c r="G15" s="103" t="s">
        <v>474</v>
      </c>
      <c r="H15" s="104"/>
      <c r="I15" s="59">
        <v>0</v>
      </c>
      <c r="J15" s="34"/>
    </row>
    <row r="16" spans="1:10" ht="15" customHeight="1">
      <c r="A16" s="51" t="s">
        <v>448</v>
      </c>
      <c r="B16" s="55" t="s">
        <v>459</v>
      </c>
      <c r="C16" s="59">
        <f>SUM('Stavební rozpočet'!T12:T236)</f>
        <v>0</v>
      </c>
      <c r="D16" s="103" t="s">
        <v>464</v>
      </c>
      <c r="E16" s="104"/>
      <c r="F16" s="59">
        <v>0</v>
      </c>
      <c r="G16" s="103" t="s">
        <v>475</v>
      </c>
      <c r="H16" s="104"/>
      <c r="I16" s="59">
        <v>0</v>
      </c>
      <c r="J16" s="34"/>
    </row>
    <row r="17" spans="1:10" ht="15" customHeight="1">
      <c r="A17" s="52"/>
      <c r="B17" s="55" t="s">
        <v>396</v>
      </c>
      <c r="C17" s="59">
        <f>SUM('Stavební rozpočet'!U12:U236)</f>
        <v>0</v>
      </c>
      <c r="D17" s="103" t="s">
        <v>465</v>
      </c>
      <c r="E17" s="104"/>
      <c r="F17" s="59">
        <v>0</v>
      </c>
      <c r="G17" s="103" t="s">
        <v>476</v>
      </c>
      <c r="H17" s="104"/>
      <c r="I17" s="59">
        <v>0</v>
      </c>
      <c r="J17" s="34"/>
    </row>
    <row r="18" spans="1:10" ht="15" customHeight="1">
      <c r="A18" s="51" t="s">
        <v>449</v>
      </c>
      <c r="B18" s="55" t="s">
        <v>459</v>
      </c>
      <c r="C18" s="59">
        <f>SUM('Stavební rozpočet'!V12:V236)</f>
        <v>0</v>
      </c>
      <c r="D18" s="103"/>
      <c r="E18" s="104"/>
      <c r="F18" s="60"/>
      <c r="G18" s="103" t="s">
        <v>477</v>
      </c>
      <c r="H18" s="104"/>
      <c r="I18" s="59">
        <v>0</v>
      </c>
      <c r="J18" s="34"/>
    </row>
    <row r="19" spans="1:10" ht="15" customHeight="1">
      <c r="A19" s="52"/>
      <c r="B19" s="55" t="s">
        <v>396</v>
      </c>
      <c r="C19" s="59">
        <f>SUM('Stavební rozpočet'!W12:W236)</f>
        <v>0</v>
      </c>
      <c r="D19" s="103"/>
      <c r="E19" s="104"/>
      <c r="F19" s="60"/>
      <c r="G19" s="103" t="s">
        <v>478</v>
      </c>
      <c r="H19" s="104"/>
      <c r="I19" s="59">
        <v>0</v>
      </c>
      <c r="J19" s="34"/>
    </row>
    <row r="20" spans="1:10" ht="15" customHeight="1">
      <c r="A20" s="101" t="s">
        <v>450</v>
      </c>
      <c r="B20" s="102"/>
      <c r="C20" s="59">
        <f>SUM('Stavební rozpočet'!X12:X236)</f>
        <v>0</v>
      </c>
      <c r="D20" s="103"/>
      <c r="E20" s="104"/>
      <c r="F20" s="60"/>
      <c r="G20" s="103"/>
      <c r="H20" s="104"/>
      <c r="I20" s="60"/>
      <c r="J20" s="34"/>
    </row>
    <row r="21" spans="1:10" ht="15" customHeight="1">
      <c r="A21" s="101" t="s">
        <v>451</v>
      </c>
      <c r="B21" s="102"/>
      <c r="C21" s="59">
        <f>SUM('Stavební rozpočet'!P12:P236)</f>
        <v>0</v>
      </c>
      <c r="D21" s="103"/>
      <c r="E21" s="104"/>
      <c r="F21" s="60"/>
      <c r="G21" s="103"/>
      <c r="H21" s="104"/>
      <c r="I21" s="60"/>
      <c r="J21" s="34"/>
    </row>
    <row r="22" spans="1:10" ht="16.5" customHeight="1">
      <c r="A22" s="101" t="s">
        <v>452</v>
      </c>
      <c r="B22" s="102"/>
      <c r="C22" s="59">
        <f>SUM(C14:C21)</f>
        <v>0</v>
      </c>
      <c r="D22" s="101" t="s">
        <v>466</v>
      </c>
      <c r="E22" s="102"/>
      <c r="F22" s="59">
        <f>SUM(F14:F21)</f>
        <v>0</v>
      </c>
      <c r="G22" s="101" t="s">
        <v>479</v>
      </c>
      <c r="H22" s="102"/>
      <c r="I22" s="59">
        <f>SUM(I14:I21)</f>
        <v>0</v>
      </c>
      <c r="J22" s="34"/>
    </row>
    <row r="23" spans="1:10" ht="15" customHeight="1">
      <c r="A23" s="8"/>
      <c r="B23" s="8"/>
      <c r="C23" s="57"/>
      <c r="D23" s="101" t="s">
        <v>467</v>
      </c>
      <c r="E23" s="102"/>
      <c r="F23" s="61">
        <v>0</v>
      </c>
      <c r="G23" s="101" t="s">
        <v>480</v>
      </c>
      <c r="H23" s="102"/>
      <c r="I23" s="59">
        <v>0</v>
      </c>
      <c r="J23" s="34"/>
    </row>
    <row r="24" spans="4:9" ht="15" customHeight="1">
      <c r="D24" s="8"/>
      <c r="E24" s="8"/>
      <c r="F24" s="62"/>
      <c r="G24" s="101" t="s">
        <v>481</v>
      </c>
      <c r="H24" s="102"/>
      <c r="I24" s="64"/>
    </row>
    <row r="25" spans="6:10" ht="15" customHeight="1">
      <c r="F25" s="63"/>
      <c r="G25" s="101" t="s">
        <v>482</v>
      </c>
      <c r="H25" s="102"/>
      <c r="I25" s="59">
        <v>0</v>
      </c>
      <c r="J25" s="34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96" t="s">
        <v>453</v>
      </c>
      <c r="B27" s="97"/>
      <c r="C27" s="65">
        <f>SUM('Stavební rozpočet'!Z12:Z236)</f>
        <v>0</v>
      </c>
      <c r="D27" s="58"/>
      <c r="E27" s="7"/>
      <c r="F27" s="7"/>
      <c r="G27" s="7"/>
      <c r="H27" s="7"/>
      <c r="I27" s="7"/>
    </row>
    <row r="28" spans="1:10" ht="15" customHeight="1">
      <c r="A28" s="96" t="s">
        <v>454</v>
      </c>
      <c r="B28" s="97"/>
      <c r="C28" s="65">
        <f>SUM('Stavební rozpočet'!AA12:AA236)</f>
        <v>0</v>
      </c>
      <c r="D28" s="96" t="s">
        <v>468</v>
      </c>
      <c r="E28" s="97"/>
      <c r="F28" s="65">
        <f>ROUND(C28*(15/100),2)</f>
        <v>0</v>
      </c>
      <c r="G28" s="96" t="s">
        <v>483</v>
      </c>
      <c r="H28" s="97"/>
      <c r="I28" s="65">
        <f>SUM(C27:C29)</f>
        <v>0</v>
      </c>
      <c r="J28" s="34"/>
    </row>
    <row r="29" spans="1:10" ht="15" customHeight="1">
      <c r="A29" s="96" t="s">
        <v>455</v>
      </c>
      <c r="B29" s="97"/>
      <c r="C29" s="65">
        <f>SUM('Stavební rozpočet'!AB12:AB236)+(F22+I22+F23+I23+I24+I25)</f>
        <v>0</v>
      </c>
      <c r="D29" s="96" t="s">
        <v>469</v>
      </c>
      <c r="E29" s="97"/>
      <c r="F29" s="65">
        <f>ROUND(C29*(21/100),2)</f>
        <v>0</v>
      </c>
      <c r="G29" s="96" t="s">
        <v>484</v>
      </c>
      <c r="H29" s="97"/>
      <c r="I29" s="65">
        <f>SUM(F28:F29)+I28</f>
        <v>0</v>
      </c>
      <c r="J29" s="34"/>
    </row>
    <row r="30" spans="1:9" ht="12.75">
      <c r="A30" s="53"/>
      <c r="B30" s="53"/>
      <c r="C30" s="53"/>
      <c r="D30" s="53"/>
      <c r="E30" s="53"/>
      <c r="F30" s="53"/>
      <c r="G30" s="53"/>
      <c r="H30" s="53"/>
      <c r="I30" s="53"/>
    </row>
    <row r="31" spans="1:10" ht="14.25" customHeight="1">
      <c r="A31" s="98" t="s">
        <v>456</v>
      </c>
      <c r="B31" s="99"/>
      <c r="C31" s="100"/>
      <c r="D31" s="98" t="s">
        <v>470</v>
      </c>
      <c r="E31" s="99"/>
      <c r="F31" s="100"/>
      <c r="G31" s="98" t="s">
        <v>485</v>
      </c>
      <c r="H31" s="99"/>
      <c r="I31" s="100"/>
      <c r="J31" s="35"/>
    </row>
    <row r="32" spans="1:10" ht="14.25" customHeight="1">
      <c r="A32" s="90"/>
      <c r="B32" s="91"/>
      <c r="C32" s="92"/>
      <c r="D32" s="90"/>
      <c r="E32" s="91"/>
      <c r="F32" s="92"/>
      <c r="G32" s="90"/>
      <c r="H32" s="91"/>
      <c r="I32" s="92"/>
      <c r="J32" s="35"/>
    </row>
    <row r="33" spans="1:10" ht="14.25" customHeight="1">
      <c r="A33" s="90"/>
      <c r="B33" s="91"/>
      <c r="C33" s="92"/>
      <c r="D33" s="90"/>
      <c r="E33" s="91"/>
      <c r="F33" s="92"/>
      <c r="G33" s="90"/>
      <c r="H33" s="91"/>
      <c r="I33" s="92"/>
      <c r="J33" s="35"/>
    </row>
    <row r="34" spans="1:10" ht="14.25" customHeight="1">
      <c r="A34" s="90"/>
      <c r="B34" s="91"/>
      <c r="C34" s="92"/>
      <c r="D34" s="90"/>
      <c r="E34" s="91"/>
      <c r="F34" s="92"/>
      <c r="G34" s="90"/>
      <c r="H34" s="91"/>
      <c r="I34" s="92"/>
      <c r="J34" s="35"/>
    </row>
    <row r="35" spans="1:10" ht="14.25" customHeight="1">
      <c r="A35" s="93" t="s">
        <v>457</v>
      </c>
      <c r="B35" s="94"/>
      <c r="C35" s="95"/>
      <c r="D35" s="93" t="s">
        <v>457</v>
      </c>
      <c r="E35" s="94"/>
      <c r="F35" s="95"/>
      <c r="G35" s="93" t="s">
        <v>457</v>
      </c>
      <c r="H35" s="94"/>
      <c r="I35" s="95"/>
      <c r="J35" s="35"/>
    </row>
    <row r="36" spans="1:9" ht="11.25" customHeight="1">
      <c r="A36" s="54" t="s">
        <v>94</v>
      </c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72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Kunčarová</dc:creator>
  <cp:keywords/>
  <dc:description/>
  <cp:lastModifiedBy>Eva Kunčarová</cp:lastModifiedBy>
  <dcterms:created xsi:type="dcterms:W3CDTF">2018-07-13T10:43:02Z</dcterms:created>
  <dcterms:modified xsi:type="dcterms:W3CDTF">2018-07-13T10:56:57Z</dcterms:modified>
  <cp:category/>
  <cp:version/>
  <cp:contentType/>
  <cp:contentStatus/>
</cp:coreProperties>
</file>