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</sheets>
  <definedNames/>
  <calcPr fullCalcOnLoad="1"/>
</workbook>
</file>

<file path=xl/sharedStrings.xml><?xml version="1.0" encoding="utf-8"?>
<sst xmlns="http://schemas.openxmlformats.org/spreadsheetml/2006/main" count="4424" uniqueCount="1236">
  <si>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</si>
  <si>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</si>
  <si>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</si>
  <si>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</si>
  <si>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</si>
  <si>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</si>
  <si>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</si>
  <si>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</si>
  <si>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</si>
  <si>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</si>
  <si>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</si>
  <si>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</si>
  <si>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</si>
  <si>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</si>
  <si>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</si>
  <si>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</si>
  <si>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</si>
  <si>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</si>
  <si>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</si>
  <si>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</si>
  <si>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</si>
  <si>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</si>
  <si>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</si>
  <si>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</si>
  <si>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</si>
  <si>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</si>
  <si>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</si>
  <si>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</si>
  <si>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</si>
  <si>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</si>
  <si>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</si>
  <si>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</si>
  <si>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</si>
  <si>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</si>
  <si>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</si>
  <si>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</si>
  <si>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</si>
  <si>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</si>
  <si>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</si>
  <si>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</si>
  <si>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</si>
  <si>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</si>
  <si>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</si>
  <si>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</si>
  <si>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</si>
  <si>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</si>
  <si>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</si>
  <si>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</si>
  <si>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</si>
  <si>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</si>
  <si>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</si>
  <si>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</si>
  <si>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</si>
  <si>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</si>
  <si>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</si>
  <si>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</si>
  <si>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</si>
  <si>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</si>
  <si>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</si>
  <si>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</si>
  <si>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</si>
  <si>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</si>
  <si>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</si>
  <si>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</si>
  <si>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</si>
  <si>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</si>
  <si>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</si>
  <si>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</si>
  <si>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</si>
  <si>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</si>
  <si>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</si>
  <si>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</si>
  <si>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</si>
  <si>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</si>
  <si>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</si>
  <si>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</si>
  <si>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</si>
  <si>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</si>
  <si>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</si>
  <si>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</si>
  <si>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</si>
  <si>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</si>
  <si>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</si>
  <si>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</si>
  <si>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</si>
  <si>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</si>
  <si>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</si>
  <si>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</si>
  <si>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</si>
  <si>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</si>
  <si>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</si>
  <si>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</si>
  <si>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</si>
  <si>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</si>
  <si>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</si>
  <si>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</si>
  <si>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</si>
  <si>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</si>
  <si>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</si>
  <si>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</si>
  <si>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</si>
  <si>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</si>
  <si>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</si>
  <si>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</si>
  <si>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</si>
  <si>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</si>
  <si>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</si>
  <si>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</si>
  <si>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</si>
  <si>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</si>
  <si>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</si>
  <si>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</si>
  <si>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</si>
  <si>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</si>
  <si>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</si>
  <si>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</si>
  <si>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</si>
  <si>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</si>
  <si>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</si>
  <si>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</si>
  <si>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</si>
  <si>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</si>
  <si>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</si>
  <si>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</si>
  <si>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</si>
  <si>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</si>
  <si>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</si>
  <si>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</si>
  <si>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</si>
  <si>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</si>
  <si>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</si>
  <si>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</si>
  <si>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</si>
  <si>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</si>
  <si>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</si>
  <si>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</si>
  <si>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</si>
  <si>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</si>
  <si>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</si>
  <si>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</si>
  <si>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</si>
  <si>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</si>
  <si>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</si>
  <si>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</si>
  <si>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</si>
  <si>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</si>
  <si>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</si>
  <si>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</si>
  <si>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</si>
  <si>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</si>
  <si>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</si>
  <si>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</si>
  <si>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</si>
  <si>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</si>
  <si>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</si>
  <si>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</si>
  <si>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</si>
  <si>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</si>
  <si>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</si>
  <si>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</si>
  <si>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</si>
  <si>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</si>
  <si>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</si>
  <si>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</si>
  <si>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</si>
  <si>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</si>
  <si>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</si>
  <si>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</si>
  <si>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</si>
  <si>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</si>
  <si>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</si>
  <si>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</si>
  <si>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</si>
  <si>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</si>
  <si>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</si>
  <si>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</si>
  <si>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</si>
  <si>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</si>
  <si>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</si>
  <si>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</si>
  <si>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</si>
  <si>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</si>
  <si>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</si>
  <si>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</si>
  <si>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</si>
  <si>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</si>
  <si>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</si>
  <si>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</si>
  <si>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</si>
  <si>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</si>
  <si>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</si>
  <si>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</si>
  <si>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</si>
  <si>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</si>
  <si>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</si>
  <si>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</si>
  <si>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</si>
  <si>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</si>
  <si>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</si>
  <si>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</si>
  <si>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</si>
  <si>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</si>
  <si>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</si>
  <si>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</si>
  <si>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</si>
  <si>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</si>
  <si>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</si>
  <si>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</si>
  <si>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</si>
  <si>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</si>
  <si>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</si>
  <si>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</si>
  <si>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</si>
  <si>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</si>
  <si>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</si>
  <si>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</si>
  <si>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</si>
  <si>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</si>
  <si>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</si>
  <si>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</si>
  <si>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</si>
  <si>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</si>
  <si>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</si>
  <si>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</si>
  <si>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</si>
  <si>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</si>
  <si>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</si>
  <si>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</si>
  <si>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</si>
  <si>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</si>
  <si>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</si>
  <si>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</si>
  <si>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</si>
  <si>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</si>
  <si>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</si>
  <si>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</si>
  <si>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</si>
  <si>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</si>
  <si>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Poznámka:</t>
  </si>
  <si>
    <t>Objekt</t>
  </si>
  <si>
    <t>Kód</t>
  </si>
  <si>
    <t>139711101RT4</t>
  </si>
  <si>
    <t>132301401R00</t>
  </si>
  <si>
    <t>161101101R00</t>
  </si>
  <si>
    <t>162201203R00</t>
  </si>
  <si>
    <t>162201210R00</t>
  </si>
  <si>
    <t>162701105R00</t>
  </si>
  <si>
    <t>162701109R00</t>
  </si>
  <si>
    <t>167101101R00</t>
  </si>
  <si>
    <t>199000002R00</t>
  </si>
  <si>
    <t>229942112R00</t>
  </si>
  <si>
    <t>279311115R00</t>
  </si>
  <si>
    <t>271531113R00</t>
  </si>
  <si>
    <t>273311117R00</t>
  </si>
  <si>
    <t>273361921RU2</t>
  </si>
  <si>
    <t>274272110RT3</t>
  </si>
  <si>
    <t>274272140RT3</t>
  </si>
  <si>
    <t>274272160RT3</t>
  </si>
  <si>
    <t>274272160R00</t>
  </si>
  <si>
    <t>311231126RT2</t>
  </si>
  <si>
    <t>311112120RT4</t>
  </si>
  <si>
    <t>311231118R00</t>
  </si>
  <si>
    <t>311231134RT4</t>
  </si>
  <si>
    <t>311112020RT3</t>
  </si>
  <si>
    <t>317234410R00</t>
  </si>
  <si>
    <t>310235261R00</t>
  </si>
  <si>
    <t>342241162R00</t>
  </si>
  <si>
    <t>342248112R00</t>
  </si>
  <si>
    <t>342012222R00</t>
  </si>
  <si>
    <t>349231811R00</t>
  </si>
  <si>
    <t>346230012RA0</t>
  </si>
  <si>
    <t>342266111R-33</t>
  </si>
  <si>
    <t>342267111R-34</t>
  </si>
  <si>
    <t>417320040RAA</t>
  </si>
  <si>
    <t>413200011RAB</t>
  </si>
  <si>
    <t>411321824R00</t>
  </si>
  <si>
    <t>411351101RT1</t>
  </si>
  <si>
    <t>411351102R00</t>
  </si>
  <si>
    <t>411361921RT8</t>
  </si>
  <si>
    <t>416020113R00</t>
  </si>
  <si>
    <t>416020123R00</t>
  </si>
  <si>
    <t>416061122R00</t>
  </si>
  <si>
    <t>416020111R00</t>
  </si>
  <si>
    <t>434191423R00</t>
  </si>
  <si>
    <t>612421431RT2</t>
  </si>
  <si>
    <t>612421637R00</t>
  </si>
  <si>
    <t>612421626R00</t>
  </si>
  <si>
    <t>612409991R00</t>
  </si>
  <si>
    <t>612401191</t>
  </si>
  <si>
    <t>612401291R00</t>
  </si>
  <si>
    <t>612401391R00</t>
  </si>
  <si>
    <t>612401911R-39</t>
  </si>
  <si>
    <t>611456121R00</t>
  </si>
  <si>
    <t>62243 R-01</t>
  </si>
  <si>
    <t>622311124RT1</t>
  </si>
  <si>
    <t>631315621R00</t>
  </si>
  <si>
    <t>631361921RU2</t>
  </si>
  <si>
    <t>631310032RA0</t>
  </si>
  <si>
    <t>631320131RAA</t>
  </si>
  <si>
    <t>631313621R00</t>
  </si>
  <si>
    <t>631361921RT4</t>
  </si>
  <si>
    <t>631320136RAA</t>
  </si>
  <si>
    <t>631571004R00</t>
  </si>
  <si>
    <t>430321313R00</t>
  </si>
  <si>
    <t>430361921RT4</t>
  </si>
  <si>
    <t>431351121R00</t>
  </si>
  <si>
    <t>431351122R00</t>
  </si>
  <si>
    <t>7678961 R-41</t>
  </si>
  <si>
    <t>7678961 R-42</t>
  </si>
  <si>
    <t>771575014RA0</t>
  </si>
  <si>
    <t>711</t>
  </si>
  <si>
    <t>711212002RT5</t>
  </si>
  <si>
    <t>711170010RA0</t>
  </si>
  <si>
    <t>711140016RAA</t>
  </si>
  <si>
    <t>711150016RAA</t>
  </si>
  <si>
    <t>998711102R00</t>
  </si>
  <si>
    <t>713</t>
  </si>
  <si>
    <t>713111111RV4</t>
  </si>
  <si>
    <t>713121111R00</t>
  </si>
  <si>
    <t>713131131RT2</t>
  </si>
  <si>
    <t>998713102R00</t>
  </si>
  <si>
    <t>721</t>
  </si>
  <si>
    <t>721176212R00</t>
  </si>
  <si>
    <t>721176222R00</t>
  </si>
  <si>
    <t>721176223R00</t>
  </si>
  <si>
    <t>721176224R00</t>
  </si>
  <si>
    <t>721176225R00</t>
  </si>
  <si>
    <t>721176226R00</t>
  </si>
  <si>
    <t>721211502R00</t>
  </si>
  <si>
    <t>721290111R00</t>
  </si>
  <si>
    <t>721290112R00</t>
  </si>
  <si>
    <t>721290113R00</t>
  </si>
  <si>
    <t>721153205R00</t>
  </si>
  <si>
    <t>721153207R00</t>
  </si>
  <si>
    <t>721153208R00</t>
  </si>
  <si>
    <t>871373121RT2</t>
  </si>
  <si>
    <t>212850001RA0</t>
  </si>
  <si>
    <t>894121117R00</t>
  </si>
  <si>
    <t>894111143R00</t>
  </si>
  <si>
    <t>894431112R00</t>
  </si>
  <si>
    <t>721300922R00</t>
  </si>
  <si>
    <t>72130 R-31</t>
  </si>
  <si>
    <t>721176115R00</t>
  </si>
  <si>
    <t>721273200RT3</t>
  </si>
  <si>
    <t>286971839R-37</t>
  </si>
  <si>
    <t>998721102R00</t>
  </si>
  <si>
    <t>722</t>
  </si>
  <si>
    <t>722172333R00</t>
  </si>
  <si>
    <t>722172332R00</t>
  </si>
  <si>
    <t>722172312R00</t>
  </si>
  <si>
    <t>722172313R00</t>
  </si>
  <si>
    <t>722181242RT8</t>
  </si>
  <si>
    <t>722181242RU1</t>
  </si>
  <si>
    <t>722237145R00</t>
  </si>
  <si>
    <t>722280106R00</t>
  </si>
  <si>
    <t>722290234R00</t>
  </si>
  <si>
    <t>722172413R00</t>
  </si>
  <si>
    <t>998722102R00</t>
  </si>
  <si>
    <t>723</t>
  </si>
  <si>
    <t>72314 R-28</t>
  </si>
  <si>
    <t>724</t>
  </si>
  <si>
    <t>724131113R00</t>
  </si>
  <si>
    <t>725</t>
  </si>
  <si>
    <t>725014141R00</t>
  </si>
  <si>
    <t>725017130R00</t>
  </si>
  <si>
    <t>725330913R00</t>
  </si>
  <si>
    <t>725823121RT1</t>
  </si>
  <si>
    <t>725850114R00</t>
  </si>
  <si>
    <t>286967562</t>
  </si>
  <si>
    <t>44982681</t>
  </si>
  <si>
    <t>44982690</t>
  </si>
  <si>
    <t>44983133.M</t>
  </si>
  <si>
    <t>44983134.M</t>
  </si>
  <si>
    <t>725534228R00</t>
  </si>
  <si>
    <t>998725102R00</t>
  </si>
  <si>
    <t>728</t>
  </si>
  <si>
    <t>728314114R00</t>
  </si>
  <si>
    <t>72811 R-30</t>
  </si>
  <si>
    <t>728111820R-35</t>
  </si>
  <si>
    <t>731</t>
  </si>
  <si>
    <t>731 R-27</t>
  </si>
  <si>
    <t>762</t>
  </si>
  <si>
    <t>762342204RT4</t>
  </si>
  <si>
    <t>762331931R00</t>
  </si>
  <si>
    <t>762331951R00</t>
  </si>
  <si>
    <t>762331932R00</t>
  </si>
  <si>
    <t>762342811R00</t>
  </si>
  <si>
    <t>762334140R00</t>
  </si>
  <si>
    <t>60515254</t>
  </si>
  <si>
    <t>762395000R00</t>
  </si>
  <si>
    <t>762330811R00</t>
  </si>
  <si>
    <t>998762102R00</t>
  </si>
  <si>
    <t>763</t>
  </si>
  <si>
    <t>763611231R00</t>
  </si>
  <si>
    <t>60726122</t>
  </si>
  <si>
    <t>763713120R00</t>
  </si>
  <si>
    <t>764</t>
  </si>
  <si>
    <t>764774421R00</t>
  </si>
  <si>
    <t>764775307R00</t>
  </si>
  <si>
    <t>764775308R00</t>
  </si>
  <si>
    <t>764775309R00</t>
  </si>
  <si>
    <t>764778108R00</t>
  </si>
  <si>
    <t>764778112R00</t>
  </si>
  <si>
    <t>764778123R00</t>
  </si>
  <si>
    <t>712212R-01</t>
  </si>
  <si>
    <t>673522152</t>
  </si>
  <si>
    <t>764775310R00</t>
  </si>
  <si>
    <t>998764102R00</t>
  </si>
  <si>
    <t>765</t>
  </si>
  <si>
    <t>765311860R00</t>
  </si>
  <si>
    <t>766</t>
  </si>
  <si>
    <t>766660030RA0</t>
  </si>
  <si>
    <t>766660034RA0</t>
  </si>
  <si>
    <t>766660036RA0</t>
  </si>
  <si>
    <t>766660044RA0</t>
  </si>
  <si>
    <t>766699 R-22</t>
  </si>
  <si>
    <t>766622913R00</t>
  </si>
  <si>
    <t>766111110R00</t>
  </si>
  <si>
    <t>7666601R-33</t>
  </si>
  <si>
    <t>766660122R-41</t>
  </si>
  <si>
    <t>766660122RAC</t>
  </si>
  <si>
    <t>766670010RAC</t>
  </si>
  <si>
    <t>998766102R00</t>
  </si>
  <si>
    <t>767</t>
  </si>
  <si>
    <t>767995104R00</t>
  </si>
  <si>
    <t>13487125</t>
  </si>
  <si>
    <t>13487115</t>
  </si>
  <si>
    <t>13487110</t>
  </si>
  <si>
    <t>13482735</t>
  </si>
  <si>
    <t>767995106R00</t>
  </si>
  <si>
    <t>13483315</t>
  </si>
  <si>
    <t>13388435</t>
  </si>
  <si>
    <t>13388440</t>
  </si>
  <si>
    <t>13384340</t>
  </si>
  <si>
    <t>13487120</t>
  </si>
  <si>
    <t>13482715</t>
  </si>
  <si>
    <t>767811120R-38</t>
  </si>
  <si>
    <t>998767102R00</t>
  </si>
  <si>
    <t>771</t>
  </si>
  <si>
    <t>771575024RAI</t>
  </si>
  <si>
    <t>998771102R00</t>
  </si>
  <si>
    <t>776</t>
  </si>
  <si>
    <t>776511820R00</t>
  </si>
  <si>
    <t>781</t>
  </si>
  <si>
    <t>781415016RAB</t>
  </si>
  <si>
    <t>998781102R00</t>
  </si>
  <si>
    <t>783</t>
  </si>
  <si>
    <t>783782303R00</t>
  </si>
  <si>
    <t>784</t>
  </si>
  <si>
    <t>784161101R00</t>
  </si>
  <si>
    <t>784164122R00</t>
  </si>
  <si>
    <t>784402801R00</t>
  </si>
  <si>
    <t>795</t>
  </si>
  <si>
    <t>795 R-25</t>
  </si>
  <si>
    <t>941955202R00</t>
  </si>
  <si>
    <t>941955001R00</t>
  </si>
  <si>
    <t>949941111R00</t>
  </si>
  <si>
    <t>952901111R00</t>
  </si>
  <si>
    <t>953941321R00</t>
  </si>
  <si>
    <t>35441846R-36</t>
  </si>
  <si>
    <t>965200014RA0</t>
  </si>
  <si>
    <t>965042241RT5</t>
  </si>
  <si>
    <t>963051113R00</t>
  </si>
  <si>
    <t>963053937R00</t>
  </si>
  <si>
    <t>962032241R00</t>
  </si>
  <si>
    <t>962031132R00</t>
  </si>
  <si>
    <t>962031133R00</t>
  </si>
  <si>
    <t>967031734R00</t>
  </si>
  <si>
    <t>968061113R00</t>
  </si>
  <si>
    <t>968072455R00</t>
  </si>
  <si>
    <t>968072456R00</t>
  </si>
  <si>
    <t>974031487R00</t>
  </si>
  <si>
    <t>978013161R00</t>
  </si>
  <si>
    <t>971033351R00</t>
  </si>
  <si>
    <t>H01</t>
  </si>
  <si>
    <t>998011003R00</t>
  </si>
  <si>
    <t>M21</t>
  </si>
  <si>
    <t>21001 R 09</t>
  </si>
  <si>
    <t>210020921R-34</t>
  </si>
  <si>
    <t>M33</t>
  </si>
  <si>
    <t>330030118R00</t>
  </si>
  <si>
    <t>330030119R00</t>
  </si>
  <si>
    <t>M46</t>
  </si>
  <si>
    <t>460200112RT2</t>
  </si>
  <si>
    <t>460560112RT1</t>
  </si>
  <si>
    <t>S</t>
  </si>
  <si>
    <t>979082111R00</t>
  </si>
  <si>
    <t>979082121R00</t>
  </si>
  <si>
    <t>979011111R00</t>
  </si>
  <si>
    <t>979083117R00</t>
  </si>
  <si>
    <t>979083191R00</t>
  </si>
  <si>
    <t>979087212R00</t>
  </si>
  <si>
    <t>979990001R00</t>
  </si>
  <si>
    <t>REKONSTRUKCE A MODERNIZACE</t>
  </si>
  <si>
    <t>STRAVOVACÍ PROVOZ A DISTRIBUCE JÍDEL</t>
  </si>
  <si>
    <t>NEMOCNICE VARNSDORF</t>
  </si>
  <si>
    <t>Zkrácený popis</t>
  </si>
  <si>
    <t>Rozměry</t>
  </si>
  <si>
    <t>Hloubené vykopávky</t>
  </si>
  <si>
    <t>Vykopávka v uzavřených prostorách v hor.1-4</t>
  </si>
  <si>
    <t>3,78*2,26*1,82   V1 prohloubení šachty pro dojezd výtahu</t>
  </si>
  <si>
    <t>3,86*2,26*1,82   V2</t>
  </si>
  <si>
    <t>89,20+18,45*0,2   snížení podlah</t>
  </si>
  <si>
    <t>Hloubený výkop pod základy v hor.4</t>
  </si>
  <si>
    <t>3,78*0,65*1,2   V1výtahová šachta</t>
  </si>
  <si>
    <t>2,86*0,6*1,2*2   V1</t>
  </si>
  <si>
    <t>3,78*0,65*1,2   V2</t>
  </si>
  <si>
    <t>2,86*0,65*1,2   V2</t>
  </si>
  <si>
    <t>6,03*0,75*0,8*2   místnost 0.08</t>
  </si>
  <si>
    <t>5,2*0,45*0,8   0.08</t>
  </si>
  <si>
    <t>6,81*0,75*0,8   místnost 0.20</t>
  </si>
  <si>
    <t>5,2*0,3*0,8   0.020</t>
  </si>
  <si>
    <t>Přemístění výkopku</t>
  </si>
  <si>
    <t>Svislé přemístění výkopku z hor.1-4 do 2,5 m</t>
  </si>
  <si>
    <t>31,424+26,688</t>
  </si>
  <si>
    <t>Vodorovné přemíst.výkopku, kolečko hor.1-4, do 10m</t>
  </si>
  <si>
    <t>43,67   šachty výtahy</t>
  </si>
  <si>
    <t>7,236+1,872   0.08</t>
  </si>
  <si>
    <t>4,086+1,248   0.20</t>
  </si>
  <si>
    <t>92,89   snížení podlah</t>
  </si>
  <si>
    <t>Příplatek za dalš.10 m, kolečko, výkop. z hor.1- 4</t>
  </si>
  <si>
    <t>9,108   0.08</t>
  </si>
  <si>
    <t>5,334   0.20</t>
  </si>
  <si>
    <t>Vodorovné přemístění výkopku z hor.1-4 do 10000 m</t>
  </si>
  <si>
    <t>Příplatek k vod. přemístění hor.1-4 za další 1 km</t>
  </si>
  <si>
    <t>151,002*32   šachty výtahy-skládka Volfartice</t>
  </si>
  <si>
    <t>Nakládání výkopku z hor.1-4 v množství do 100 m3</t>
  </si>
  <si>
    <t>Hloubení pro podzemní stěny, ražení a hloubení důlní</t>
  </si>
  <si>
    <t>Poplatek za skládku horniny 1- 4 skládka Volfartice</t>
  </si>
  <si>
    <t>8,108   0.08</t>
  </si>
  <si>
    <t>Piloty</t>
  </si>
  <si>
    <t>Trubkové mikropiloty z oc.11 523, hladké D 105 mm</t>
  </si>
  <si>
    <t>9*6   úprava u výdejního okna</t>
  </si>
  <si>
    <t>Základy</t>
  </si>
  <si>
    <t>Postupné podbetonování zákl. zdiva  C 20/25 včetně výztuže dle PD</t>
  </si>
  <si>
    <t>7,066   šachta výtahu V1</t>
  </si>
  <si>
    <t>7,124   šachta výtahu V2</t>
  </si>
  <si>
    <t>Polštář základu z kameniva hr. drceného 16-32 mm</t>
  </si>
  <si>
    <t>3,8*2,2*0,15   P3 šachta V1</t>
  </si>
  <si>
    <t>3,8*2,2*0,15   V2</t>
  </si>
  <si>
    <t>Beton základ. desek prostý z cem. portlad. C 25/30</t>
  </si>
  <si>
    <t>3,8*2,2*0,2   P3 s přísadou SIKATONU-dle PD šachta výtahu V1</t>
  </si>
  <si>
    <t>3,8*2,2*0,2   V2</t>
  </si>
  <si>
    <t>Výztuž základových desek ze svařovaných sítí 10x100x100</t>
  </si>
  <si>
    <t>3,8*2,2*2*0,008   šachta-P3 při obu površích V1</t>
  </si>
  <si>
    <t>3,8*2,2*2*0,008   V2</t>
  </si>
  <si>
    <t>Zdivo základové z bednicích tvárnic, tl. 15 cm</t>
  </si>
  <si>
    <t>(2,2+2,2+3,8)*1,7   V 1 šachta výtahu-dojezd,včetně betonu,armatůry</t>
  </si>
  <si>
    <t>13,94   V2</t>
  </si>
  <si>
    <t>Zdivo základové z bednicích tvárnic, tl. 30 cm</t>
  </si>
  <si>
    <t>3,8*1,7   V1 dojezd výtahové šachty,včetně betonu a armatůry</t>
  </si>
  <si>
    <t>6,46   V2</t>
  </si>
  <si>
    <t>Zdivo základové z bednicích tvárnic, tl. 50 cm</t>
  </si>
  <si>
    <t>3,05*4*2,5   pro vstupní schodiště</t>
  </si>
  <si>
    <t>14,69*2</t>
  </si>
  <si>
    <t>Zdivo základové z bednicích tvárnic, tl. 80 cm-hlavní schodiště</t>
  </si>
  <si>
    <t>3,05*2,5*2   boční stěny pro vstupní schodiště</t>
  </si>
  <si>
    <t>Zdi podpěrné a volné</t>
  </si>
  <si>
    <t>Zdivo nosné cihelné z CP 29 P25 na MC 10</t>
  </si>
  <si>
    <t>(3,96+0,75)*3,82*0,3   V1 1.N.P.</t>
  </si>
  <si>
    <t>1,2*2,25*0,5   V1 3.N.P.</t>
  </si>
  <si>
    <t>Stěna z tvárnic ztraceného bednění, tl. 20 cm</t>
  </si>
  <si>
    <t>(1,86+1,86+3,15+3,15)*4,6   V1nadezděná výtahová šachta v podkroví-4.n.p.</t>
  </si>
  <si>
    <t>46,092   V2</t>
  </si>
  <si>
    <t>Zdivo nosné cihelné z CP 29 P15 na MC 15</t>
  </si>
  <si>
    <t>0,75*3,31*3,2   vyzdívka mezi pilíře-hlavní schodiště-nosná stěna</t>
  </si>
  <si>
    <t>0,7*3,1*3,2</t>
  </si>
  <si>
    <t>0,65*3,19*3,2</t>
  </si>
  <si>
    <t>Zdivo nosné cihelné z CP 25 P15 na MVC 2,5</t>
  </si>
  <si>
    <t>1*2,1*0,7</t>
  </si>
  <si>
    <t>1*2,4*0,25</t>
  </si>
  <si>
    <t>1,1*2,2*0,5*5</t>
  </si>
  <si>
    <t>Uložení tvárnic ztraceného bednění, tl. 20 cm</t>
  </si>
  <si>
    <t>0,8*3,71*2   výdejní okno ostěná</t>
  </si>
  <si>
    <t>Vyzdívka mezi nosníky cihlami pálenými na MC</t>
  </si>
  <si>
    <t>6,128</t>
  </si>
  <si>
    <t>Stavební výpomoce pro řemesla</t>
  </si>
  <si>
    <t>1   průrazy,rýhy,začištění předpoklad</t>
  </si>
  <si>
    <t>1   výpomoce pro VZT-otvory,začištění dle PD</t>
  </si>
  <si>
    <t>Stěny a příčky</t>
  </si>
  <si>
    <t>Příčky z cihel plných CP29  tl. 140 mm</t>
  </si>
  <si>
    <t>1,86*3,215*2   1.N.P. šachty výtahů</t>
  </si>
  <si>
    <t>1,86*3,2*2   2.N.P. šachty výtahů</t>
  </si>
  <si>
    <t>1,86*3,28*2   3.N.P  šachty výtahů</t>
  </si>
  <si>
    <t>1,86*4,6*2   4.N.P.  šachty výtahů</t>
  </si>
  <si>
    <t>3,125*4,6*2   4.N.P.  šachty výtahů</t>
  </si>
  <si>
    <t>Příčky POROTHERM 11,5 P+D na MVC 5, tl. 115 mm</t>
  </si>
  <si>
    <t>(5,4+3,15+1,5*3)*2,88   0.25</t>
  </si>
  <si>
    <t>(5,4+4+2,63+0,65)*2,88   0.23</t>
  </si>
  <si>
    <t>(3,64+2,93+2,34+1,94)*2,88   0.20 0.19</t>
  </si>
  <si>
    <t>(1,48+1,48+6)+2,88   0.17 0.16 0.18</t>
  </si>
  <si>
    <t>(5+3,805)*2,88   0.14 0.15</t>
  </si>
  <si>
    <t>Příčka SDK tl.100 mm,ocel.kce,1x oplášť.,RF 12,5mm</t>
  </si>
  <si>
    <t>(3,1+2,27)*3,3   0.12</t>
  </si>
  <si>
    <t>Přizdívka ostění s ozubem z cihel, kapsy do 15 cm</t>
  </si>
  <si>
    <t>2,2*8</t>
  </si>
  <si>
    <t>Přizdívka izolační z cihel plných, tloušťka 14 cm</t>
  </si>
  <si>
    <t>36,3   stěna schodiště</t>
  </si>
  <si>
    <t>Obklad vzduchotechnického potrubí SDK 2x deska Knauf RED 12,5mm</t>
  </si>
  <si>
    <t>60   v prostoru půdy</t>
  </si>
  <si>
    <t>25   místnost 0.07</t>
  </si>
  <si>
    <t>25   chodba u výtahu 0.06</t>
  </si>
  <si>
    <t>Požární obklad odvětrávacího potrubí z výtahových šachat</t>
  </si>
  <si>
    <t>30   protipožární obklad 2x deska Rigips RF+VZT nerezpotrubí</t>
  </si>
  <si>
    <t xml:space="preserve">   250x250mm délky 30m(potrubí vedeno v podhledu 1.PP)</t>
  </si>
  <si>
    <t>Stropy a stropní konstrukce (pro pozemní stavby)</t>
  </si>
  <si>
    <t>Ztužující věnec ŽB beton C 25/30, 30 x 20 cm</t>
  </si>
  <si>
    <t>(1,86+1,86+4+4)*2   doupravení ve 4.podlaží pro nadezdění výtahové šachty</t>
  </si>
  <si>
    <t>Dodatečné osazení válcovaných nosníků</t>
  </si>
  <si>
    <t>(4*3)*2   nade dveře výtahové šachty</t>
  </si>
  <si>
    <t>(4*1,9)*2</t>
  </si>
  <si>
    <t>(4*1,8)*5   překlady dveří</t>
  </si>
  <si>
    <t>(2*1,8)*2</t>
  </si>
  <si>
    <t>3*1,8</t>
  </si>
  <si>
    <t>4*5,5   0.08</t>
  </si>
  <si>
    <t>4*2,1   0.04</t>
  </si>
  <si>
    <t>Stropy deskové ze železobetonu pohledového C 20/25</t>
  </si>
  <si>
    <t>(4,2*2,2*0,15)*2   šachty výtahů</t>
  </si>
  <si>
    <t>Bednění stropů deskových, bednění vlastní -zřízení</t>
  </si>
  <si>
    <t>(4*2)*2   šachty výtahů</t>
  </si>
  <si>
    <t>Bednění stropů deskových, vlastní - odstranění</t>
  </si>
  <si>
    <t>Výztuž stropů svařovanou sítí</t>
  </si>
  <si>
    <t>(4*2*2*0,0048)*2   šachty výtahů</t>
  </si>
  <si>
    <t>Podhledy SDK, Rigips Glasroc H  12,5 mm</t>
  </si>
  <si>
    <t>40,50   0.03dle PD P10</t>
  </si>
  <si>
    <t>6,7   0.12</t>
  </si>
  <si>
    <t>Podhledy SDK, kovová kce.HUT 2x deska protipožární 12,5 mm</t>
  </si>
  <si>
    <t>16,40   0.06</t>
  </si>
  <si>
    <t>13,80   0.07</t>
  </si>
  <si>
    <t>18,70   0.13</t>
  </si>
  <si>
    <t>Kazetový podhled Rigips bez izolace dle PD</t>
  </si>
  <si>
    <t>82,60   0.01</t>
  </si>
  <si>
    <t>44,90   0.11</t>
  </si>
  <si>
    <t>23,70   0.27</t>
  </si>
  <si>
    <t>Podhledy SDK, kovová kce.HUT, 1x deska RB 12,5 mm</t>
  </si>
  <si>
    <t>65,20   0.56</t>
  </si>
  <si>
    <t>Schodiště</t>
  </si>
  <si>
    <t>Osazení stupňů kamenných na desku, stávající materiál</t>
  </si>
  <si>
    <t>12*14,69   vstupní schodiště</t>
  </si>
  <si>
    <t>Úprava povrchů vnitřní</t>
  </si>
  <si>
    <t>Oprava vápen.omítek stěn do 50 % pl. - štukových</t>
  </si>
  <si>
    <t>(4*14,5+4*4+4*7,5)*2   stávající v šachtě výtahů</t>
  </si>
  <si>
    <t>(1,86*15,5)*2</t>
  </si>
  <si>
    <t>510*1,8   stávající stěna nad sanací</t>
  </si>
  <si>
    <t>Omítka vnitřní zdiva, MVC, štuková</t>
  </si>
  <si>
    <t>(46,092+40,963+13,94+6,46+22,49)*2   šachty výtahů</t>
  </si>
  <si>
    <t>142,548*2   nové stěny-příčky</t>
  </si>
  <si>
    <t>Omítka vnitřní zdiva, MVC, hladká</t>
  </si>
  <si>
    <t>46,092*2   výtahy-vyrovnávací pod zateplovací systém 4.n.p.</t>
  </si>
  <si>
    <t>Začištění omítek kolem oken,dveří apod.</t>
  </si>
  <si>
    <t>216,20</t>
  </si>
  <si>
    <t>Dokončovací stavební práce-začištění st.otvory</t>
  </si>
  <si>
    <t>Omítka malých ploch vnitřních stěn do 0,25 m2</t>
  </si>
  <si>
    <t>Omítka malých ploch vnitřních stěn do 1 m2</t>
  </si>
  <si>
    <t xml:space="preserve"> zahlazení povrchu stávající provětrávací dutiny</t>
  </si>
  <si>
    <t>Potažení podhledů štukem s penetrací-stávající stropy tl. 2 mm</t>
  </si>
  <si>
    <t>30,28+12,80+6,70+3,20+21,90+2,4+5,6+14,20+12,20+6,90</t>
  </si>
  <si>
    <t>10,50+3,90+16,80+4,20</t>
  </si>
  <si>
    <t>Úprava povrchů zdiva</t>
  </si>
  <si>
    <t>Sanace zdiva dle rozpisu.</t>
  </si>
  <si>
    <t>Zateplovací systém Baumit, sokl, EPS tl. 140 mm</t>
  </si>
  <si>
    <t>(4+4+2,1+2,1)*4,8   šachty výtahů v podkroví</t>
  </si>
  <si>
    <t>58,56   skladba číslo 14 miner.izplace</t>
  </si>
  <si>
    <t>Podlahy a podlahové konstrukce</t>
  </si>
  <si>
    <t>Mazanina betonová tl. 12 - 24 cm C 20/25</t>
  </si>
  <si>
    <t>(3,8*2,2*0,1)*2   P3 šachty výtahu</t>
  </si>
  <si>
    <t>Výztuž mazanin svařovanou sítí 10x100x100</t>
  </si>
  <si>
    <t>(3,8*2,2*0,008)*2   šachty výtahu</t>
  </si>
  <si>
    <t>Mazanina z betonu C 16/20, tloušťka 10 cmSIKATON skladba P1  dle PD</t>
  </si>
  <si>
    <t>479,45   P1</t>
  </si>
  <si>
    <t>Mazanina se sítí, izolace, beton C16/20, tl. 8 cm</t>
  </si>
  <si>
    <t>479,45   skladba P1,dle PD</t>
  </si>
  <si>
    <t>Mazanina betonová tl. 8 - 12 cm C 20/25</t>
  </si>
  <si>
    <t>479,45*0,12   krystalizační přísada SIKATN řeší sanace</t>
  </si>
  <si>
    <t>Výztuž mazanin svařovanou sítí</t>
  </si>
  <si>
    <t>479,45*2*0,004   P1</t>
  </si>
  <si>
    <t>Podlahová konstrukce dle PD P10</t>
  </si>
  <si>
    <t>40,50   kompletní skladba na trapézovám plechu-P10</t>
  </si>
  <si>
    <t>Štěrkový podsyp frakce 16-32</t>
  </si>
  <si>
    <t>479,45*0,1   P1</t>
  </si>
  <si>
    <t>Beton schodišťových konstrukcí -rampa C 16/20</t>
  </si>
  <si>
    <t>3,5   chodba 01</t>
  </si>
  <si>
    <t>Výztuž schodišťových konstrukcí-rampa svařovanou sítí</t>
  </si>
  <si>
    <t>6,5*0,004</t>
  </si>
  <si>
    <t>Bednění rampy- zřízení</t>
  </si>
  <si>
    <t>2,10</t>
  </si>
  <si>
    <t>Bednění rampy přímočar.odstranění</t>
  </si>
  <si>
    <t>2,1</t>
  </si>
  <si>
    <t>Montáž a dodávka nerezové madlo-rampa</t>
  </si>
  <si>
    <t>6,5</t>
  </si>
  <si>
    <t>Montáž a dodávka nerezové zábradlí -rampa</t>
  </si>
  <si>
    <t>Dlažba do tmele  30 x 30 cm protiskluzná-rampa včetně dodávky a lišt</t>
  </si>
  <si>
    <t>Izolace proti vodě</t>
  </si>
  <si>
    <t>Hydroizolační povlak - nátěr nebo stěrka</t>
  </si>
  <si>
    <t>(4,5*2,9)*2   Bitumenová modifikovaná stěrka P3 šachtyvýtahů+penetrace,pásky,dle PD</t>
  </si>
  <si>
    <t>Izolace proti zem.vlhkosti fólií,ochr.text.,vodor.</t>
  </si>
  <si>
    <t>461,58   BOTACT  skladba P1 dle PD</t>
  </si>
  <si>
    <t>Izolace proti vodě vodorovná přitavená, 1x</t>
  </si>
  <si>
    <t>9,51   ALP,NA,elastodek 50 stěna schodiště</t>
  </si>
  <si>
    <t>Izolace proti vodě svislá přitavená, 1x</t>
  </si>
  <si>
    <t>36,3   ALP,NA,elastodek 50,stěna schodiště</t>
  </si>
  <si>
    <t>Přesun hmot pro izolace proti vodě, výšky do 12 m</t>
  </si>
  <si>
    <t>1,427</t>
  </si>
  <si>
    <t>Izolace tepelné</t>
  </si>
  <si>
    <t>Izolace tepelné stropů vrchem kladené volně</t>
  </si>
  <si>
    <t>(4,2*2,2)*2   strop šachet výtahů včetně materiálů tl.2x80mm</t>
  </si>
  <si>
    <t>Izolace tepelná podlah na sucho, jednovrstvá</t>
  </si>
  <si>
    <t>461,58   včetně materiálů-EPS 200 stabil tl.120</t>
  </si>
  <si>
    <t>Izolace tepelná stěn lepením extrudovaný  polystyren tl.50mm</t>
  </si>
  <si>
    <t>140*0,5   detail i soklu,polystyren přijde z intererové strany</t>
  </si>
  <si>
    <t>Přesun hmot pro izolace tepelné, výšky do 12 m</t>
  </si>
  <si>
    <t>0,326</t>
  </si>
  <si>
    <t>Vnitřní kanalizace</t>
  </si>
  <si>
    <t>Potrubí proti hlukové odpadní svislé D 110 x 3,2 mm</t>
  </si>
  <si>
    <t>4*3</t>
  </si>
  <si>
    <t>Potrubí proti hlukové svodné (ležaté) v zemi D 110 x 3,2 mm</t>
  </si>
  <si>
    <t>5,2+5,25+3,2+3+4+2+3</t>
  </si>
  <si>
    <t>5,2+3+5+5+7,5+3,5+2+2+3   tuková kanalizace</t>
  </si>
  <si>
    <t>Potrubí proti hlukové svodné (ležaté) v zemi D 125 x 3,2 mm</t>
  </si>
  <si>
    <t>3+2+2+4+5+3+7,5+4,5+4,5</t>
  </si>
  <si>
    <t>2+3   tuková kanalizace</t>
  </si>
  <si>
    <t>Potrubí proti hlukové svodné (ležaté) v zemi D 160 x 4,0 mm</t>
  </si>
  <si>
    <t>6,7+2,7+5+5,25+3+7,5+3,2+7,2+3+2</t>
  </si>
  <si>
    <t>11,25+10+7,5+12   tuková kanalizace</t>
  </si>
  <si>
    <t>Potrubí proti hlukové svodné (ležaté) v zemi D 200 x 4,9 mm</t>
  </si>
  <si>
    <t>12,37</t>
  </si>
  <si>
    <t>30   tuková kanalizace</t>
  </si>
  <si>
    <t>Potrubí proti hlukové svodné (ležaté) v zemi DN 250 x 6,2 mm</t>
  </si>
  <si>
    <t>9,7+7,5+4,5+5+7,5</t>
  </si>
  <si>
    <t>Vpusť podlahová Geberit Varino D 110 mm</t>
  </si>
  <si>
    <t>4   nerez</t>
  </si>
  <si>
    <t>Zkouška těsnosti kanalizace vodou DN 125</t>
  </si>
  <si>
    <t>12+25,65+35,5+12+12+21</t>
  </si>
  <si>
    <t>36,2+5</t>
  </si>
  <si>
    <t>Zkouška těsnosti kanalizace vodou DN 200</t>
  </si>
  <si>
    <t>45,55+12,37</t>
  </si>
  <si>
    <t>40,75+30</t>
  </si>
  <si>
    <t>Zkouška těsnosti kanalizace vodou DN 300</t>
  </si>
  <si>
    <t>34,2+30</t>
  </si>
  <si>
    <t>Potrubí Geberit silent PP připojovací, proti hlukové D 50 x 3,0 mm vč.zednických výpomocí</t>
  </si>
  <si>
    <t>Potrubí Geberit silent PP připojovací,protihlukové D 63 x 3,0 mm vč.zednických výpomocí</t>
  </si>
  <si>
    <t>Potrubí Geberit silent PP připojovací,protihlukové D 75 x 3,0 mm vč.zednických výpomocí</t>
  </si>
  <si>
    <t>Montáž trub z plastu, gumový kroužek, DN 300,včetně potrubí</t>
  </si>
  <si>
    <t>Drenáž pod podlahou DN 100</t>
  </si>
  <si>
    <t>16,5</t>
  </si>
  <si>
    <t>Oprava šachty u výdejního okna</t>
  </si>
  <si>
    <t>1   plynotěsný poklop 1000x1000 pro osazení keramickou dlažbou</t>
  </si>
  <si>
    <t>Šachty stahující dešťové a drenážní vody</t>
  </si>
  <si>
    <t>1   rekonstruována,krycí pororošt s osazením 1200x1300</t>
  </si>
  <si>
    <t>Osazení plastové šachty z dílů prům.600 mm, s dodávkou</t>
  </si>
  <si>
    <t>6   včetně plynotěsného poklopu(3610),pro osazení keramickou dlažbou</t>
  </si>
  <si>
    <t>Pročištění ležatých svodů dešťová a splašková kanalizace</t>
  </si>
  <si>
    <t>Závěrečná kamerová zkouška</t>
  </si>
  <si>
    <t>Potrubí HT odpadní svislé D 110 x 2,7 mm</t>
  </si>
  <si>
    <t>7*20   odvětrání v rámci sanací ,včetně dážky a začištění</t>
  </si>
  <si>
    <t>Souprava ventilační střešní HL</t>
  </si>
  <si>
    <t>Šachta tegra 1000</t>
  </si>
  <si>
    <t>1   plynotěsný poklop-místnost pod schody-dešťové a drenážní vody</t>
  </si>
  <si>
    <t>Přesun hmot pro vnitřní kanalizaci, výšky do 12 m</t>
  </si>
  <si>
    <t>9,965</t>
  </si>
  <si>
    <t>Vnitřní vodovod</t>
  </si>
  <si>
    <t>Potrubí z PPR, teplá, D 32x5,4 mm, vč. zed. výpom.</t>
  </si>
  <si>
    <t>9,75+8,93+19,5+10,5+4,13</t>
  </si>
  <si>
    <t>Potrubí z PPR, teplá, D 25x4,2 mm, vč. zed. výpom.</t>
  </si>
  <si>
    <t>4,73+7,13+4,5+6,38+5,25</t>
  </si>
  <si>
    <t>6,38+4+2+4+2+3+4,13+3+7,13+4,5+5</t>
  </si>
  <si>
    <t>Potrubí z PPR, studená, D 25x3,5 mm, vč.zed.výpom.</t>
  </si>
  <si>
    <t>73,13</t>
  </si>
  <si>
    <t>12,4</t>
  </si>
  <si>
    <t>Potrubí z PPR, studená, D 32x4,4 mm, vč.zed.výpom.</t>
  </si>
  <si>
    <t>58,81</t>
  </si>
  <si>
    <t>Potrubí z PPR, cirkulace, D 25x3,5 mm, vč.zed.výpom.</t>
  </si>
  <si>
    <t>Potrubí z PPR, cirkulace, D 32x4,4 mm, vč.zed.výpom.</t>
  </si>
  <si>
    <t>Izolace návleková MIRELON STABIL tl. stěny 9 mm</t>
  </si>
  <si>
    <t>73,13+85,53+27,99   trubice, spony,pásky</t>
  </si>
  <si>
    <t>58,81+58,81+58,81   trubice ,spony,pásky</t>
  </si>
  <si>
    <t>Armatůry,nástěnky pomocný materiál</t>
  </si>
  <si>
    <t>1   dle PD -ZTI půdorys 1.p.p. rozvody vodovodu</t>
  </si>
  <si>
    <t>Tlaková zkouška vodovodního potrubí DN 32</t>
  </si>
  <si>
    <t>186,65+176,43</t>
  </si>
  <si>
    <t>Proplach a dezinfekce vodovod.potrubí DN 80</t>
  </si>
  <si>
    <t>363,08</t>
  </si>
  <si>
    <t>Potrubí z PPR, D 32 x 4,4 mm, PN 16, vč.zed.výpom.</t>
  </si>
  <si>
    <t>90   protipožární voda 1.p.p.včetně zasekání a začištění drážek</t>
  </si>
  <si>
    <t>450   protipožární voda 1.-3.n.p. včetně vysekání a začištění drážek</t>
  </si>
  <si>
    <t>0   včetně propojení na stávající rozvody</t>
  </si>
  <si>
    <t>Přesun hmot pro vnitřní vodovod, výšky do 12 m</t>
  </si>
  <si>
    <t>2,335</t>
  </si>
  <si>
    <t>Vnitřní plynovod</t>
  </si>
  <si>
    <t>Plynovod dle soupisu</t>
  </si>
  <si>
    <t>1   dle přiloženého soupisu</t>
  </si>
  <si>
    <t>Strojní vybavení</t>
  </si>
  <si>
    <t>Čerpadlo vodovodní cirkulační nateplou vodu+montáže +připojovací sada</t>
  </si>
  <si>
    <t>1   WILO STRATOS PICO</t>
  </si>
  <si>
    <t>Zařizovací předměty</t>
  </si>
  <si>
    <t>Klozet závěsný OLYMP ZTP + sedátko, bílý</t>
  </si>
  <si>
    <t>Umyvadlo na šrouby OLYMP Deep 50 x 41 cm, bílé</t>
  </si>
  <si>
    <t>Výlevka č.5104.6 MIRA</t>
  </si>
  <si>
    <t>Baterie umyvadlová stoján. ruční, vč. otvír.odpadu</t>
  </si>
  <si>
    <t>Ventil výtokový k výlevce</t>
  </si>
  <si>
    <t>Modul-WC Kombifix ovl.zepředu, odsá,UP320,h=108 cm</t>
  </si>
  <si>
    <t>Hydrantový systém s hadicí D19/20 nerez,plné dveře</t>
  </si>
  <si>
    <t>10   v 1.-3.np budou osazeny nové hydranty D s hadicí DN 19mm délky 20m</t>
  </si>
  <si>
    <t>0   včetně proudnice</t>
  </si>
  <si>
    <t>Hydrantový systém s hadicí D25/30 nerez,plné dveře</t>
  </si>
  <si>
    <t>3   v 1.pp budou osazeny nové hydranty D s hadicí DN25mm délky 20m a proudnicí</t>
  </si>
  <si>
    <t>Výzbroj skříně   A 19/30</t>
  </si>
  <si>
    <t>Výzbroj skříně   A 25/20</t>
  </si>
  <si>
    <t>Ohřívač elek. zásob. závěsný DZ Dražice OKCE 200</t>
  </si>
  <si>
    <t>1   komlet s osazením,připojovací sada,kotvení ,propojení elektro</t>
  </si>
  <si>
    <t>Přesun hmot pro zařizovací předměty, výšky do 12 m</t>
  </si>
  <si>
    <t>0,649</t>
  </si>
  <si>
    <t>Vzduchotechnika</t>
  </si>
  <si>
    <t>Montáž protidešť. žaluzie čtyřhranné do 0,6 m2</t>
  </si>
  <si>
    <t>2   včetně dodávky,odvětrání výtahové šachty</t>
  </si>
  <si>
    <t>Vzduchotechnická zařízení</t>
  </si>
  <si>
    <t>1   dle rozpisu a PD</t>
  </si>
  <si>
    <t>Protidešťová žaluzie s povrchovou úpravou</t>
  </si>
  <si>
    <t>4   2ks v1,p.p. a 2kusy v krovech</t>
  </si>
  <si>
    <t>Kotelny</t>
  </si>
  <si>
    <t>Ústřední vytápění dle rozpisu</t>
  </si>
  <si>
    <t>1   dle soupisu</t>
  </si>
  <si>
    <t>Konstrukce tesařské-střecha nad výtahy</t>
  </si>
  <si>
    <t>Montáž kontralatí přibitím</t>
  </si>
  <si>
    <t>65   včetně latí 6x4</t>
  </si>
  <si>
    <t>Vyřezání části střešní vazby do 288 cm2,</t>
  </si>
  <si>
    <t>4,5*2+4,25*2+4,10*2+4*2+3,67*5   krokve</t>
  </si>
  <si>
    <t>9*14   kleštiny pro zpětné použití</t>
  </si>
  <si>
    <t>2*3,6   sloupky</t>
  </si>
  <si>
    <t>Vyřezání části střešní vazby nad 450 cm2,do dl.3 m</t>
  </si>
  <si>
    <t>4,7*2   zkrácení vazných trámů</t>
  </si>
  <si>
    <t>Vyřezání části střešní vazby do 288 cm2,do dl.5 m</t>
  </si>
  <si>
    <t>Demontáž laťování střech, rozteč latí do 22 cm</t>
  </si>
  <si>
    <t>M.vázan.krovů pravidelných do 450cm2 ocel.spojkami</t>
  </si>
  <si>
    <t>4,5*2   J vaznice 160/220    0,29m3</t>
  </si>
  <si>
    <t>4*2   K sloupek 160/160    0,20 m3</t>
  </si>
  <si>
    <t>9,5   L  zesílení vaznice 160/200   0,3 m3</t>
  </si>
  <si>
    <t>5*4   M zesílení nárožní krokve 160/200 0,64 m3</t>
  </si>
  <si>
    <t>15*4,6   N krokve 140/180 1,74</t>
  </si>
  <si>
    <t>13*8   zpětná montáž zkrácených kleštin</t>
  </si>
  <si>
    <t>Hranol SM/JD 1  délka 300-600 cm</t>
  </si>
  <si>
    <t>3,17</t>
  </si>
  <si>
    <t>;ztratné 18%; 0,5706</t>
  </si>
  <si>
    <t>Spojovací a ochranné prostředky pro střechy</t>
  </si>
  <si>
    <t>Zavěšení konstrukcí,statické zajištění krovu</t>
  </si>
  <si>
    <t>1   při zachování funkčnosti jednoho výtahu,nutné statické podchycení</t>
  </si>
  <si>
    <t>0   a úpravy krovu</t>
  </si>
  <si>
    <t>Přesun hmot pro tesařské konstrukce, výšky do 12 m</t>
  </si>
  <si>
    <t>6,392+1,270   +střecha výtahu</t>
  </si>
  <si>
    <t>Střecha výtahu</t>
  </si>
  <si>
    <t>Bednění střech z desek nad tl.18 mm,na sraz,šroub.</t>
  </si>
  <si>
    <t>65   střecha nad výtahy</t>
  </si>
  <si>
    <t>Deska dřevoštěpková OSB 3 B - 4PD tl. 22 mm</t>
  </si>
  <si>
    <t>;ztratné 8%; 5,2</t>
  </si>
  <si>
    <t>Stěna z prefabrik. dílce, vč. výroby, tl. 120 mm</t>
  </si>
  <si>
    <t>5,5*1,25   panel použitý jako stěna mezi výtahovými šachtami</t>
  </si>
  <si>
    <t xml:space="preserve">   osazený na vaznici-panel K-Kontrol</t>
  </si>
  <si>
    <t>Konstrukce klempířské</t>
  </si>
  <si>
    <t>Falc.krytina PREFALZ,v.8 m, svitky,š.650 mm,do 30°</t>
  </si>
  <si>
    <t>PREFA ochranná mřížka proti ptákům, šířka 125 mm</t>
  </si>
  <si>
    <t>14,71</t>
  </si>
  <si>
    <t>PREFA okapový plech, šířka 230 mm</t>
  </si>
  <si>
    <t>PREFA STUCCO zavětrovací lišta</t>
  </si>
  <si>
    <t>2*3,67</t>
  </si>
  <si>
    <t>PREFA, kotlík žlabový kulatý, žlab 400 mm, D 120mm</t>
  </si>
  <si>
    <t>PREFA žlab podokapní půlkruhový, RŠ 280 mm</t>
  </si>
  <si>
    <t>14,75   včetně háků</t>
  </si>
  <si>
    <t>PREFA odpadní trouby kruhové, D 120 mm</t>
  </si>
  <si>
    <t>2   včetně objímek a kolen</t>
  </si>
  <si>
    <t>Podkladní pás z textilie Mokrutex pod falcovanou krytinu</t>
  </si>
  <si>
    <t>65   včetně montáže</t>
  </si>
  <si>
    <t>Fólie DÖRKEN - DELTA MAXX PLUS termomebrána</t>
  </si>
  <si>
    <t>;ztratné 15%; 9,75</t>
  </si>
  <si>
    <t>PREFA úprava u výtahové šachty-lem zdí</t>
  </si>
  <si>
    <t>Přesun hmot pro klempířské konstr., výšky do 12 m</t>
  </si>
  <si>
    <t>1,027</t>
  </si>
  <si>
    <t>Krytina tvrdá</t>
  </si>
  <si>
    <t>Demontáž krytiny bobrovky, zvětralá malta, do suti</t>
  </si>
  <si>
    <t>65   střecha výtahy</t>
  </si>
  <si>
    <t>Konstrukce truhlářské</t>
  </si>
  <si>
    <t>Montáž dveří a obložkové zárubně šířky 60 cm</t>
  </si>
  <si>
    <t>1   s úpravou do vlhka (SAPELI),včetně dodávky</t>
  </si>
  <si>
    <t>Montáž dveří a obložkové zárubně šířky 80 cm</t>
  </si>
  <si>
    <t>2   s úpravou do vlhka (SAPELI),včetně dodávky</t>
  </si>
  <si>
    <t>Montáž dveří a obložkové zárubně šířky 90 cm</t>
  </si>
  <si>
    <t>16   s úpravou do vlhka(SAPELI)s dodávkou</t>
  </si>
  <si>
    <t>Montáž dveří a obložkové zárubně šířky 60,posuvné s pouzdrem JAP</t>
  </si>
  <si>
    <t>2   s úpravou do vlhka (SAPELI)včetně dodávky</t>
  </si>
  <si>
    <t>Dubová rohož 200x200</t>
  </si>
  <si>
    <t>Oprava oken dvojit. bez deštění, pro nasávací a výdechové výustky VZT</t>
  </si>
  <si>
    <t>Stěny nekomplet. plné hladké, dřevotř, oddělující provoz a rekonstrukci</t>
  </si>
  <si>
    <t>10   předpoklad-folie a dřevotřísky  na dř,kostře</t>
  </si>
  <si>
    <t xml:space="preserve">   dočasné oddělení stavby od provozu nemocnice</t>
  </si>
  <si>
    <t xml:space="preserve">   ve všech patrech</t>
  </si>
  <si>
    <t>Dveře protipožární dvoukřídlové 2000x2650+650</t>
  </si>
  <si>
    <t>1   06 s nadsvětlíkem  dle PD  B</t>
  </si>
  <si>
    <t>Dveře protipožární dvoukřídlové šířky 1800x2450x480</t>
  </si>
  <si>
    <t>1   07 s nadsvětlíkem dle PD</t>
  </si>
  <si>
    <t>Dveře dvoukřídlové s nadsvětlíkem 2000x2650</t>
  </si>
  <si>
    <t>1   05 vnitřní hliníkové,voděodolné,rámová zárubeň,osazení s dodávkou</t>
  </si>
  <si>
    <t>výdejní okno 2000x2650 manuální AL roletou</t>
  </si>
  <si>
    <t>1   05 dle PD</t>
  </si>
  <si>
    <t>Přesun hmot pro truhlářské konstr., výšky do 12 m</t>
  </si>
  <si>
    <t>0,168</t>
  </si>
  <si>
    <t>Konstrukce doplňkové stavební (zámečnické)</t>
  </si>
  <si>
    <t>Výroba a montáž kov. atypických konstr. výdejní okno</t>
  </si>
  <si>
    <t>269+194+410+970   úprava výdejní části,-výdejní okno</t>
  </si>
  <si>
    <t>Tyč průřezu HEB 240, hrubé, jakost oceli S235</t>
  </si>
  <si>
    <t>1,5*2*0,0832</t>
  </si>
  <si>
    <t>;ztratné 8%; 0,019968</t>
  </si>
  <si>
    <t>Tyč průřezu HEB 200, hrubé, jakost oceli S235</t>
  </si>
  <si>
    <t>1,47*2*0,0613   61,3</t>
  </si>
  <si>
    <t>;ztratné 8%; 0,0144176</t>
  </si>
  <si>
    <t>Tyč průřezu HEB 180, hrubé, jakost oceli S235</t>
  </si>
  <si>
    <t>3,71*2*0,0512   51,2</t>
  </si>
  <si>
    <t>;ztratné 8%; 0,030392</t>
  </si>
  <si>
    <t>Tyč průřezu IPE 300, hrubé, jakost oceli S235</t>
  </si>
  <si>
    <t>7,1*3*0,0422   42,20</t>
  </si>
  <si>
    <t>;ztratné 8%; 0,0719088</t>
  </si>
  <si>
    <t>Výroba a montáž kov. atypických konstr.-krov</t>
  </si>
  <si>
    <t>1524+726+920+248+413+137   podchycení a zesílení krovu nad výtahy,včetně auto  jeřábu</t>
  </si>
  <si>
    <t>0   včetně vrutů,kotev atd dle PD,základní a vrchní nátěr</t>
  </si>
  <si>
    <t>Tyč průřezu U 200, hrubé, jakost oceli 11373</t>
  </si>
  <si>
    <t>4*6,25*0,0253   A</t>
  </si>
  <si>
    <t>4*7,7*0,0253   B</t>
  </si>
  <si>
    <t>;ztratné 8%; 0,1129392</t>
  </si>
  <si>
    <t>Tyč průřezu HEB140, střední, jakost oceli S235</t>
  </si>
  <si>
    <t>6*3,25*0,0345   C</t>
  </si>
  <si>
    <t>;ztratné 8%; 0,05382</t>
  </si>
  <si>
    <t>Tyč průřezu HEB160, střední, jakost oceli S235</t>
  </si>
  <si>
    <t>6*3,25*0,04370</t>
  </si>
  <si>
    <t>;ztratné 8%; 0,068172</t>
  </si>
  <si>
    <t>Svařenec dle PD U160,IPE 120</t>
  </si>
  <si>
    <t>0,230   E včetně chem.kotev dle PD</t>
  </si>
  <si>
    <t>;ztratné 8%; 0,0184</t>
  </si>
  <si>
    <t>Tyč průřezu HEB 220, hrubé, jakost oceli S235</t>
  </si>
  <si>
    <t>5,36*0,0715   F</t>
  </si>
  <si>
    <t>;ztratné 8%; 0,0306592</t>
  </si>
  <si>
    <t>Tyč průřezu IPE 200, hrubé, jakost oceli S235</t>
  </si>
  <si>
    <t>5,7*0,0224   H</t>
  </si>
  <si>
    <t>;ztratné 8%; 0,0102144</t>
  </si>
  <si>
    <t>Montáž a dodávka krycích plechů 900x500</t>
  </si>
  <si>
    <t>8   u soklové vnější provětrávané dutiny,pozink s nátěrem.</t>
  </si>
  <si>
    <t>Přesun hmot pro zámečnické konstr., výšky do 12 m</t>
  </si>
  <si>
    <t>6,107</t>
  </si>
  <si>
    <t>Podlahy z dlaždic</t>
  </si>
  <si>
    <t>Dlažba   30 x 30 cm</t>
  </si>
  <si>
    <t>82,60+86,40+40,50+16,40+13,80+30,28   skladba P1 dle PD,</t>
  </si>
  <si>
    <t>44,90+6,7+18,70+12,80+6,70+3,2+21,90+2,4</t>
  </si>
  <si>
    <t>5,6+14,20+12,20+6,9+10,50+3,9+16,80+4,2</t>
  </si>
  <si>
    <t>Přesun hmot pro podlahy z dlaždic, výšky do 12 m</t>
  </si>
  <si>
    <t>3,23</t>
  </si>
  <si>
    <t>Podlahy povlakové</t>
  </si>
  <si>
    <t>Odstranění PVC  lepených s podložkou</t>
  </si>
  <si>
    <t>25+11,30+16,40+33,50+6,70+15,40+16+3,9</t>
  </si>
  <si>
    <t>Obklady (keramické)</t>
  </si>
  <si>
    <t>Obklad pórovinový do tmele  25 x 33 cm</t>
  </si>
  <si>
    <t>321   s dodávkou materiálů</t>
  </si>
  <si>
    <t>Přesun hmot pro obklady keramické, výšky do 12 m</t>
  </si>
  <si>
    <t>5,887</t>
  </si>
  <si>
    <t>Nátěry</t>
  </si>
  <si>
    <t>Nátěr tesařských konstrukcí Boronit Q</t>
  </si>
  <si>
    <t>Malby</t>
  </si>
  <si>
    <t>Penetrace podkladu nátěrem HET, A - Grund 1x</t>
  </si>
  <si>
    <t>(132,83+129,945)*2   úpravy výtahových šachet</t>
  </si>
  <si>
    <t>82,6+86,40+40,50+16,40+13,80+30,28+44,90   stropy místností</t>
  </si>
  <si>
    <t>6,7+18,7+12,80+6,7+3,2+21,90+2,4+5,6+14,2+12,20</t>
  </si>
  <si>
    <t>6,9+10,5+3,9+16,8+4,2</t>
  </si>
  <si>
    <t>918   stěny nad sanací</t>
  </si>
  <si>
    <t>544,986   omítky opravené</t>
  </si>
  <si>
    <t>285,096   nové příčky</t>
  </si>
  <si>
    <t>Malba latexová HET univerzál.,barva, bez penetr.2x</t>
  </si>
  <si>
    <t>2735,212</t>
  </si>
  <si>
    <t>Odstranění malby oškrábáním v místnosti H do 3,8 m</t>
  </si>
  <si>
    <t>1183,66   stěny</t>
  </si>
  <si>
    <t>151,58   strop</t>
  </si>
  <si>
    <t>Technologie stravování</t>
  </si>
  <si>
    <t>Technologie stravování dle rozpisu</t>
  </si>
  <si>
    <t>1   soupis technologického zařízení</t>
  </si>
  <si>
    <t>Lešení a stavební výtahy</t>
  </si>
  <si>
    <t>Lešení lehké pomocné,šachta</t>
  </si>
  <si>
    <t>(5*1,8*3)*2   výtahové šachty</t>
  </si>
  <si>
    <t>Lešení lehké pomocné, výška podlahy do 1,2 m</t>
  </si>
  <si>
    <t>314+104,4+42,3</t>
  </si>
  <si>
    <t>Výpomoce autojeřábem při montáži</t>
  </si>
  <si>
    <t>1   střešní konstrukce,ocel,dřevěná prvky</t>
  </si>
  <si>
    <t>Různé dokončovací konstrukce a práce na pozemních stavbách</t>
  </si>
  <si>
    <t>Vyčištění budov o výšce podlaží do 4 m</t>
  </si>
  <si>
    <t>460,7</t>
  </si>
  <si>
    <t>Osazení a dodávka čistící rohože plsť šedý 1 TOPWELL 1000x1700</t>
  </si>
  <si>
    <t>1   s osazením,úprava čistící zony</t>
  </si>
  <si>
    <t>Značení únikových cest dle PBŘ</t>
  </si>
  <si>
    <t>Bourání konstrukcí</t>
  </si>
  <si>
    <t>Bourání podlah výtahové šachty</t>
  </si>
  <si>
    <t>(3,78*2,26*0,3)*2   kopletní skladba konstrukce V1 a V2</t>
  </si>
  <si>
    <t>Bourání mazanin betonových tl. nad 10 cm, nad 4 m2</t>
  </si>
  <si>
    <t>(117,30+29,40+13,80+15,4+36+46,20+11,8)0,15</t>
  </si>
  <si>
    <t>(25+11,30+16,40+33,50+6,70+15,40+16+3,9)*0,15</t>
  </si>
  <si>
    <t>(20,40+29,40+37,50+1,4+1,6+3,45+5,15+38,40+18,45)*0,15</t>
  </si>
  <si>
    <t>Bourání ŽB stropů deskových tl. nad 8 cm</t>
  </si>
  <si>
    <t>13,29*3*0,3   vstupní podesta schodiště</t>
  </si>
  <si>
    <t>Bourání vstupních schodů pro zpětné položení</t>
  </si>
  <si>
    <t>14,69*3,65</t>
  </si>
  <si>
    <t>Bourání zdiva z cihel pálených na MC</t>
  </si>
  <si>
    <t>14,595*2,7*0,45   vstupní schodiště</t>
  </si>
  <si>
    <t>3,62*0,85*2*2,5   ponechané pilíře budou injektovány dle PD</t>
  </si>
  <si>
    <t>3,05*0,45*2,5*4</t>
  </si>
  <si>
    <t>3,31*0,65*3,2</t>
  </si>
  <si>
    <t>3,1*0,65*3,2</t>
  </si>
  <si>
    <t>3,19*0,65*3,2</t>
  </si>
  <si>
    <t>(1,1+3,51)*0,75*3,8   místnost 0.06</t>
  </si>
  <si>
    <t>5,10*0,3*3,8</t>
  </si>
  <si>
    <t>5,1*0,3*3,8   místnost 0.07</t>
  </si>
  <si>
    <t>1*2*0,75   místnost 0.09</t>
  </si>
  <si>
    <t>1*0,75*2   místnost 0.20</t>
  </si>
  <si>
    <t>1*2*0,6+1*2*0,3*2   místnost 0.11</t>
  </si>
  <si>
    <t>1*2*0,45   místnost 0.22</t>
  </si>
  <si>
    <t>1,5*0,65*2   místnost 0.05</t>
  </si>
  <si>
    <t>2,3*0,3*2,3   místnost 0.24/1</t>
  </si>
  <si>
    <t>(0,6+0,3)*3,7*0,25   místnost 0.21</t>
  </si>
  <si>
    <t>4,12   půdní části výtahových šachet</t>
  </si>
  <si>
    <t>Bourání příček cihelných tl. 10 cm</t>
  </si>
  <si>
    <t>3,9*2,85   místnost 0.09</t>
  </si>
  <si>
    <t>5,4*2,88   místnost 0.14</t>
  </si>
  <si>
    <t>(1,99+2)*2,88   místnost 0.15</t>
  </si>
  <si>
    <t>(1,35+1,35+2,66)*2,83   místnost 0.22 a 0.23</t>
  </si>
  <si>
    <t>5,2*2,83   místnost 0.21</t>
  </si>
  <si>
    <t>Bourání příček cihelných tl. 15 cm</t>
  </si>
  <si>
    <t>5,22*2,83+3*2,83   místnost 0.20</t>
  </si>
  <si>
    <t>Přisekání plošné zdiva cihelného na MVC tl. 30 cm</t>
  </si>
  <si>
    <t>0,8*3,7*2   výdejní okno</t>
  </si>
  <si>
    <t>Vyvěšení dřevěných okenních křídel pl. nad 1,5 m2</t>
  </si>
  <si>
    <t>Vybourání kovových dveřních zárubní pl. do 2 m2</t>
  </si>
  <si>
    <t>01,2+1,6*3+1,8*16</t>
  </si>
  <si>
    <t>Vybourání kovových dveřních zárubní pl. nad 2 m2</t>
  </si>
  <si>
    <t>2,8</t>
  </si>
  <si>
    <t>3*2,8   bourací práce ve stávajícíh výtahových šachtách</t>
  </si>
  <si>
    <t xml:space="preserve">   1.n.p.-3.np. nový stav</t>
  </si>
  <si>
    <t>Prorážení otvorů a ostatní bourací práce</t>
  </si>
  <si>
    <t>Vysekání rýh zeď cihel. průduchy strop 30 x 30 cm</t>
  </si>
  <si>
    <t>3,8*3</t>
  </si>
  <si>
    <t>1,2*3*3</t>
  </si>
  <si>
    <t>1,2*2*3</t>
  </si>
  <si>
    <t>5,85*3</t>
  </si>
  <si>
    <t>Otlučení omítek vnitřních stěn v rozsahu do 50 %</t>
  </si>
  <si>
    <t>1183,66</t>
  </si>
  <si>
    <t>Vybourání otv. zeď cihel. pl.0,09 m2,  MVC</t>
  </si>
  <si>
    <t>2   prostup 250x250 v nadstřešní části výtahové šachty</t>
  </si>
  <si>
    <t>Budovy občanské výstavby</t>
  </si>
  <si>
    <t>Přesun hmot pro budovy zděné výšky do 24 m</t>
  </si>
  <si>
    <t>4,329+194,341+129,304+61,171+24,109+6,101+53,011+1,884+487,473</t>
  </si>
  <si>
    <t>Elektromontáže</t>
  </si>
  <si>
    <t>Elektromontáže dle rozpisu</t>
  </si>
  <si>
    <t>Ucpávky protipožární, průchod stěnou, stropem dle PD</t>
  </si>
  <si>
    <t>1   utěsnění prostupů certifikované např.Promat-dle PBŘ</t>
  </si>
  <si>
    <t>Montáže dopravních zařízení a vah</t>
  </si>
  <si>
    <t>Bezstrojovnový výtah 4 stanice GeN2 V1</t>
  </si>
  <si>
    <t>1   dodávka,montáže,demontáže starého výtahu,osvětlení šachty</t>
  </si>
  <si>
    <t xml:space="preserve">   .</t>
  </si>
  <si>
    <t xml:space="preserve">   likvidace odpadu,žebřík do prohlubně,REM dálkový monitoring výtahu</t>
  </si>
  <si>
    <t>Bezstrojový výtah 4 stanice GeN2 V2</t>
  </si>
  <si>
    <t>Zemní práce při kanalizacích</t>
  </si>
  <si>
    <t>Výkop  rýhy 35/30 cm, hornina 2</t>
  </si>
  <si>
    <t>159,35+128,67+64,2</t>
  </si>
  <si>
    <t>Zához rýhy 35/30 cm, hornina třídy 2</t>
  </si>
  <si>
    <t>352,22</t>
  </si>
  <si>
    <t>Přesuny sutí</t>
  </si>
  <si>
    <t>Vnitrostaveništní doprava suti do 10 m</t>
  </si>
  <si>
    <t>399,383+31,442</t>
  </si>
  <si>
    <t>4,355   krytina-bobrovka</t>
  </si>
  <si>
    <t>Příplatek k vnitrost. dopravě suti za dalších 5 m</t>
  </si>
  <si>
    <t>435,18</t>
  </si>
  <si>
    <t>Svislá doprava suti a vybour. hmot za 2.NP a 1.PP</t>
  </si>
  <si>
    <t>Vodorovné přemístění suti na skládku do 6000 m</t>
  </si>
  <si>
    <t>Příplatek za dalších započatých 1000 m nad 6000 m</t>
  </si>
  <si>
    <t>36*435,318   řízená skládka Volfartice</t>
  </si>
  <si>
    <t>Nakládání suti na dopravní prostředky</t>
  </si>
  <si>
    <t>Poplatek za skládku stavební suti</t>
  </si>
  <si>
    <t>Doba výstavby:</t>
  </si>
  <si>
    <t>Začátek výstavby:</t>
  </si>
  <si>
    <t>Konec výstavby:</t>
  </si>
  <si>
    <t>Zpracováno dne:</t>
  </si>
  <si>
    <t>M.j.</t>
  </si>
  <si>
    <t>m3</t>
  </si>
  <si>
    <t>m</t>
  </si>
  <si>
    <t>t</t>
  </si>
  <si>
    <t>m2</t>
  </si>
  <si>
    <t>soubor</t>
  </si>
  <si>
    <t>kus</t>
  </si>
  <si>
    <t>soub</t>
  </si>
  <si>
    <t>sada</t>
  </si>
  <si>
    <t>ks</t>
  </si>
  <si>
    <t>kg</t>
  </si>
  <si>
    <t>Množství</t>
  </si>
  <si>
    <t>02.03.2018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</si>
  <si>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</si>
  <si>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</si>
  <si>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</si>
  <si>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</si>
  <si>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</si>
  <si>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</si>
  <si>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</si>
  <si>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</si>
  <si>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</si>
  <si>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</si>
  <si>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MĚSTO VARNSDORF</t>
  </si>
  <si>
    <t>FORWOOD DVF</t>
  </si>
  <si>
    <t>BUDE VYBRÁN</t>
  </si>
  <si>
    <t>IIČVDF</t>
  </si>
  <si>
    <t>Celkem</t>
  </si>
  <si>
    <t>Hmotnost (t)</t>
  </si>
  <si>
    <t>Cenová</t>
  </si>
  <si>
    <t>soustava</t>
  </si>
  <si>
    <t>RTS II / 2016</t>
  </si>
  <si>
    <t>RTS I / 2016</t>
  </si>
  <si>
    <t>RTS II / 2017</t>
  </si>
  <si>
    <t>RTS I / 2018</t>
  </si>
  <si>
    <t>RTS II / 2015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</si>
  <si>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</si>
  <si>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</si>
  <si>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</si>
  <si>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</si>
  <si>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</si>
  <si>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</si>
  <si>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</si>
  <si>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</si>
  <si>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</si>
  <si>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13_</t>
  </si>
  <si>
    <t>16_</t>
  </si>
  <si>
    <t>19_</t>
  </si>
  <si>
    <t>22_</t>
  </si>
  <si>
    <t>27_</t>
  </si>
  <si>
    <t>31_</t>
  </si>
  <si>
    <t>34_</t>
  </si>
  <si>
    <t>41_</t>
  </si>
  <si>
    <t>43_</t>
  </si>
  <si>
    <t>61_</t>
  </si>
  <si>
    <t>62_</t>
  </si>
  <si>
    <t>63_</t>
  </si>
  <si>
    <t>711_</t>
  </si>
  <si>
    <t>713_</t>
  </si>
  <si>
    <t>721_</t>
  </si>
  <si>
    <t>722_</t>
  </si>
  <si>
    <t>723_</t>
  </si>
  <si>
    <t>724_</t>
  </si>
  <si>
    <t>725_</t>
  </si>
  <si>
    <t>728_</t>
  </si>
  <si>
    <t>731_</t>
  </si>
  <si>
    <t>762_</t>
  </si>
  <si>
    <t>763_</t>
  </si>
  <si>
    <t>764_</t>
  </si>
  <si>
    <t>765_</t>
  </si>
  <si>
    <t>766_</t>
  </si>
  <si>
    <t>767_</t>
  </si>
  <si>
    <t>771_</t>
  </si>
  <si>
    <t>776_</t>
  </si>
  <si>
    <t>781_</t>
  </si>
  <si>
    <t>783_</t>
  </si>
  <si>
    <t>784_</t>
  </si>
  <si>
    <t>795_</t>
  </si>
  <si>
    <t>94_</t>
  </si>
  <si>
    <t>95_</t>
  </si>
  <si>
    <t>96_</t>
  </si>
  <si>
    <t>97_</t>
  </si>
  <si>
    <t>H01_</t>
  </si>
  <si>
    <t>M21_</t>
  </si>
  <si>
    <t>M33_</t>
  </si>
  <si>
    <t>M46_</t>
  </si>
  <si>
    <t>S_</t>
  </si>
  <si>
    <t>1_</t>
  </si>
  <si>
    <t>2_</t>
  </si>
  <si>
    <t>3_</t>
  </si>
  <si>
    <t>4_</t>
  </si>
  <si>
    <t>6_</t>
  </si>
  <si>
    <t>71_</t>
  </si>
  <si>
    <t>72_</t>
  </si>
  <si>
    <t>73_</t>
  </si>
  <si>
    <t>76_</t>
  </si>
  <si>
    <t>77_</t>
  </si>
  <si>
    <t>78_</t>
  </si>
  <si>
    <t>79_</t>
  </si>
  <si>
    <t>9_</t>
  </si>
  <si>
    <t>_</t>
  </si>
  <si>
    <t>Slepý 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</si>
  <si>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</si>
  <si>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</si>
  <si>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</si>
  <si>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</si>
  <si>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</si>
  <si>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Výkaz výměr</t>
  </si>
  <si>
    <t>Cenová soustava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</si>
  <si>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</si>
  <si>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</si>
  <si>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</si>
  <si>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</si>
  <si>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</si>
  <si>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</si>
  <si>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</si>
  <si>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</si>
  <si>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</si>
  <si>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</si>
  <si>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</si>
  <si>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</si>
  <si>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</si>
  <si>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</si>
  <si>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</si>
  <si>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</si>
  <si>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</si>
  <si>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</si>
  <si>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</si>
  <si>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</si>
  <si>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Rozpočtová rez.5%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</si>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</sst>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5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21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49" fontId="4" fillId="2" borderId="7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8" fillId="2" borderId="7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8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1" xfId="0" applyNumberFormat="1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8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8" fillId="2" borderId="7" xfId="0" applyNumberFormat="1" applyFont="1" applyFill="1" applyBorder="1" applyAlignment="1" applyProtection="1">
      <alignment horizontal="right" vertical="center"/>
      <protection/>
    </xf>
    <xf numFmtId="49" fontId="8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2" borderId="7" xfId="0" applyNumberFormat="1" applyFont="1" applyFill="1" applyBorder="1" applyAlignment="1" applyProtection="1">
      <alignment horizontal="right" vertical="center"/>
      <protection/>
    </xf>
    <xf numFmtId="4" fontId="8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8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7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7" xfId="0" applyNumberFormat="1" applyFont="1" applyFill="1" applyBorder="1" applyAlignment="1" applyProtection="1">
      <alignment horizontal="left"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49" fontId="3" fillId="0" borderId="28" xfId="0" applyNumberFormat="1" applyFont="1" applyFill="1" applyBorder="1" applyAlignment="1" applyProtection="1">
      <alignment horizontal="right" vertical="center"/>
      <protection/>
    </xf>
    <xf numFmtId="4" fontId="5" fillId="0" borderId="7" xfId="0" applyNumberFormat="1" applyFont="1" applyFill="1" applyBorder="1" applyAlignment="1" applyProtection="1">
      <alignment horizontal="right" vertical="center"/>
      <protection/>
    </xf>
    <xf numFmtId="49" fontId="5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49" fontId="10" fillId="0" borderId="30" xfId="0" applyNumberFormat="1" applyFont="1" applyFill="1" applyBorder="1" applyAlignment="1" applyProtection="1">
      <alignment horizontal="center" vertical="center"/>
      <protection/>
    </xf>
    <xf numFmtId="49" fontId="11" fillId="3" borderId="31" xfId="0" applyNumberFormat="1" applyFont="1" applyFill="1" applyBorder="1" applyAlignment="1" applyProtection="1">
      <alignment horizontal="center" vertical="center"/>
      <protection/>
    </xf>
    <xf numFmtId="49" fontId="12" fillId="0" borderId="32" xfId="0" applyNumberFormat="1" applyFont="1" applyFill="1" applyBorder="1" applyAlignment="1" applyProtection="1">
      <alignment horizontal="left" vertical="center"/>
      <protection/>
    </xf>
    <xf numFmtId="49" fontId="12" fillId="0" borderId="33" xfId="0" applyNumberFormat="1" applyFont="1" applyFill="1" applyBorder="1" applyAlignment="1" applyProtection="1">
      <alignment horizontal="left" vertical="center"/>
      <protection/>
    </xf>
    <xf numFmtId="49" fontId="12" fillId="0" borderId="34" xfId="0" applyNumberFormat="1" applyFont="1" applyFill="1" applyBorder="1" applyAlignment="1" applyProtection="1">
      <alignment horizontal="left" vertical="center"/>
      <protection/>
    </xf>
    <xf numFmtId="49" fontId="12" fillId="3" borderId="3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9" fontId="13" fillId="0" borderId="36" xfId="0" applyNumberFormat="1" applyFont="1" applyFill="1" applyBorder="1" applyAlignment="1" applyProtection="1">
      <alignment horizontal="left" vertical="center"/>
      <protection/>
    </xf>
    <xf numFmtId="49" fontId="13" fillId="0" borderId="25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49" fontId="7" fillId="0" borderId="7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30" xfId="0" applyNumberFormat="1" applyFont="1" applyFill="1" applyBorder="1" applyAlignment="1" applyProtection="1">
      <alignment horizontal="center" vertical="center"/>
      <protection/>
    </xf>
    <xf numFmtId="49" fontId="14" fillId="0" borderId="34" xfId="0" applyNumberFormat="1" applyFont="1" applyFill="1" applyBorder="1" applyAlignment="1" applyProtection="1">
      <alignment horizontal="left" vertical="center"/>
      <protection/>
    </xf>
    <xf numFmtId="49" fontId="13" fillId="0" borderId="31" xfId="0" applyNumberFormat="1" applyFont="1" applyFill="1" applyBorder="1" applyAlignment="1" applyProtection="1">
      <alignment horizontal="left" vertical="center"/>
      <protection/>
    </xf>
    <xf numFmtId="0" fontId="12" fillId="0" borderId="38" xfId="0" applyNumberFormat="1" applyFont="1" applyFill="1" applyBorder="1" applyAlignment="1" applyProtection="1">
      <alignment horizontal="left" vertical="center"/>
      <protection/>
    </xf>
    <xf numFmtId="0" fontId="12" fillId="3" borderId="30" xfId="0" applyNumberFormat="1" applyFont="1" applyFill="1" applyBorder="1" applyAlignment="1" applyProtection="1">
      <alignment horizontal="left" vertical="center"/>
      <protection/>
    </xf>
    <xf numFmtId="0" fontId="13" fillId="0" borderId="7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9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3" fillId="0" borderId="39" xfId="0" applyNumberFormat="1" applyFont="1" applyFill="1" applyBorder="1" applyAlignment="1" applyProtection="1">
      <alignment horizontal="left" vertical="center"/>
      <protection/>
    </xf>
    <xf numFmtId="0" fontId="13" fillId="0" borderId="40" xfId="0" applyNumberFormat="1" applyFont="1" applyFill="1" applyBorder="1" applyAlignment="1" applyProtection="1">
      <alignment horizontal="left" vertical="center"/>
      <protection/>
    </xf>
    <xf numFmtId="0" fontId="13" fillId="0" borderId="41" xfId="0" applyNumberFormat="1" applyFont="1" applyFill="1" applyBorder="1" applyAlignment="1" applyProtection="1">
      <alignment horizontal="left" vertical="center"/>
      <protection/>
    </xf>
    <xf numFmtId="49" fontId="13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4" fontId="13" fillId="0" borderId="31" xfId="0" applyNumberFormat="1" applyFont="1" applyFill="1" applyBorder="1" applyAlignment="1" applyProtection="1">
      <alignment horizontal="right" vertical="center"/>
      <protection/>
    </xf>
    <xf numFmtId="49" fontId="13" fillId="0" borderId="31" xfId="0" applyNumberFormat="1" applyFont="1" applyFill="1" applyBorder="1" applyAlignment="1" applyProtection="1">
      <alignment horizontal="right" vertical="center"/>
      <protection/>
    </xf>
    <xf numFmtId="4" fontId="13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42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2" fillId="3" borderId="38" xfId="0" applyNumberFormat="1" applyFont="1" applyFill="1" applyBorder="1" applyAlignment="1" applyProtection="1">
      <alignment horizontal="right"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49" fontId="2" fillId="0" borderId="1" xfId="0" applyNumberFormat="1" applyFont="1" applyFill="1" applyBorder="1" applyAlignment="1" applyProtection="1">
      <alignment horizont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59"/>
  <sheetViews>
    <sheetView tabSelected="1" workbookViewId="0" topLeftCell="A1">
      <pane ySplit="11" topLeftCell="A12" activePane="bottomLeft" state="frozen"/>
      <selection pane="bottomLeft" activeCell="A1" sqref="A1:M1"/>
    </sheetView>
  </sheetViews>
  <sheetFormatPr defaultColWidth="11.57421875" defaultRowHeight="12.75"/>
  <cols>
    <col min="1" max="1" width="3.7109375" customWidth="1"/>
    <col min="2" max="2" width="6.8515625" customWidth="1"/>
    <col min="3" max="3" width="13.28125" customWidth="1"/>
    <col min="4" max="4" width="75.421875" customWidth="1"/>
    <col min="5" max="5" width="6.421875" customWidth="1"/>
    <col min="6" max="6" width="12.8515625" customWidth="1"/>
    <col min="7" max="7" width="12.00390625" customWidth="1"/>
    <col min="8" max="10" width="14.28125" customWidth="1"/>
    <col min="11" max="12" width="11.7109375" customWidth="1"/>
    <col min="13" max="13" width="11.57421875" customWidth="1"/>
    <col min="14" max="14" width="0" hidden="1" customWidth="1"/>
    <col min="15" max="48" width="12.140625" hidden="1" customWidth="1"/>
  </cols>
  <sheetData>
    <row r="1" spans="1:13" ht="72.75" customHeight="1">
      <c r="A1" s="120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ht="12.75">
      <c r="A2" s="3" t="s">
        <v>1</v>
      </c>
      <c r="B2" s="18"/>
      <c r="C2" s="18"/>
      <c r="D2" s="25" t="s">
        <v>493</v>
      </c>
      <c r="E2" s="30" t="s">
        <v>1078</v>
      </c>
      <c r="F2" s="18"/>
      <c r="G2" s="30" t="s">
        <v>6</v>
      </c>
      <c r="H2" s="18"/>
      <c r="I2" s="42" t="s">
        <v>1100</v>
      </c>
      <c r="J2" s="42" t="s">
        <v>1105</v>
      </c>
      <c r="K2" s="18"/>
      <c r="L2" s="18"/>
      <c r="M2" s="50"/>
      <c r="N2" s="57"/>
    </row>
    <row r="3" spans="1:14" ht="12.75">
      <c r="A3" s="4"/>
      <c r="B3" s="19"/>
      <c r="C3" s="19"/>
      <c r="D3" s="26"/>
      <c r="E3" s="19"/>
      <c r="F3" s="19"/>
      <c r="G3" s="19"/>
      <c r="H3" s="19"/>
      <c r="I3" s="19"/>
      <c r="J3" s="19"/>
      <c r="K3" s="19"/>
      <c r="L3" s="19"/>
      <c r="M3" s="51"/>
      <c r="N3" s="57"/>
    </row>
    <row r="4" spans="1:14" ht="12.75">
      <c r="A4" s="5" t="s">
        <v>2</v>
      </c>
      <c r="B4" s="19"/>
      <c r="C4" s="19"/>
      <c r="D4" s="16" t="s">
        <v>494</v>
      </c>
      <c r="E4" s="31" t="s">
        <v>1079</v>
      </c>
      <c r="F4" s="19"/>
      <c r="G4" s="31" t="s">
        <v>6</v>
      </c>
      <c r="H4" s="19"/>
      <c r="I4" s="16" t="s">
        <v>1101</v>
      </c>
      <c r="J4" s="16" t="s">
        <v>1106</v>
      </c>
      <c r="K4" s="19"/>
      <c r="L4" s="19"/>
      <c r="M4" s="51"/>
      <c r="N4" s="57"/>
    </row>
    <row r="5" spans="1:14" ht="12.75">
      <c r="A5" s="4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51"/>
      <c r="N5" s="57"/>
    </row>
    <row r="6" spans="1:14" ht="12.75">
      <c r="A6" s="5" t="s">
        <v>3</v>
      </c>
      <c r="B6" s="19"/>
      <c r="C6" s="19"/>
      <c r="D6" s="16" t="s">
        <v>495</v>
      </c>
      <c r="E6" s="31" t="s">
        <v>1080</v>
      </c>
      <c r="F6" s="19"/>
      <c r="G6" s="31" t="s">
        <v>6</v>
      </c>
      <c r="H6" s="19"/>
      <c r="I6" s="16" t="s">
        <v>1102</v>
      </c>
      <c r="J6" s="16" t="s">
        <v>1107</v>
      </c>
      <c r="K6" s="19"/>
      <c r="L6" s="19"/>
      <c r="M6" s="51"/>
      <c r="N6" s="57"/>
    </row>
    <row r="7" spans="1:14" ht="12.75">
      <c r="A7" s="4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51"/>
      <c r="N7" s="57"/>
    </row>
    <row r="8" spans="1:14" ht="12.75">
      <c r="A8" s="5" t="s">
        <v>4</v>
      </c>
      <c r="B8" s="19"/>
      <c r="C8" s="19"/>
      <c r="D8" s="16" t="s">
        <v>6</v>
      </c>
      <c r="E8" s="31" t="s">
        <v>1081</v>
      </c>
      <c r="F8" s="19"/>
      <c r="G8" s="31" t="s">
        <v>1094</v>
      </c>
      <c r="H8" s="19"/>
      <c r="I8" s="16" t="s">
        <v>1103</v>
      </c>
      <c r="J8" s="16" t="s">
        <v>1108</v>
      </c>
      <c r="K8" s="19"/>
      <c r="L8" s="19"/>
      <c r="M8" s="51"/>
      <c r="N8" s="57"/>
    </row>
    <row r="9" spans="1:14" ht="12.75">
      <c r="A9" s="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52"/>
      <c r="N9" s="57"/>
    </row>
    <row r="10" spans="1:14" ht="12.75">
      <c r="A10" s="7" t="s">
        <v>5</v>
      </c>
      <c r="B10" s="21" t="s">
        <v>239</v>
      </c>
      <c r="C10" s="21" t="s">
        <v>240</v>
      </c>
      <c r="D10" s="21" t="s">
        <v>496</v>
      </c>
      <c r="E10" s="21" t="s">
        <v>1082</v>
      </c>
      <c r="F10" s="32" t="s">
        <v>1093</v>
      </c>
      <c r="G10" s="37" t="s">
        <v>1095</v>
      </c>
      <c r="H10" s="39" t="s">
        <v>1097</v>
      </c>
      <c r="I10" s="43"/>
      <c r="J10" s="46"/>
      <c r="K10" s="39" t="s">
        <v>1110</v>
      </c>
      <c r="L10" s="46"/>
      <c r="M10" s="53" t="s">
        <v>1111</v>
      </c>
      <c r="N10" s="58"/>
    </row>
    <row r="11" spans="1:24" ht="12.75">
      <c r="A11" s="8" t="s">
        <v>6</v>
      </c>
      <c r="B11" s="22" t="s">
        <v>6</v>
      </c>
      <c r="C11" s="22" t="s">
        <v>6</v>
      </c>
      <c r="D11" s="27" t="s">
        <v>497</v>
      </c>
      <c r="E11" s="22" t="s">
        <v>6</v>
      </c>
      <c r="F11" s="22" t="s">
        <v>6</v>
      </c>
      <c r="G11" s="38" t="s">
        <v>1096</v>
      </c>
      <c r="H11" s="40" t="s">
        <v>1098</v>
      </c>
      <c r="I11" s="44" t="s">
        <v>1104</v>
      </c>
      <c r="J11" s="47" t="s">
        <v>1109</v>
      </c>
      <c r="K11" s="40" t="s">
        <v>1095</v>
      </c>
      <c r="L11" s="47" t="s">
        <v>1109</v>
      </c>
      <c r="M11" s="54" t="s">
        <v>1112</v>
      </c>
      <c r="N11" s="58"/>
      <c r="P11" s="49" t="s">
        <v>1118</v>
      </c>
      <c r="Q11" s="49" t="s">
        <v>1119</v>
      </c>
      <c r="R11" s="49" t="s">
        <v>1120</v>
      </c>
      <c r="S11" s="49" t="s">
        <v>1121</v>
      </c>
      <c r="T11" s="49" t="s">
        <v>1122</v>
      </c>
      <c r="U11" s="49" t="s">
        <v>1123</v>
      </c>
      <c r="V11" s="49" t="s">
        <v>1124</v>
      </c>
      <c r="W11" s="49" t="s">
        <v>1125</v>
      </c>
      <c r="X11" s="49" t="s">
        <v>1126</v>
      </c>
    </row>
    <row r="12" spans="1:37" ht="12.75">
      <c r="A12" s="9"/>
      <c r="B12" s="23"/>
      <c r="C12" s="23" t="s">
        <v>19</v>
      </c>
      <c r="D12" s="23" t="s">
        <v>498</v>
      </c>
      <c r="E12" s="9" t="s">
        <v>6</v>
      </c>
      <c r="F12" s="9" t="s">
        <v>6</v>
      </c>
      <c r="G12" s="9" t="s">
        <v>6</v>
      </c>
      <c r="H12" s="61">
        <f>SUM(H13:H17)</f>
        <v>0</v>
      </c>
      <c r="I12" s="61">
        <f>SUM(I13:I17)</f>
        <v>0</v>
      </c>
      <c r="J12" s="61">
        <f>H12+I12</f>
        <v>0</v>
      </c>
      <c r="K12" s="48"/>
      <c r="L12" s="61">
        <f>SUM(L13:L17)</f>
        <v>0</v>
      </c>
      <c r="M12" s="48"/>
      <c r="Y12" s="49"/>
      <c r="AI12" s="62">
        <f>SUM(Z13:Z17)</f>
        <v>0</v>
      </c>
      <c r="AJ12" s="62">
        <f>SUM(AA13:AA17)</f>
        <v>0</v>
      </c>
      <c r="AK12" s="62">
        <f>SUM(AB13:AB17)</f>
        <v>0</v>
      </c>
    </row>
    <row r="13" spans="1:48" ht="12.75">
      <c r="A13" s="10" t="s">
        <v>7</v>
      </c>
      <c r="B13" s="10"/>
      <c r="C13" s="10" t="s">
        <v>241</v>
      </c>
      <c r="D13" s="10" t="s">
        <v>499</v>
      </c>
      <c r="E13" s="10" t="s">
        <v>1083</v>
      </c>
      <c r="F13" s="33">
        <v>124.31485</v>
      </c>
      <c r="G13" s="33">
        <v>0</v>
      </c>
      <c r="H13" s="33">
        <f>F13*AE13</f>
        <v>0</v>
      </c>
      <c r="I13" s="33">
        <f>J13-H13</f>
        <v>0</v>
      </c>
      <c r="J13" s="33">
        <f>F13*G13</f>
        <v>0</v>
      </c>
      <c r="K13" s="33">
        <v>0</v>
      </c>
      <c r="L13" s="33">
        <f>F13*K13</f>
        <v>0</v>
      </c>
      <c r="M13" s="55" t="s">
        <v>1113</v>
      </c>
      <c r="P13" s="59">
        <f>IF(AG13="5",J13,0)</f>
        <v>0</v>
      </c>
      <c r="R13" s="59">
        <f>IF(AG13="1",H13,0)</f>
        <v>0</v>
      </c>
      <c r="S13" s="59">
        <f>IF(AG13="1",I13,0)</f>
        <v>0</v>
      </c>
      <c r="T13" s="59">
        <f>IF(AG13="7",H13,0)</f>
        <v>0</v>
      </c>
      <c r="U13" s="59">
        <f>IF(AG13="7",I13,0)</f>
        <v>0</v>
      </c>
      <c r="V13" s="59">
        <f>IF(AG13="2",H13,0)</f>
        <v>0</v>
      </c>
      <c r="W13" s="59">
        <f>IF(AG13="2",I13,0)</f>
        <v>0</v>
      </c>
      <c r="X13" s="59">
        <f>IF(AG13="0",J13,0)</f>
        <v>0</v>
      </c>
      <c r="Y13" s="49"/>
      <c r="Z13" s="33">
        <f>IF(AD13=0,J13,0)</f>
        <v>0</v>
      </c>
      <c r="AA13" s="33">
        <f>IF(AD13=15,J13,0)</f>
        <v>0</v>
      </c>
      <c r="AB13" s="33">
        <f>IF(AD13=21,J13,0)</f>
        <v>0</v>
      </c>
      <c r="AD13" s="59">
        <v>21</v>
      </c>
      <c r="AE13" s="59">
        <f>G13*0</f>
        <v>0</v>
      </c>
      <c r="AF13" s="59">
        <f>G13*(1-0)</f>
        <v>0</v>
      </c>
      <c r="AG13" s="55" t="s">
        <v>7</v>
      </c>
      <c r="AM13" s="59">
        <f>F13*AE13</f>
        <v>0</v>
      </c>
      <c r="AN13" s="59">
        <f>F13*AF13</f>
        <v>0</v>
      </c>
      <c r="AO13" s="60" t="s">
        <v>1127</v>
      </c>
      <c r="AP13" s="60" t="s">
        <v>1169</v>
      </c>
      <c r="AQ13" s="49" t="s">
        <v>1182</v>
      </c>
      <c r="AS13" s="59">
        <f>AM13+AN13</f>
        <v>0</v>
      </c>
      <c r="AT13" s="59">
        <f>G13/(100-AU13)*100</f>
        <v>0</v>
      </c>
      <c r="AU13" s="59">
        <v>0</v>
      </c>
      <c r="AV13" s="59">
        <f>L13</f>
        <v>0</v>
      </c>
    </row>
    <row r="14" spans="4:6" ht="12.75">
      <c r="D14" s="28" t="s">
        <v>500</v>
      </c>
      <c r="F14" s="34">
        <v>15.5479</v>
      </c>
    </row>
    <row r="15" spans="4:6" ht="12.75">
      <c r="D15" s="28" t="s">
        <v>501</v>
      </c>
      <c r="F15" s="34">
        <v>15.87695</v>
      </c>
    </row>
    <row r="16" spans="4:6" ht="12.75">
      <c r="D16" s="28" t="s">
        <v>502</v>
      </c>
      <c r="F16" s="34">
        <v>92.89</v>
      </c>
    </row>
    <row r="17" spans="1:48" ht="12.75">
      <c r="A17" s="10" t="s">
        <v>8</v>
      </c>
      <c r="B17" s="10"/>
      <c r="C17" s="10" t="s">
        <v>242</v>
      </c>
      <c r="D17" s="10" t="s">
        <v>503</v>
      </c>
      <c r="E17" s="10" t="s">
        <v>1083</v>
      </c>
      <c r="F17" s="33">
        <v>26.688</v>
      </c>
      <c r="G17" s="33">
        <v>0</v>
      </c>
      <c r="H17" s="33">
        <f>F17*AE17</f>
        <v>0</v>
      </c>
      <c r="I17" s="33">
        <f>J17-H17</f>
        <v>0</v>
      </c>
      <c r="J17" s="33">
        <f>F17*G17</f>
        <v>0</v>
      </c>
      <c r="K17" s="33">
        <v>0</v>
      </c>
      <c r="L17" s="33">
        <f>F17*K17</f>
        <v>0</v>
      </c>
      <c r="M17" s="55" t="s">
        <v>1113</v>
      </c>
      <c r="P17" s="59">
        <f>IF(AG17="5",J17,0)</f>
        <v>0</v>
      </c>
      <c r="R17" s="59">
        <f>IF(AG17="1",H17,0)</f>
        <v>0</v>
      </c>
      <c r="S17" s="59">
        <f>IF(AG17="1",I17,0)</f>
        <v>0</v>
      </c>
      <c r="T17" s="59">
        <f>IF(AG17="7",H17,0)</f>
        <v>0</v>
      </c>
      <c r="U17" s="59">
        <f>IF(AG17="7",I17,0)</f>
        <v>0</v>
      </c>
      <c r="V17" s="59">
        <f>IF(AG17="2",H17,0)</f>
        <v>0</v>
      </c>
      <c r="W17" s="59">
        <f>IF(AG17="2",I17,0)</f>
        <v>0</v>
      </c>
      <c r="X17" s="59">
        <f>IF(AG17="0",J17,0)</f>
        <v>0</v>
      </c>
      <c r="Y17" s="49"/>
      <c r="Z17" s="33">
        <f>IF(AD17=0,J17,0)</f>
        <v>0</v>
      </c>
      <c r="AA17" s="33">
        <f>IF(AD17=15,J17,0)</f>
        <v>0</v>
      </c>
      <c r="AB17" s="33">
        <f>IF(AD17=21,J17,0)</f>
        <v>0</v>
      </c>
      <c r="AD17" s="59">
        <v>21</v>
      </c>
      <c r="AE17" s="59">
        <f>G17*0</f>
        <v>0</v>
      </c>
      <c r="AF17" s="59">
        <f>G17*(1-0)</f>
        <v>0</v>
      </c>
      <c r="AG17" s="55" t="s">
        <v>7</v>
      </c>
      <c r="AM17" s="59">
        <f>F17*AE17</f>
        <v>0</v>
      </c>
      <c r="AN17" s="59">
        <f>F17*AF17</f>
        <v>0</v>
      </c>
      <c r="AO17" s="60" t="s">
        <v>1127</v>
      </c>
      <c r="AP17" s="60" t="s">
        <v>1169</v>
      </c>
      <c r="AQ17" s="49" t="s">
        <v>1182</v>
      </c>
      <c r="AS17" s="59">
        <f>AM17+AN17</f>
        <v>0</v>
      </c>
      <c r="AT17" s="59">
        <f>G17/(100-AU17)*100</f>
        <v>0</v>
      </c>
      <c r="AU17" s="59">
        <v>0</v>
      </c>
      <c r="AV17" s="59">
        <f>L17</f>
        <v>0</v>
      </c>
    </row>
    <row r="18" spans="4:6" ht="12.75">
      <c r="D18" s="28" t="s">
        <v>504</v>
      </c>
      <c r="F18" s="34">
        <v>2.9484</v>
      </c>
    </row>
    <row r="19" spans="4:6" ht="12.75">
      <c r="D19" s="28" t="s">
        <v>505</v>
      </c>
      <c r="F19" s="34">
        <v>4.1184</v>
      </c>
    </row>
    <row r="20" spans="4:6" ht="12.75">
      <c r="D20" s="28" t="s">
        <v>506</v>
      </c>
      <c r="F20" s="34">
        <v>2.9484</v>
      </c>
    </row>
    <row r="21" spans="4:6" ht="12.75">
      <c r="D21" s="28" t="s">
        <v>507</v>
      </c>
      <c r="F21" s="34">
        <v>2.2308</v>
      </c>
    </row>
    <row r="22" spans="4:6" ht="12.75">
      <c r="D22" s="28" t="s">
        <v>508</v>
      </c>
      <c r="F22" s="34">
        <v>7.236</v>
      </c>
    </row>
    <row r="23" spans="4:6" ht="12.75">
      <c r="D23" s="28" t="s">
        <v>509</v>
      </c>
      <c r="F23" s="34">
        <v>1.872</v>
      </c>
    </row>
    <row r="24" spans="4:6" ht="12.75">
      <c r="D24" s="28" t="s">
        <v>510</v>
      </c>
      <c r="F24" s="34">
        <v>4.086</v>
      </c>
    </row>
    <row r="25" spans="4:6" ht="12.75">
      <c r="D25" s="28" t="s">
        <v>511</v>
      </c>
      <c r="F25" s="34">
        <v>1.248</v>
      </c>
    </row>
    <row r="26" spans="1:37" ht="12.75">
      <c r="A26" s="11"/>
      <c r="B26" s="24"/>
      <c r="C26" s="24" t="s">
        <v>22</v>
      </c>
      <c r="D26" s="24" t="s">
        <v>512</v>
      </c>
      <c r="E26" s="11" t="s">
        <v>6</v>
      </c>
      <c r="F26" s="11" t="s">
        <v>6</v>
      </c>
      <c r="G26" s="11" t="s">
        <v>6</v>
      </c>
      <c r="H26" s="62">
        <f>SUM(H27:H46)</f>
        <v>0</v>
      </c>
      <c r="I26" s="62">
        <f>SUM(I27:I46)</f>
        <v>0</v>
      </c>
      <c r="J26" s="62">
        <f>H26+I26</f>
        <v>0</v>
      </c>
      <c r="K26" s="49"/>
      <c r="L26" s="62">
        <f>SUM(L27:L46)</f>
        <v>0</v>
      </c>
      <c r="M26" s="49"/>
      <c r="Y26" s="49"/>
      <c r="AI26" s="62">
        <f>SUM(Z27:Z46)</f>
        <v>0</v>
      </c>
      <c r="AJ26" s="62">
        <f>SUM(AA27:AA46)</f>
        <v>0</v>
      </c>
      <c r="AK26" s="62">
        <f>SUM(AB27:AB46)</f>
        <v>0</v>
      </c>
    </row>
    <row r="27" spans="1:48" ht="12.75">
      <c r="A27" s="10" t="s">
        <v>9</v>
      </c>
      <c r="B27" s="10"/>
      <c r="C27" s="10" t="s">
        <v>243</v>
      </c>
      <c r="D27" s="10" t="s">
        <v>513</v>
      </c>
      <c r="E27" s="10" t="s">
        <v>1083</v>
      </c>
      <c r="F27" s="33">
        <v>58.112</v>
      </c>
      <c r="G27" s="33">
        <v>0</v>
      </c>
      <c r="H27" s="33">
        <f>F27*AE27</f>
        <v>0</v>
      </c>
      <c r="I27" s="33">
        <f>J27-H27</f>
        <v>0</v>
      </c>
      <c r="J27" s="33">
        <f>F27*G27</f>
        <v>0</v>
      </c>
      <c r="K27" s="33">
        <v>0</v>
      </c>
      <c r="L27" s="33">
        <f>F27*K27</f>
        <v>0</v>
      </c>
      <c r="M27" s="55" t="s">
        <v>1113</v>
      </c>
      <c r="P27" s="59">
        <f>IF(AG27="5",J27,0)</f>
        <v>0</v>
      </c>
      <c r="R27" s="59">
        <f>IF(AG27="1",H27,0)</f>
        <v>0</v>
      </c>
      <c r="S27" s="59">
        <f>IF(AG27="1",I27,0)</f>
        <v>0</v>
      </c>
      <c r="T27" s="59">
        <f>IF(AG27="7",H27,0)</f>
        <v>0</v>
      </c>
      <c r="U27" s="59">
        <f>IF(AG27="7",I27,0)</f>
        <v>0</v>
      </c>
      <c r="V27" s="59">
        <f>IF(AG27="2",H27,0)</f>
        <v>0</v>
      </c>
      <c r="W27" s="59">
        <f>IF(AG27="2",I27,0)</f>
        <v>0</v>
      </c>
      <c r="X27" s="59">
        <f>IF(AG27="0",J27,0)</f>
        <v>0</v>
      </c>
      <c r="Y27" s="49"/>
      <c r="Z27" s="33">
        <f>IF(AD27=0,J27,0)</f>
        <v>0</v>
      </c>
      <c r="AA27" s="33">
        <f>IF(AD27=15,J27,0)</f>
        <v>0</v>
      </c>
      <c r="AB27" s="33">
        <f>IF(AD27=21,J27,0)</f>
        <v>0</v>
      </c>
      <c r="AD27" s="59">
        <v>21</v>
      </c>
      <c r="AE27" s="59">
        <f>G27*0</f>
        <v>0</v>
      </c>
      <c r="AF27" s="59">
        <f>G27*(1-0)</f>
        <v>0</v>
      </c>
      <c r="AG27" s="55" t="s">
        <v>7</v>
      </c>
      <c r="AM27" s="59">
        <f>F27*AE27</f>
        <v>0</v>
      </c>
      <c r="AN27" s="59">
        <f>F27*AF27</f>
        <v>0</v>
      </c>
      <c r="AO27" s="60" t="s">
        <v>1128</v>
      </c>
      <c r="AP27" s="60" t="s">
        <v>1169</v>
      </c>
      <c r="AQ27" s="49" t="s">
        <v>1182</v>
      </c>
      <c r="AS27" s="59">
        <f>AM27+AN27</f>
        <v>0</v>
      </c>
      <c r="AT27" s="59">
        <f>G27/(100-AU27)*100</f>
        <v>0</v>
      </c>
      <c r="AU27" s="59">
        <v>0</v>
      </c>
      <c r="AV27" s="59">
        <f>L27</f>
        <v>0</v>
      </c>
    </row>
    <row r="28" spans="4:6" ht="12.75">
      <c r="D28" s="28" t="s">
        <v>514</v>
      </c>
      <c r="F28" s="34">
        <v>58.112</v>
      </c>
    </row>
    <row r="29" spans="1:48" ht="12.75">
      <c r="A29" s="10" t="s">
        <v>10</v>
      </c>
      <c r="B29" s="10"/>
      <c r="C29" s="10" t="s">
        <v>244</v>
      </c>
      <c r="D29" s="10" t="s">
        <v>515</v>
      </c>
      <c r="E29" s="10" t="s">
        <v>1083</v>
      </c>
      <c r="F29" s="33">
        <v>151.002</v>
      </c>
      <c r="G29" s="33">
        <v>0</v>
      </c>
      <c r="H29" s="33">
        <f>F29*AE29</f>
        <v>0</v>
      </c>
      <c r="I29" s="33">
        <f>J29-H29</f>
        <v>0</v>
      </c>
      <c r="J29" s="33">
        <f>F29*G29</f>
        <v>0</v>
      </c>
      <c r="K29" s="33">
        <v>0</v>
      </c>
      <c r="L29" s="33">
        <f>F29*K29</f>
        <v>0</v>
      </c>
      <c r="M29" s="55" t="s">
        <v>1113</v>
      </c>
      <c r="P29" s="59">
        <f>IF(AG29="5",J29,0)</f>
        <v>0</v>
      </c>
      <c r="R29" s="59">
        <f>IF(AG29="1",H29,0)</f>
        <v>0</v>
      </c>
      <c r="S29" s="59">
        <f>IF(AG29="1",I29,0)</f>
        <v>0</v>
      </c>
      <c r="T29" s="59">
        <f>IF(AG29="7",H29,0)</f>
        <v>0</v>
      </c>
      <c r="U29" s="59">
        <f>IF(AG29="7",I29,0)</f>
        <v>0</v>
      </c>
      <c r="V29" s="59">
        <f>IF(AG29="2",H29,0)</f>
        <v>0</v>
      </c>
      <c r="W29" s="59">
        <f>IF(AG29="2",I29,0)</f>
        <v>0</v>
      </c>
      <c r="X29" s="59">
        <f>IF(AG29="0",J29,0)</f>
        <v>0</v>
      </c>
      <c r="Y29" s="49"/>
      <c r="Z29" s="33">
        <f>IF(AD29=0,J29,0)</f>
        <v>0</v>
      </c>
      <c r="AA29" s="33">
        <f>IF(AD29=15,J29,0)</f>
        <v>0</v>
      </c>
      <c r="AB29" s="33">
        <f>IF(AD29=21,J29,0)</f>
        <v>0</v>
      </c>
      <c r="AD29" s="59">
        <v>21</v>
      </c>
      <c r="AE29" s="59">
        <f>G29*0</f>
        <v>0</v>
      </c>
      <c r="AF29" s="59">
        <f>G29*(1-0)</f>
        <v>0</v>
      </c>
      <c r="AG29" s="55" t="s">
        <v>7</v>
      </c>
      <c r="AM29" s="59">
        <f>F29*AE29</f>
        <v>0</v>
      </c>
      <c r="AN29" s="59">
        <f>F29*AF29</f>
        <v>0</v>
      </c>
      <c r="AO29" s="60" t="s">
        <v>1128</v>
      </c>
      <c r="AP29" s="60" t="s">
        <v>1169</v>
      </c>
      <c r="AQ29" s="49" t="s">
        <v>1182</v>
      </c>
      <c r="AS29" s="59">
        <f>AM29+AN29</f>
        <v>0</v>
      </c>
      <c r="AT29" s="59">
        <f>G29/(100-AU29)*100</f>
        <v>0</v>
      </c>
      <c r="AU29" s="59">
        <v>0</v>
      </c>
      <c r="AV29" s="59">
        <f>L29</f>
        <v>0</v>
      </c>
    </row>
    <row r="30" spans="4:6" ht="12.75">
      <c r="D30" s="28" t="s">
        <v>516</v>
      </c>
      <c r="F30" s="34">
        <v>43.67</v>
      </c>
    </row>
    <row r="31" spans="4:6" ht="12.75">
      <c r="D31" s="28" t="s">
        <v>517</v>
      </c>
      <c r="F31" s="34">
        <v>9.108</v>
      </c>
    </row>
    <row r="32" spans="4:6" ht="12.75">
      <c r="D32" s="28" t="s">
        <v>518</v>
      </c>
      <c r="F32" s="34">
        <v>5.334</v>
      </c>
    </row>
    <row r="33" spans="4:6" ht="12.75">
      <c r="D33" s="28" t="s">
        <v>519</v>
      </c>
      <c r="F33" s="34">
        <v>92.89</v>
      </c>
    </row>
    <row r="34" spans="1:48" ht="12.75">
      <c r="A34" s="10" t="s">
        <v>11</v>
      </c>
      <c r="B34" s="10"/>
      <c r="C34" s="10" t="s">
        <v>245</v>
      </c>
      <c r="D34" s="10" t="s">
        <v>520</v>
      </c>
      <c r="E34" s="10" t="s">
        <v>1083</v>
      </c>
      <c r="F34" s="33">
        <v>151.002</v>
      </c>
      <c r="G34" s="33">
        <v>0</v>
      </c>
      <c r="H34" s="33">
        <f>F34*AE34</f>
        <v>0</v>
      </c>
      <c r="I34" s="33">
        <f>J34-H34</f>
        <v>0</v>
      </c>
      <c r="J34" s="33">
        <f>F34*G34</f>
        <v>0</v>
      </c>
      <c r="K34" s="33">
        <v>0</v>
      </c>
      <c r="L34" s="33">
        <f>F34*K34</f>
        <v>0</v>
      </c>
      <c r="M34" s="55" t="s">
        <v>1113</v>
      </c>
      <c r="P34" s="59">
        <f>IF(AG34="5",J34,0)</f>
        <v>0</v>
      </c>
      <c r="R34" s="59">
        <f>IF(AG34="1",H34,0)</f>
        <v>0</v>
      </c>
      <c r="S34" s="59">
        <f>IF(AG34="1",I34,0)</f>
        <v>0</v>
      </c>
      <c r="T34" s="59">
        <f>IF(AG34="7",H34,0)</f>
        <v>0</v>
      </c>
      <c r="U34" s="59">
        <f>IF(AG34="7",I34,0)</f>
        <v>0</v>
      </c>
      <c r="V34" s="59">
        <f>IF(AG34="2",H34,0)</f>
        <v>0</v>
      </c>
      <c r="W34" s="59">
        <f>IF(AG34="2",I34,0)</f>
        <v>0</v>
      </c>
      <c r="X34" s="59">
        <f>IF(AG34="0",J34,0)</f>
        <v>0</v>
      </c>
      <c r="Y34" s="49"/>
      <c r="Z34" s="33">
        <f>IF(AD34=0,J34,0)</f>
        <v>0</v>
      </c>
      <c r="AA34" s="33">
        <f>IF(AD34=15,J34,0)</f>
        <v>0</v>
      </c>
      <c r="AB34" s="33">
        <f>IF(AD34=21,J34,0)</f>
        <v>0</v>
      </c>
      <c r="AD34" s="59">
        <v>21</v>
      </c>
      <c r="AE34" s="59">
        <f>G34*0</f>
        <v>0</v>
      </c>
      <c r="AF34" s="59">
        <f>G34*(1-0)</f>
        <v>0</v>
      </c>
      <c r="AG34" s="55" t="s">
        <v>7</v>
      </c>
      <c r="AM34" s="59">
        <f>F34*AE34</f>
        <v>0</v>
      </c>
      <c r="AN34" s="59">
        <f>F34*AF34</f>
        <v>0</v>
      </c>
      <c r="AO34" s="60" t="s">
        <v>1128</v>
      </c>
      <c r="AP34" s="60" t="s">
        <v>1169</v>
      </c>
      <c r="AQ34" s="49" t="s">
        <v>1182</v>
      </c>
      <c r="AS34" s="59">
        <f>AM34+AN34</f>
        <v>0</v>
      </c>
      <c r="AT34" s="59">
        <f>G34/(100-AU34)*100</f>
        <v>0</v>
      </c>
      <c r="AU34" s="59">
        <v>0</v>
      </c>
      <c r="AV34" s="59">
        <f>L34</f>
        <v>0</v>
      </c>
    </row>
    <row r="35" spans="4:6" ht="12.75">
      <c r="D35" s="28" t="s">
        <v>516</v>
      </c>
      <c r="F35" s="34">
        <v>43.67</v>
      </c>
    </row>
    <row r="36" spans="4:6" ht="12.75">
      <c r="D36" s="28" t="s">
        <v>521</v>
      </c>
      <c r="F36" s="34">
        <v>9.108</v>
      </c>
    </row>
    <row r="37" spans="4:6" ht="12.75">
      <c r="D37" s="28" t="s">
        <v>522</v>
      </c>
      <c r="F37" s="34">
        <v>5.334</v>
      </c>
    </row>
    <row r="38" spans="4:6" ht="12.75">
      <c r="D38" s="28" t="s">
        <v>519</v>
      </c>
      <c r="F38" s="34">
        <v>92.89</v>
      </c>
    </row>
    <row r="39" spans="1:48" ht="12.75">
      <c r="A39" s="10" t="s">
        <v>12</v>
      </c>
      <c r="B39" s="10"/>
      <c r="C39" s="10" t="s">
        <v>246</v>
      </c>
      <c r="D39" s="10" t="s">
        <v>523</v>
      </c>
      <c r="E39" s="10" t="s">
        <v>1083</v>
      </c>
      <c r="F39" s="33">
        <v>151.002</v>
      </c>
      <c r="G39" s="33">
        <v>0</v>
      </c>
      <c r="H39" s="33">
        <f>F39*AE39</f>
        <v>0</v>
      </c>
      <c r="I39" s="33">
        <f>J39-H39</f>
        <v>0</v>
      </c>
      <c r="J39" s="33">
        <f>F39*G39</f>
        <v>0</v>
      </c>
      <c r="K39" s="33">
        <v>0</v>
      </c>
      <c r="L39" s="33">
        <f>F39*K39</f>
        <v>0</v>
      </c>
      <c r="M39" s="55" t="s">
        <v>1113</v>
      </c>
      <c r="P39" s="59">
        <f>IF(AG39="5",J39,0)</f>
        <v>0</v>
      </c>
      <c r="R39" s="59">
        <f>IF(AG39="1",H39,0)</f>
        <v>0</v>
      </c>
      <c r="S39" s="59">
        <f>IF(AG39="1",I39,0)</f>
        <v>0</v>
      </c>
      <c r="T39" s="59">
        <f>IF(AG39="7",H39,0)</f>
        <v>0</v>
      </c>
      <c r="U39" s="59">
        <f>IF(AG39="7",I39,0)</f>
        <v>0</v>
      </c>
      <c r="V39" s="59">
        <f>IF(AG39="2",H39,0)</f>
        <v>0</v>
      </c>
      <c r="W39" s="59">
        <f>IF(AG39="2",I39,0)</f>
        <v>0</v>
      </c>
      <c r="X39" s="59">
        <f>IF(AG39="0",J39,0)</f>
        <v>0</v>
      </c>
      <c r="Y39" s="49"/>
      <c r="Z39" s="33">
        <f>IF(AD39=0,J39,0)</f>
        <v>0</v>
      </c>
      <c r="AA39" s="33">
        <f>IF(AD39=15,J39,0)</f>
        <v>0</v>
      </c>
      <c r="AB39" s="33">
        <f>IF(AD39=21,J39,0)</f>
        <v>0</v>
      </c>
      <c r="AD39" s="59">
        <v>21</v>
      </c>
      <c r="AE39" s="59">
        <f>G39*0</f>
        <v>0</v>
      </c>
      <c r="AF39" s="59">
        <f>G39*(1-0)</f>
        <v>0</v>
      </c>
      <c r="AG39" s="55" t="s">
        <v>7</v>
      </c>
      <c r="AM39" s="59">
        <f>F39*AE39</f>
        <v>0</v>
      </c>
      <c r="AN39" s="59">
        <f>F39*AF39</f>
        <v>0</v>
      </c>
      <c r="AO39" s="60" t="s">
        <v>1128</v>
      </c>
      <c r="AP39" s="60" t="s">
        <v>1169</v>
      </c>
      <c r="AQ39" s="49" t="s">
        <v>1182</v>
      </c>
      <c r="AS39" s="59">
        <f>AM39+AN39</f>
        <v>0</v>
      </c>
      <c r="AT39" s="59">
        <f>G39/(100-AU39)*100</f>
        <v>0</v>
      </c>
      <c r="AU39" s="59">
        <v>0</v>
      </c>
      <c r="AV39" s="59">
        <f>L39</f>
        <v>0</v>
      </c>
    </row>
    <row r="40" spans="4:6" ht="12.75">
      <c r="D40" s="28" t="s">
        <v>516</v>
      </c>
      <c r="F40" s="34">
        <v>43.67</v>
      </c>
    </row>
    <row r="41" spans="4:6" ht="12.75">
      <c r="D41" s="28" t="s">
        <v>521</v>
      </c>
      <c r="F41" s="34">
        <v>9.108</v>
      </c>
    </row>
    <row r="42" spans="4:6" ht="12.75">
      <c r="D42" s="28" t="s">
        <v>522</v>
      </c>
      <c r="F42" s="34">
        <v>5.334</v>
      </c>
    </row>
    <row r="43" spans="4:6" ht="12.75">
      <c r="D43" s="28" t="s">
        <v>519</v>
      </c>
      <c r="F43" s="34">
        <v>92.89</v>
      </c>
    </row>
    <row r="44" spans="1:48" ht="12.75">
      <c r="A44" s="10" t="s">
        <v>13</v>
      </c>
      <c r="B44" s="10"/>
      <c r="C44" s="10" t="s">
        <v>247</v>
      </c>
      <c r="D44" s="10" t="s">
        <v>524</v>
      </c>
      <c r="E44" s="10" t="s">
        <v>1083</v>
      </c>
      <c r="F44" s="33">
        <v>4832.064</v>
      </c>
      <c r="G44" s="33">
        <v>0</v>
      </c>
      <c r="H44" s="33">
        <f>F44*AE44</f>
        <v>0</v>
      </c>
      <c r="I44" s="33">
        <f>J44-H44</f>
        <v>0</v>
      </c>
      <c r="J44" s="33">
        <f>F44*G44</f>
        <v>0</v>
      </c>
      <c r="K44" s="33">
        <v>0</v>
      </c>
      <c r="L44" s="33">
        <f>F44*K44</f>
        <v>0</v>
      </c>
      <c r="M44" s="55" t="s">
        <v>1113</v>
      </c>
      <c r="P44" s="59">
        <f>IF(AG44="5",J44,0)</f>
        <v>0</v>
      </c>
      <c r="R44" s="59">
        <f>IF(AG44="1",H44,0)</f>
        <v>0</v>
      </c>
      <c r="S44" s="59">
        <f>IF(AG44="1",I44,0)</f>
        <v>0</v>
      </c>
      <c r="T44" s="59">
        <f>IF(AG44="7",H44,0)</f>
        <v>0</v>
      </c>
      <c r="U44" s="59">
        <f>IF(AG44="7",I44,0)</f>
        <v>0</v>
      </c>
      <c r="V44" s="59">
        <f>IF(AG44="2",H44,0)</f>
        <v>0</v>
      </c>
      <c r="W44" s="59">
        <f>IF(AG44="2",I44,0)</f>
        <v>0</v>
      </c>
      <c r="X44" s="59">
        <f>IF(AG44="0",J44,0)</f>
        <v>0</v>
      </c>
      <c r="Y44" s="49"/>
      <c r="Z44" s="33">
        <f>IF(AD44=0,J44,0)</f>
        <v>0</v>
      </c>
      <c r="AA44" s="33">
        <f>IF(AD44=15,J44,0)</f>
        <v>0</v>
      </c>
      <c r="AB44" s="33">
        <f>IF(AD44=21,J44,0)</f>
        <v>0</v>
      </c>
      <c r="AD44" s="59">
        <v>21</v>
      </c>
      <c r="AE44" s="59">
        <f>G44*0</f>
        <v>0</v>
      </c>
      <c r="AF44" s="59">
        <f>G44*(1-0)</f>
        <v>0</v>
      </c>
      <c r="AG44" s="55" t="s">
        <v>7</v>
      </c>
      <c r="AM44" s="59">
        <f>F44*AE44</f>
        <v>0</v>
      </c>
      <c r="AN44" s="59">
        <f>F44*AF44</f>
        <v>0</v>
      </c>
      <c r="AO44" s="60" t="s">
        <v>1128</v>
      </c>
      <c r="AP44" s="60" t="s">
        <v>1169</v>
      </c>
      <c r="AQ44" s="49" t="s">
        <v>1182</v>
      </c>
      <c r="AS44" s="59">
        <f>AM44+AN44</f>
        <v>0</v>
      </c>
      <c r="AT44" s="59">
        <f>G44/(100-AU44)*100</f>
        <v>0</v>
      </c>
      <c r="AU44" s="59">
        <v>0</v>
      </c>
      <c r="AV44" s="59">
        <f>L44</f>
        <v>0</v>
      </c>
    </row>
    <row r="45" spans="4:6" ht="12.75">
      <c r="D45" s="28" t="s">
        <v>525</v>
      </c>
      <c r="F45" s="34">
        <v>4832.064</v>
      </c>
    </row>
    <row r="46" spans="1:48" ht="12.75">
      <c r="A46" s="10" t="s">
        <v>14</v>
      </c>
      <c r="B46" s="10"/>
      <c r="C46" s="10" t="s">
        <v>248</v>
      </c>
      <c r="D46" s="10" t="s">
        <v>526</v>
      </c>
      <c r="E46" s="10" t="s">
        <v>1083</v>
      </c>
      <c r="F46" s="33">
        <v>151.002</v>
      </c>
      <c r="G46" s="33">
        <v>0</v>
      </c>
      <c r="H46" s="33">
        <f>F46*AE46</f>
        <v>0</v>
      </c>
      <c r="I46" s="33">
        <f>J46-H46</f>
        <v>0</v>
      </c>
      <c r="J46" s="33">
        <f>F46*G46</f>
        <v>0</v>
      </c>
      <c r="K46" s="33">
        <v>0</v>
      </c>
      <c r="L46" s="33">
        <f>F46*K46</f>
        <v>0</v>
      </c>
      <c r="M46" s="55" t="s">
        <v>1113</v>
      </c>
      <c r="P46" s="59">
        <f>IF(AG46="5",J46,0)</f>
        <v>0</v>
      </c>
      <c r="R46" s="59">
        <f>IF(AG46="1",H46,0)</f>
        <v>0</v>
      </c>
      <c r="S46" s="59">
        <f>IF(AG46="1",I46,0)</f>
        <v>0</v>
      </c>
      <c r="T46" s="59">
        <f>IF(AG46="7",H46,0)</f>
        <v>0</v>
      </c>
      <c r="U46" s="59">
        <f>IF(AG46="7",I46,0)</f>
        <v>0</v>
      </c>
      <c r="V46" s="59">
        <f>IF(AG46="2",H46,0)</f>
        <v>0</v>
      </c>
      <c r="W46" s="59">
        <f>IF(AG46="2",I46,0)</f>
        <v>0</v>
      </c>
      <c r="X46" s="59">
        <f>IF(AG46="0",J46,0)</f>
        <v>0</v>
      </c>
      <c r="Y46" s="49"/>
      <c r="Z46" s="33">
        <f>IF(AD46=0,J46,0)</f>
        <v>0</v>
      </c>
      <c r="AA46" s="33">
        <f>IF(AD46=15,J46,0)</f>
        <v>0</v>
      </c>
      <c r="AB46" s="33">
        <f>IF(AD46=21,J46,0)</f>
        <v>0</v>
      </c>
      <c r="AD46" s="59">
        <v>21</v>
      </c>
      <c r="AE46" s="59">
        <f>G46*0</f>
        <v>0</v>
      </c>
      <c r="AF46" s="59">
        <f>G46*(1-0)</f>
        <v>0</v>
      </c>
      <c r="AG46" s="55" t="s">
        <v>7</v>
      </c>
      <c r="AM46" s="59">
        <f>F46*AE46</f>
        <v>0</v>
      </c>
      <c r="AN46" s="59">
        <f>F46*AF46</f>
        <v>0</v>
      </c>
      <c r="AO46" s="60" t="s">
        <v>1128</v>
      </c>
      <c r="AP46" s="60" t="s">
        <v>1169</v>
      </c>
      <c r="AQ46" s="49" t="s">
        <v>1182</v>
      </c>
      <c r="AS46" s="59">
        <f>AM46+AN46</f>
        <v>0</v>
      </c>
      <c r="AT46" s="59">
        <f>G46/(100-AU46)*100</f>
        <v>0</v>
      </c>
      <c r="AU46" s="59">
        <v>0</v>
      </c>
      <c r="AV46" s="59">
        <f>L46</f>
        <v>0</v>
      </c>
    </row>
    <row r="47" spans="4:6" ht="12.75">
      <c r="D47" s="28" t="s">
        <v>516</v>
      </c>
      <c r="F47" s="34">
        <v>43.67</v>
      </c>
    </row>
    <row r="48" spans="4:6" ht="12.75">
      <c r="D48" s="28" t="s">
        <v>521</v>
      </c>
      <c r="F48" s="34">
        <v>9.108</v>
      </c>
    </row>
    <row r="49" spans="4:6" ht="12.75">
      <c r="D49" s="28" t="s">
        <v>522</v>
      </c>
      <c r="F49" s="34">
        <v>5.334</v>
      </c>
    </row>
    <row r="50" spans="4:6" ht="12.75">
      <c r="D50" s="28" t="s">
        <v>519</v>
      </c>
      <c r="F50" s="34">
        <v>92.89</v>
      </c>
    </row>
    <row r="51" spans="1:37" ht="12.75">
      <c r="A51" s="11"/>
      <c r="B51" s="24"/>
      <c r="C51" s="24" t="s">
        <v>25</v>
      </c>
      <c r="D51" s="24" t="s">
        <v>527</v>
      </c>
      <c r="E51" s="11" t="s">
        <v>6</v>
      </c>
      <c r="F51" s="11" t="s">
        <v>6</v>
      </c>
      <c r="G51" s="11" t="s">
        <v>6</v>
      </c>
      <c r="H51" s="62">
        <f>SUM(H52:H52)</f>
        <v>0</v>
      </c>
      <c r="I51" s="62">
        <f>SUM(I52:I52)</f>
        <v>0</v>
      </c>
      <c r="J51" s="62">
        <f>H51+I51</f>
        <v>0</v>
      </c>
      <c r="K51" s="49"/>
      <c r="L51" s="62">
        <f>SUM(L52:L52)</f>
        <v>0</v>
      </c>
      <c r="M51" s="49"/>
      <c r="Y51" s="49"/>
      <c r="AI51" s="62">
        <f>SUM(Z52:Z52)</f>
        <v>0</v>
      </c>
      <c r="AJ51" s="62">
        <f>SUM(AA52:AA52)</f>
        <v>0</v>
      </c>
      <c r="AK51" s="62">
        <f>SUM(AB52:AB52)</f>
        <v>0</v>
      </c>
    </row>
    <row r="52" spans="1:48" ht="12.75">
      <c r="A52" s="10" t="s">
        <v>15</v>
      </c>
      <c r="B52" s="10"/>
      <c r="C52" s="10" t="s">
        <v>249</v>
      </c>
      <c r="D52" s="10" t="s">
        <v>528</v>
      </c>
      <c r="E52" s="10" t="s">
        <v>1083</v>
      </c>
      <c r="F52" s="33">
        <v>150.002</v>
      </c>
      <c r="G52" s="33">
        <v>0</v>
      </c>
      <c r="H52" s="33">
        <f>F52*AE52</f>
        <v>0</v>
      </c>
      <c r="I52" s="33">
        <f>J52-H52</f>
        <v>0</v>
      </c>
      <c r="J52" s="33">
        <f>F52*G52</f>
        <v>0</v>
      </c>
      <c r="K52" s="33">
        <v>0</v>
      </c>
      <c r="L52" s="33">
        <f>F52*K52</f>
        <v>0</v>
      </c>
      <c r="M52" s="55" t="s">
        <v>1113</v>
      </c>
      <c r="P52" s="59">
        <f>IF(AG52="5",J52,0)</f>
        <v>0</v>
      </c>
      <c r="R52" s="59">
        <f>IF(AG52="1",H52,0)</f>
        <v>0</v>
      </c>
      <c r="S52" s="59">
        <f>IF(AG52="1",I52,0)</f>
        <v>0</v>
      </c>
      <c r="T52" s="59">
        <f>IF(AG52="7",H52,0)</f>
        <v>0</v>
      </c>
      <c r="U52" s="59">
        <f>IF(AG52="7",I52,0)</f>
        <v>0</v>
      </c>
      <c r="V52" s="59">
        <f>IF(AG52="2",H52,0)</f>
        <v>0</v>
      </c>
      <c r="W52" s="59">
        <f>IF(AG52="2",I52,0)</f>
        <v>0</v>
      </c>
      <c r="X52" s="59">
        <f>IF(AG52="0",J52,0)</f>
        <v>0</v>
      </c>
      <c r="Y52" s="49"/>
      <c r="Z52" s="33">
        <f>IF(AD52=0,J52,0)</f>
        <v>0</v>
      </c>
      <c r="AA52" s="33">
        <f>IF(AD52=15,J52,0)</f>
        <v>0</v>
      </c>
      <c r="AB52" s="33">
        <f>IF(AD52=21,J52,0)</f>
        <v>0</v>
      </c>
      <c r="AD52" s="59">
        <v>21</v>
      </c>
      <c r="AE52" s="59">
        <f>G52*0</f>
        <v>0</v>
      </c>
      <c r="AF52" s="59">
        <f>G52*(1-0)</f>
        <v>0</v>
      </c>
      <c r="AG52" s="55" t="s">
        <v>7</v>
      </c>
      <c r="AM52" s="59">
        <f>F52*AE52</f>
        <v>0</v>
      </c>
      <c r="AN52" s="59">
        <f>F52*AF52</f>
        <v>0</v>
      </c>
      <c r="AO52" s="60" t="s">
        <v>1129</v>
      </c>
      <c r="AP52" s="60" t="s">
        <v>1169</v>
      </c>
      <c r="AQ52" s="49" t="s">
        <v>1182</v>
      </c>
      <c r="AS52" s="59">
        <f>AM52+AN52</f>
        <v>0</v>
      </c>
      <c r="AT52" s="59">
        <f>G52/(100-AU52)*100</f>
        <v>0</v>
      </c>
      <c r="AU52" s="59">
        <v>0</v>
      </c>
      <c r="AV52" s="59">
        <f>L52</f>
        <v>0</v>
      </c>
    </row>
    <row r="53" spans="4:6" ht="12.75">
      <c r="D53" s="28" t="s">
        <v>516</v>
      </c>
      <c r="F53" s="34">
        <v>43.67</v>
      </c>
    </row>
    <row r="54" spans="4:6" ht="12.75">
      <c r="D54" s="28" t="s">
        <v>529</v>
      </c>
      <c r="F54" s="34">
        <v>8.108</v>
      </c>
    </row>
    <row r="55" spans="4:6" ht="12.75">
      <c r="D55" s="28" t="s">
        <v>522</v>
      </c>
      <c r="F55" s="34">
        <v>5.334</v>
      </c>
    </row>
    <row r="56" spans="4:6" ht="12.75">
      <c r="D56" s="28" t="s">
        <v>519</v>
      </c>
      <c r="F56" s="34">
        <v>92.89</v>
      </c>
    </row>
    <row r="57" spans="1:37" ht="12.75">
      <c r="A57" s="11"/>
      <c r="B57" s="24"/>
      <c r="C57" s="24" t="s">
        <v>28</v>
      </c>
      <c r="D57" s="24" t="s">
        <v>530</v>
      </c>
      <c r="E57" s="11" t="s">
        <v>6</v>
      </c>
      <c r="F57" s="11" t="s">
        <v>6</v>
      </c>
      <c r="G57" s="11" t="s">
        <v>6</v>
      </c>
      <c r="H57" s="62">
        <f>SUM(H58:H58)</f>
        <v>0</v>
      </c>
      <c r="I57" s="62">
        <f>SUM(I58:I58)</f>
        <v>0</v>
      </c>
      <c r="J57" s="62">
        <f>H57+I57</f>
        <v>0</v>
      </c>
      <c r="K57" s="49"/>
      <c r="L57" s="62">
        <f>SUM(L58:L58)</f>
        <v>4.32918</v>
      </c>
      <c r="M57" s="49"/>
      <c r="Y57" s="49"/>
      <c r="AI57" s="62">
        <f>SUM(Z58:Z58)</f>
        <v>0</v>
      </c>
      <c r="AJ57" s="62">
        <f>SUM(AA58:AA58)</f>
        <v>0</v>
      </c>
      <c r="AK57" s="62">
        <f>SUM(AB58:AB58)</f>
        <v>0</v>
      </c>
    </row>
    <row r="58" spans="1:48" ht="12.75">
      <c r="A58" s="10" t="s">
        <v>16</v>
      </c>
      <c r="B58" s="10"/>
      <c r="C58" s="10" t="s">
        <v>250</v>
      </c>
      <c r="D58" s="10" t="s">
        <v>531</v>
      </c>
      <c r="E58" s="10" t="s">
        <v>1084</v>
      </c>
      <c r="F58" s="33">
        <v>54</v>
      </c>
      <c r="G58" s="33">
        <v>0</v>
      </c>
      <c r="H58" s="33">
        <f>F58*AE58</f>
        <v>0</v>
      </c>
      <c r="I58" s="33">
        <f>J58-H58</f>
        <v>0</v>
      </c>
      <c r="J58" s="33">
        <f>F58*G58</f>
        <v>0</v>
      </c>
      <c r="K58" s="33">
        <v>0.08017</v>
      </c>
      <c r="L58" s="33">
        <f>F58*K58</f>
        <v>4.32918</v>
      </c>
      <c r="M58" s="55" t="s">
        <v>1113</v>
      </c>
      <c r="P58" s="59">
        <f>IF(AG58="5",J58,0)</f>
        <v>0</v>
      </c>
      <c r="R58" s="59">
        <f>IF(AG58="1",H58,0)</f>
        <v>0</v>
      </c>
      <c r="S58" s="59">
        <f>IF(AG58="1",I58,0)</f>
        <v>0</v>
      </c>
      <c r="T58" s="59">
        <f>IF(AG58="7",H58,0)</f>
        <v>0</v>
      </c>
      <c r="U58" s="59">
        <f>IF(AG58="7",I58,0)</f>
        <v>0</v>
      </c>
      <c r="V58" s="59">
        <f>IF(AG58="2",H58,0)</f>
        <v>0</v>
      </c>
      <c r="W58" s="59">
        <f>IF(AG58="2",I58,0)</f>
        <v>0</v>
      </c>
      <c r="X58" s="59">
        <f>IF(AG58="0",J58,0)</f>
        <v>0</v>
      </c>
      <c r="Y58" s="49"/>
      <c r="Z58" s="33">
        <f>IF(AD58=0,J58,0)</f>
        <v>0</v>
      </c>
      <c r="AA58" s="33">
        <f>IF(AD58=15,J58,0)</f>
        <v>0</v>
      </c>
      <c r="AB58" s="33">
        <f>IF(AD58=21,J58,0)</f>
        <v>0</v>
      </c>
      <c r="AD58" s="59">
        <v>21</v>
      </c>
      <c r="AE58" s="59">
        <f>G58*0.54204609929078</f>
        <v>0</v>
      </c>
      <c r="AF58" s="59">
        <f>G58*(1-0.54204609929078)</f>
        <v>0</v>
      </c>
      <c r="AG58" s="55" t="s">
        <v>7</v>
      </c>
      <c r="AM58" s="59">
        <f>F58*AE58</f>
        <v>0</v>
      </c>
      <c r="AN58" s="59">
        <f>F58*AF58</f>
        <v>0</v>
      </c>
      <c r="AO58" s="60" t="s">
        <v>1130</v>
      </c>
      <c r="AP58" s="60" t="s">
        <v>1170</v>
      </c>
      <c r="AQ58" s="49" t="s">
        <v>1182</v>
      </c>
      <c r="AS58" s="59">
        <f>AM58+AN58</f>
        <v>0</v>
      </c>
      <c r="AT58" s="59">
        <f>G58/(100-AU58)*100</f>
        <v>0</v>
      </c>
      <c r="AU58" s="59">
        <v>0</v>
      </c>
      <c r="AV58" s="59">
        <f>L58</f>
        <v>4.32918</v>
      </c>
    </row>
    <row r="59" spans="4:6" ht="12.75">
      <c r="D59" s="28" t="s">
        <v>532</v>
      </c>
      <c r="F59" s="34">
        <v>54</v>
      </c>
    </row>
    <row r="60" spans="1:37" ht="12.75">
      <c r="A60" s="11"/>
      <c r="B60" s="24"/>
      <c r="C60" s="24" t="s">
        <v>33</v>
      </c>
      <c r="D60" s="24" t="s">
        <v>533</v>
      </c>
      <c r="E60" s="11" t="s">
        <v>6</v>
      </c>
      <c r="F60" s="11" t="s">
        <v>6</v>
      </c>
      <c r="G60" s="11" t="s">
        <v>6</v>
      </c>
      <c r="H60" s="62">
        <f>SUM(H61:H84)</f>
        <v>0</v>
      </c>
      <c r="I60" s="62">
        <f>SUM(I61:I84)</f>
        <v>0</v>
      </c>
      <c r="J60" s="62">
        <f>H60+I60</f>
        <v>0</v>
      </c>
      <c r="K60" s="49"/>
      <c r="L60" s="62">
        <f>SUM(L61:L84)</f>
        <v>194.3410693344</v>
      </c>
      <c r="M60" s="49"/>
      <c r="Y60" s="49"/>
      <c r="AI60" s="62">
        <f>SUM(Z61:Z84)</f>
        <v>0</v>
      </c>
      <c r="AJ60" s="62">
        <f>SUM(AA61:AA84)</f>
        <v>0</v>
      </c>
      <c r="AK60" s="62">
        <f>SUM(AB61:AB84)</f>
        <v>0</v>
      </c>
    </row>
    <row r="61" spans="1:48" ht="12.75">
      <c r="A61" s="10" t="s">
        <v>17</v>
      </c>
      <c r="B61" s="10"/>
      <c r="C61" s="10" t="s">
        <v>251</v>
      </c>
      <c r="D61" s="10" t="s">
        <v>534</v>
      </c>
      <c r="E61" s="10" t="s">
        <v>1083</v>
      </c>
      <c r="F61" s="33">
        <v>28.632</v>
      </c>
      <c r="G61" s="33">
        <v>0</v>
      </c>
      <c r="H61" s="33">
        <f>F61*AE61</f>
        <v>0</v>
      </c>
      <c r="I61" s="33">
        <f>J61-H61</f>
        <v>0</v>
      </c>
      <c r="J61" s="33">
        <f>F61*G61</f>
        <v>0</v>
      </c>
      <c r="K61" s="33">
        <v>2.52766</v>
      </c>
      <c r="L61" s="33">
        <f>F61*K61</f>
        <v>72.37196112000001</v>
      </c>
      <c r="M61" s="55" t="s">
        <v>1113</v>
      </c>
      <c r="P61" s="59">
        <f>IF(AG61="5",J61,0)</f>
        <v>0</v>
      </c>
      <c r="R61" s="59">
        <f>IF(AG61="1",H61,0)</f>
        <v>0</v>
      </c>
      <c r="S61" s="59">
        <f>IF(AG61="1",I61,0)</f>
        <v>0</v>
      </c>
      <c r="T61" s="59">
        <f>IF(AG61="7",H61,0)</f>
        <v>0</v>
      </c>
      <c r="U61" s="59">
        <f>IF(AG61="7",I61,0)</f>
        <v>0</v>
      </c>
      <c r="V61" s="59">
        <f>IF(AG61="2",H61,0)</f>
        <v>0</v>
      </c>
      <c r="W61" s="59">
        <f>IF(AG61="2",I61,0)</f>
        <v>0</v>
      </c>
      <c r="X61" s="59">
        <f>IF(AG61="0",J61,0)</f>
        <v>0</v>
      </c>
      <c r="Y61" s="49"/>
      <c r="Z61" s="33">
        <f>IF(AD61=0,J61,0)</f>
        <v>0</v>
      </c>
      <c r="AA61" s="33">
        <f>IF(AD61=15,J61,0)</f>
        <v>0</v>
      </c>
      <c r="AB61" s="33">
        <f>IF(AD61=21,J61,0)</f>
        <v>0</v>
      </c>
      <c r="AD61" s="59">
        <v>21</v>
      </c>
      <c r="AE61" s="59">
        <f>G61*0.461342131979695</f>
        <v>0</v>
      </c>
      <c r="AF61" s="59">
        <f>G61*(1-0.461342131979695)</f>
        <v>0</v>
      </c>
      <c r="AG61" s="55" t="s">
        <v>7</v>
      </c>
      <c r="AM61" s="59">
        <f>F61*AE61</f>
        <v>0</v>
      </c>
      <c r="AN61" s="59">
        <f>F61*AF61</f>
        <v>0</v>
      </c>
      <c r="AO61" s="60" t="s">
        <v>1131</v>
      </c>
      <c r="AP61" s="60" t="s">
        <v>1170</v>
      </c>
      <c r="AQ61" s="49" t="s">
        <v>1182</v>
      </c>
      <c r="AS61" s="59">
        <f>AM61+AN61</f>
        <v>0</v>
      </c>
      <c r="AT61" s="59">
        <f>G61/(100-AU61)*100</f>
        <v>0</v>
      </c>
      <c r="AU61" s="59">
        <v>0</v>
      </c>
      <c r="AV61" s="59">
        <f>L61</f>
        <v>72.37196112000001</v>
      </c>
    </row>
    <row r="62" spans="4:6" ht="12.75">
      <c r="D62" s="28" t="s">
        <v>535</v>
      </c>
      <c r="F62" s="34">
        <v>7.066</v>
      </c>
    </row>
    <row r="63" spans="4:6" ht="12.75">
      <c r="D63" s="28" t="s">
        <v>536</v>
      </c>
      <c r="F63" s="34">
        <v>7.124</v>
      </c>
    </row>
    <row r="64" spans="4:6" ht="12.75">
      <c r="D64" s="28" t="s">
        <v>521</v>
      </c>
      <c r="F64" s="34">
        <v>9.108</v>
      </c>
    </row>
    <row r="65" spans="4:6" ht="12.75">
      <c r="D65" s="28" t="s">
        <v>522</v>
      </c>
      <c r="F65" s="34">
        <v>5.334</v>
      </c>
    </row>
    <row r="66" spans="1:48" ht="12.75">
      <c r="A66" s="10" t="s">
        <v>18</v>
      </c>
      <c r="B66" s="10"/>
      <c r="C66" s="10" t="s">
        <v>252</v>
      </c>
      <c r="D66" s="10" t="s">
        <v>537</v>
      </c>
      <c r="E66" s="10" t="s">
        <v>1083</v>
      </c>
      <c r="F66" s="33">
        <v>2.508</v>
      </c>
      <c r="G66" s="33">
        <v>0</v>
      </c>
      <c r="H66" s="33">
        <f>F66*AE66</f>
        <v>0</v>
      </c>
      <c r="I66" s="33">
        <f>J66-H66</f>
        <v>0</v>
      </c>
      <c r="J66" s="33">
        <f>F66*G66</f>
        <v>0</v>
      </c>
      <c r="K66" s="33">
        <v>1.78164</v>
      </c>
      <c r="L66" s="33">
        <f>F66*K66</f>
        <v>4.46835312</v>
      </c>
      <c r="M66" s="55" t="s">
        <v>1113</v>
      </c>
      <c r="P66" s="59">
        <f>IF(AG66="5",J66,0)</f>
        <v>0</v>
      </c>
      <c r="R66" s="59">
        <f>IF(AG66="1",H66,0)</f>
        <v>0</v>
      </c>
      <c r="S66" s="59">
        <f>IF(AG66="1",I66,0)</f>
        <v>0</v>
      </c>
      <c r="T66" s="59">
        <f>IF(AG66="7",H66,0)</f>
        <v>0</v>
      </c>
      <c r="U66" s="59">
        <f>IF(AG66="7",I66,0)</f>
        <v>0</v>
      </c>
      <c r="V66" s="59">
        <f>IF(AG66="2",H66,0)</f>
        <v>0</v>
      </c>
      <c r="W66" s="59">
        <f>IF(AG66="2",I66,0)</f>
        <v>0</v>
      </c>
      <c r="X66" s="59">
        <f>IF(AG66="0",J66,0)</f>
        <v>0</v>
      </c>
      <c r="Y66" s="49"/>
      <c r="Z66" s="33">
        <f>IF(AD66=0,J66,0)</f>
        <v>0</v>
      </c>
      <c r="AA66" s="33">
        <f>IF(AD66=15,J66,0)</f>
        <v>0</v>
      </c>
      <c r="AB66" s="33">
        <f>IF(AD66=21,J66,0)</f>
        <v>0</v>
      </c>
      <c r="AD66" s="59">
        <v>21</v>
      </c>
      <c r="AE66" s="59">
        <f>G66*0.645061959589624</f>
        <v>0</v>
      </c>
      <c r="AF66" s="59">
        <f>G66*(1-0.645061959589624)</f>
        <v>0</v>
      </c>
      <c r="AG66" s="55" t="s">
        <v>7</v>
      </c>
      <c r="AM66" s="59">
        <f>F66*AE66</f>
        <v>0</v>
      </c>
      <c r="AN66" s="59">
        <f>F66*AF66</f>
        <v>0</v>
      </c>
      <c r="AO66" s="60" t="s">
        <v>1131</v>
      </c>
      <c r="AP66" s="60" t="s">
        <v>1170</v>
      </c>
      <c r="AQ66" s="49" t="s">
        <v>1182</v>
      </c>
      <c r="AS66" s="59">
        <f>AM66+AN66</f>
        <v>0</v>
      </c>
      <c r="AT66" s="59">
        <f>G66/(100-AU66)*100</f>
        <v>0</v>
      </c>
      <c r="AU66" s="59">
        <v>0</v>
      </c>
      <c r="AV66" s="59">
        <f>L66</f>
        <v>4.46835312</v>
      </c>
    </row>
    <row r="67" spans="4:6" ht="12.75">
      <c r="D67" s="28" t="s">
        <v>538</v>
      </c>
      <c r="F67" s="34">
        <v>1.254</v>
      </c>
    </row>
    <row r="68" spans="4:6" ht="12.75">
      <c r="D68" s="28" t="s">
        <v>539</v>
      </c>
      <c r="F68" s="34">
        <v>1.254</v>
      </c>
    </row>
    <row r="69" spans="1:48" ht="12.75">
      <c r="A69" s="10" t="s">
        <v>19</v>
      </c>
      <c r="B69" s="10"/>
      <c r="C69" s="10" t="s">
        <v>253</v>
      </c>
      <c r="D69" s="10" t="s">
        <v>540</v>
      </c>
      <c r="E69" s="10" t="s">
        <v>1083</v>
      </c>
      <c r="F69" s="33">
        <v>3.344</v>
      </c>
      <c r="G69" s="33">
        <v>0</v>
      </c>
      <c r="H69" s="33">
        <f>F69*AE69</f>
        <v>0</v>
      </c>
      <c r="I69" s="33">
        <f>J69-H69</f>
        <v>0</v>
      </c>
      <c r="J69" s="33">
        <f>F69*G69</f>
        <v>0</v>
      </c>
      <c r="K69" s="33">
        <v>2.5856</v>
      </c>
      <c r="L69" s="33">
        <f>F69*K69</f>
        <v>8.646246399999999</v>
      </c>
      <c r="M69" s="55" t="s">
        <v>1113</v>
      </c>
      <c r="P69" s="59">
        <f>IF(AG69="5",J69,0)</f>
        <v>0</v>
      </c>
      <c r="R69" s="59">
        <f>IF(AG69="1",H69,0)</f>
        <v>0</v>
      </c>
      <c r="S69" s="59">
        <f>IF(AG69="1",I69,0)</f>
        <v>0</v>
      </c>
      <c r="T69" s="59">
        <f>IF(AG69="7",H69,0)</f>
        <v>0</v>
      </c>
      <c r="U69" s="59">
        <f>IF(AG69="7",I69,0)</f>
        <v>0</v>
      </c>
      <c r="V69" s="59">
        <f>IF(AG69="2",H69,0)</f>
        <v>0</v>
      </c>
      <c r="W69" s="59">
        <f>IF(AG69="2",I69,0)</f>
        <v>0</v>
      </c>
      <c r="X69" s="59">
        <f>IF(AG69="0",J69,0)</f>
        <v>0</v>
      </c>
      <c r="Y69" s="49"/>
      <c r="Z69" s="33">
        <f>IF(AD69=0,J69,0)</f>
        <v>0</v>
      </c>
      <c r="AA69" s="33">
        <f>IF(AD69=15,J69,0)</f>
        <v>0</v>
      </c>
      <c r="AB69" s="33">
        <f>IF(AD69=21,J69,0)</f>
        <v>0</v>
      </c>
      <c r="AD69" s="59">
        <v>21</v>
      </c>
      <c r="AE69" s="59">
        <f>G69*0.936407114624506</f>
        <v>0</v>
      </c>
      <c r="AF69" s="59">
        <f>G69*(1-0.936407114624506)</f>
        <v>0</v>
      </c>
      <c r="AG69" s="55" t="s">
        <v>7</v>
      </c>
      <c r="AM69" s="59">
        <f>F69*AE69</f>
        <v>0</v>
      </c>
      <c r="AN69" s="59">
        <f>F69*AF69</f>
        <v>0</v>
      </c>
      <c r="AO69" s="60" t="s">
        <v>1131</v>
      </c>
      <c r="AP69" s="60" t="s">
        <v>1170</v>
      </c>
      <c r="AQ69" s="49" t="s">
        <v>1182</v>
      </c>
      <c r="AS69" s="59">
        <f>AM69+AN69</f>
        <v>0</v>
      </c>
      <c r="AT69" s="59">
        <f>G69/(100-AU69)*100</f>
        <v>0</v>
      </c>
      <c r="AU69" s="59">
        <v>0</v>
      </c>
      <c r="AV69" s="59">
        <f>L69</f>
        <v>8.646246399999999</v>
      </c>
    </row>
    <row r="70" spans="4:6" ht="12.75">
      <c r="D70" s="28" t="s">
        <v>541</v>
      </c>
      <c r="F70" s="34">
        <v>1.672</v>
      </c>
    </row>
    <row r="71" spans="4:6" ht="12.75">
      <c r="D71" s="28" t="s">
        <v>542</v>
      </c>
      <c r="F71" s="34">
        <v>1.672</v>
      </c>
    </row>
    <row r="72" spans="1:48" ht="12.75">
      <c r="A72" s="10" t="s">
        <v>20</v>
      </c>
      <c r="B72" s="10"/>
      <c r="C72" s="10" t="s">
        <v>254</v>
      </c>
      <c r="D72" s="10" t="s">
        <v>543</v>
      </c>
      <c r="E72" s="10" t="s">
        <v>1085</v>
      </c>
      <c r="F72" s="33">
        <v>0.26752</v>
      </c>
      <c r="G72" s="33">
        <v>0</v>
      </c>
      <c r="H72" s="33">
        <f>F72*AE72</f>
        <v>0</v>
      </c>
      <c r="I72" s="33">
        <f>J72-H72</f>
        <v>0</v>
      </c>
      <c r="J72" s="33">
        <f>F72*G72</f>
        <v>0</v>
      </c>
      <c r="K72" s="33">
        <v>1.05472</v>
      </c>
      <c r="L72" s="33">
        <f>F72*K72</f>
        <v>0.2821586944</v>
      </c>
      <c r="M72" s="55" t="s">
        <v>1113</v>
      </c>
      <c r="P72" s="59">
        <f>IF(AG72="5",J72,0)</f>
        <v>0</v>
      </c>
      <c r="R72" s="59">
        <f>IF(AG72="1",H72,0)</f>
        <v>0</v>
      </c>
      <c r="S72" s="59">
        <f>IF(AG72="1",I72,0)</f>
        <v>0</v>
      </c>
      <c r="T72" s="59">
        <f>IF(AG72="7",H72,0)</f>
        <v>0</v>
      </c>
      <c r="U72" s="59">
        <f>IF(AG72="7",I72,0)</f>
        <v>0</v>
      </c>
      <c r="V72" s="59">
        <f>IF(AG72="2",H72,0)</f>
        <v>0</v>
      </c>
      <c r="W72" s="59">
        <f>IF(AG72="2",I72,0)</f>
        <v>0</v>
      </c>
      <c r="X72" s="59">
        <f>IF(AG72="0",J72,0)</f>
        <v>0</v>
      </c>
      <c r="Y72" s="49"/>
      <c r="Z72" s="33">
        <f>IF(AD72=0,J72,0)</f>
        <v>0</v>
      </c>
      <c r="AA72" s="33">
        <f>IF(AD72=15,J72,0)</f>
        <v>0</v>
      </c>
      <c r="AB72" s="33">
        <f>IF(AD72=21,J72,0)</f>
        <v>0</v>
      </c>
      <c r="AD72" s="59">
        <v>21</v>
      </c>
      <c r="AE72" s="59">
        <f>G72*0.801227797813276</f>
        <v>0</v>
      </c>
      <c r="AF72" s="59">
        <f>G72*(1-0.801227797813276)</f>
        <v>0</v>
      </c>
      <c r="AG72" s="55" t="s">
        <v>7</v>
      </c>
      <c r="AM72" s="59">
        <f>F72*AE72</f>
        <v>0</v>
      </c>
      <c r="AN72" s="59">
        <f>F72*AF72</f>
        <v>0</v>
      </c>
      <c r="AO72" s="60" t="s">
        <v>1131</v>
      </c>
      <c r="AP72" s="60" t="s">
        <v>1170</v>
      </c>
      <c r="AQ72" s="49" t="s">
        <v>1182</v>
      </c>
      <c r="AS72" s="59">
        <f>AM72+AN72</f>
        <v>0</v>
      </c>
      <c r="AT72" s="59">
        <f>G72/(100-AU72)*100</f>
        <v>0</v>
      </c>
      <c r="AU72" s="59">
        <v>0</v>
      </c>
      <c r="AV72" s="59">
        <f>L72</f>
        <v>0.2821586944</v>
      </c>
    </row>
    <row r="73" spans="4:6" ht="12.75">
      <c r="D73" s="28" t="s">
        <v>544</v>
      </c>
      <c r="F73" s="34">
        <v>0.13376</v>
      </c>
    </row>
    <row r="74" spans="4:6" ht="12.75">
      <c r="D74" s="28" t="s">
        <v>545</v>
      </c>
      <c r="F74" s="34">
        <v>0.13376</v>
      </c>
    </row>
    <row r="75" spans="1:48" ht="12.75">
      <c r="A75" s="10" t="s">
        <v>21</v>
      </c>
      <c r="B75" s="10"/>
      <c r="C75" s="10" t="s">
        <v>255</v>
      </c>
      <c r="D75" s="10" t="s">
        <v>546</v>
      </c>
      <c r="E75" s="10" t="s">
        <v>1086</v>
      </c>
      <c r="F75" s="33">
        <v>27.88</v>
      </c>
      <c r="G75" s="33">
        <v>0</v>
      </c>
      <c r="H75" s="33">
        <f>F75*AE75</f>
        <v>0</v>
      </c>
      <c r="I75" s="33">
        <f>J75-H75</f>
        <v>0</v>
      </c>
      <c r="J75" s="33">
        <f>F75*G75</f>
        <v>0</v>
      </c>
      <c r="K75" s="33">
        <v>0.385</v>
      </c>
      <c r="L75" s="33">
        <f>F75*K75</f>
        <v>10.7338</v>
      </c>
      <c r="M75" s="55" t="s">
        <v>1113</v>
      </c>
      <c r="P75" s="59">
        <f>IF(AG75="5",J75,0)</f>
        <v>0</v>
      </c>
      <c r="R75" s="59">
        <f>IF(AG75="1",H75,0)</f>
        <v>0</v>
      </c>
      <c r="S75" s="59">
        <f>IF(AG75="1",I75,0)</f>
        <v>0</v>
      </c>
      <c r="T75" s="59">
        <f>IF(AG75="7",H75,0)</f>
        <v>0</v>
      </c>
      <c r="U75" s="59">
        <f>IF(AG75="7",I75,0)</f>
        <v>0</v>
      </c>
      <c r="V75" s="59">
        <f>IF(AG75="2",H75,0)</f>
        <v>0</v>
      </c>
      <c r="W75" s="59">
        <f>IF(AG75="2",I75,0)</f>
        <v>0</v>
      </c>
      <c r="X75" s="59">
        <f>IF(AG75="0",J75,0)</f>
        <v>0</v>
      </c>
      <c r="Y75" s="49"/>
      <c r="Z75" s="33">
        <f>IF(AD75=0,J75,0)</f>
        <v>0</v>
      </c>
      <c r="AA75" s="33">
        <f>IF(AD75=15,J75,0)</f>
        <v>0</v>
      </c>
      <c r="AB75" s="33">
        <f>IF(AD75=21,J75,0)</f>
        <v>0</v>
      </c>
      <c r="AD75" s="59">
        <v>21</v>
      </c>
      <c r="AE75" s="59">
        <f>G75*0.64130968798483</f>
        <v>0</v>
      </c>
      <c r="AF75" s="59">
        <f>G75*(1-0.64130968798483)</f>
        <v>0</v>
      </c>
      <c r="AG75" s="55" t="s">
        <v>7</v>
      </c>
      <c r="AM75" s="59">
        <f>F75*AE75</f>
        <v>0</v>
      </c>
      <c r="AN75" s="59">
        <f>F75*AF75</f>
        <v>0</v>
      </c>
      <c r="AO75" s="60" t="s">
        <v>1131</v>
      </c>
      <c r="AP75" s="60" t="s">
        <v>1170</v>
      </c>
      <c r="AQ75" s="49" t="s">
        <v>1182</v>
      </c>
      <c r="AS75" s="59">
        <f>AM75+AN75</f>
        <v>0</v>
      </c>
      <c r="AT75" s="59">
        <f>G75/(100-AU75)*100</f>
        <v>0</v>
      </c>
      <c r="AU75" s="59">
        <v>0</v>
      </c>
      <c r="AV75" s="59">
        <f>L75</f>
        <v>10.7338</v>
      </c>
    </row>
    <row r="76" spans="4:6" ht="12.75">
      <c r="D76" s="28" t="s">
        <v>547</v>
      </c>
      <c r="F76" s="34">
        <v>13.94</v>
      </c>
    </row>
    <row r="77" spans="4:6" ht="12.75">
      <c r="D77" s="28" t="s">
        <v>548</v>
      </c>
      <c r="F77" s="34">
        <v>13.94</v>
      </c>
    </row>
    <row r="78" spans="1:48" ht="12.75">
      <c r="A78" s="10" t="s">
        <v>22</v>
      </c>
      <c r="B78" s="10"/>
      <c r="C78" s="10" t="s">
        <v>256</v>
      </c>
      <c r="D78" s="10" t="s">
        <v>549</v>
      </c>
      <c r="E78" s="10" t="s">
        <v>1086</v>
      </c>
      <c r="F78" s="33">
        <v>12.92</v>
      </c>
      <c r="G78" s="33">
        <v>0</v>
      </c>
      <c r="H78" s="33">
        <f>F78*AE78</f>
        <v>0</v>
      </c>
      <c r="I78" s="33">
        <f>J78-H78</f>
        <v>0</v>
      </c>
      <c r="J78" s="33">
        <f>F78*G78</f>
        <v>0</v>
      </c>
      <c r="K78" s="33">
        <v>0.74</v>
      </c>
      <c r="L78" s="33">
        <f>F78*K78</f>
        <v>9.5608</v>
      </c>
      <c r="M78" s="55" t="s">
        <v>1113</v>
      </c>
      <c r="P78" s="59">
        <f>IF(AG78="5",J78,0)</f>
        <v>0</v>
      </c>
      <c r="R78" s="59">
        <f>IF(AG78="1",H78,0)</f>
        <v>0</v>
      </c>
      <c r="S78" s="59">
        <f>IF(AG78="1",I78,0)</f>
        <v>0</v>
      </c>
      <c r="T78" s="59">
        <f>IF(AG78="7",H78,0)</f>
        <v>0</v>
      </c>
      <c r="U78" s="59">
        <f>IF(AG78="7",I78,0)</f>
        <v>0</v>
      </c>
      <c r="V78" s="59">
        <f>IF(AG78="2",H78,0)</f>
        <v>0</v>
      </c>
      <c r="W78" s="59">
        <f>IF(AG78="2",I78,0)</f>
        <v>0</v>
      </c>
      <c r="X78" s="59">
        <f>IF(AG78="0",J78,0)</f>
        <v>0</v>
      </c>
      <c r="Y78" s="49"/>
      <c r="Z78" s="33">
        <f>IF(AD78=0,J78,0)</f>
        <v>0</v>
      </c>
      <c r="AA78" s="33">
        <f>IF(AD78=15,J78,0)</f>
        <v>0</v>
      </c>
      <c r="AB78" s="33">
        <f>IF(AD78=21,J78,0)</f>
        <v>0</v>
      </c>
      <c r="AD78" s="59">
        <v>21</v>
      </c>
      <c r="AE78" s="59">
        <f>G78*0.684816</f>
        <v>0</v>
      </c>
      <c r="AF78" s="59">
        <f>G78*(1-0.684816)</f>
        <v>0</v>
      </c>
      <c r="AG78" s="55" t="s">
        <v>7</v>
      </c>
      <c r="AM78" s="59">
        <f>F78*AE78</f>
        <v>0</v>
      </c>
      <c r="AN78" s="59">
        <f>F78*AF78</f>
        <v>0</v>
      </c>
      <c r="AO78" s="60" t="s">
        <v>1131</v>
      </c>
      <c r="AP78" s="60" t="s">
        <v>1170</v>
      </c>
      <c r="AQ78" s="49" t="s">
        <v>1182</v>
      </c>
      <c r="AS78" s="59">
        <f>AM78+AN78</f>
        <v>0</v>
      </c>
      <c r="AT78" s="59">
        <f>G78/(100-AU78)*100</f>
        <v>0</v>
      </c>
      <c r="AU78" s="59">
        <v>0</v>
      </c>
      <c r="AV78" s="59">
        <f>L78</f>
        <v>9.5608</v>
      </c>
    </row>
    <row r="79" spans="4:6" ht="12.75">
      <c r="D79" s="28" t="s">
        <v>550</v>
      </c>
      <c r="F79" s="34">
        <v>6.46</v>
      </c>
    </row>
    <row r="80" spans="4:6" ht="12.75">
      <c r="D80" s="28" t="s">
        <v>551</v>
      </c>
      <c r="F80" s="34">
        <v>6.46</v>
      </c>
    </row>
    <row r="81" spans="1:48" ht="12.75">
      <c r="A81" s="10" t="s">
        <v>23</v>
      </c>
      <c r="B81" s="10"/>
      <c r="C81" s="10" t="s">
        <v>257</v>
      </c>
      <c r="D81" s="10" t="s">
        <v>552</v>
      </c>
      <c r="E81" s="10" t="s">
        <v>1086</v>
      </c>
      <c r="F81" s="33">
        <v>59.88</v>
      </c>
      <c r="G81" s="33">
        <v>0</v>
      </c>
      <c r="H81" s="33">
        <f>F81*AE81</f>
        <v>0</v>
      </c>
      <c r="I81" s="33">
        <f>J81-H81</f>
        <v>0</v>
      </c>
      <c r="J81" s="33">
        <f>F81*G81</f>
        <v>0</v>
      </c>
      <c r="K81" s="33">
        <v>1.175</v>
      </c>
      <c r="L81" s="33">
        <f>F81*K81</f>
        <v>70.35900000000001</v>
      </c>
      <c r="M81" s="55" t="s">
        <v>1113</v>
      </c>
      <c r="P81" s="59">
        <f>IF(AG81="5",J81,0)</f>
        <v>0</v>
      </c>
      <c r="R81" s="59">
        <f>IF(AG81="1",H81,0)</f>
        <v>0</v>
      </c>
      <c r="S81" s="59">
        <f>IF(AG81="1",I81,0)</f>
        <v>0</v>
      </c>
      <c r="T81" s="59">
        <f>IF(AG81="7",H81,0)</f>
        <v>0</v>
      </c>
      <c r="U81" s="59">
        <f>IF(AG81="7",I81,0)</f>
        <v>0</v>
      </c>
      <c r="V81" s="59">
        <f>IF(AG81="2",H81,0)</f>
        <v>0</v>
      </c>
      <c r="W81" s="59">
        <f>IF(AG81="2",I81,0)</f>
        <v>0</v>
      </c>
      <c r="X81" s="59">
        <f>IF(AG81="0",J81,0)</f>
        <v>0</v>
      </c>
      <c r="Y81" s="49"/>
      <c r="Z81" s="33">
        <f>IF(AD81=0,J81,0)</f>
        <v>0</v>
      </c>
      <c r="AA81" s="33">
        <f>IF(AD81=15,J81,0)</f>
        <v>0</v>
      </c>
      <c r="AB81" s="33">
        <f>IF(AD81=21,J81,0)</f>
        <v>0</v>
      </c>
      <c r="AD81" s="59">
        <v>21</v>
      </c>
      <c r="AE81" s="59">
        <f>G81*0.746271576524741</f>
        <v>0</v>
      </c>
      <c r="AF81" s="59">
        <f>G81*(1-0.746271576524741)</f>
        <v>0</v>
      </c>
      <c r="AG81" s="55" t="s">
        <v>7</v>
      </c>
      <c r="AM81" s="59">
        <f>F81*AE81</f>
        <v>0</v>
      </c>
      <c r="AN81" s="59">
        <f>F81*AF81</f>
        <v>0</v>
      </c>
      <c r="AO81" s="60" t="s">
        <v>1131</v>
      </c>
      <c r="AP81" s="60" t="s">
        <v>1170</v>
      </c>
      <c r="AQ81" s="49" t="s">
        <v>1182</v>
      </c>
      <c r="AS81" s="59">
        <f>AM81+AN81</f>
        <v>0</v>
      </c>
      <c r="AT81" s="59">
        <f>G81/(100-AU81)*100</f>
        <v>0</v>
      </c>
      <c r="AU81" s="59">
        <v>0</v>
      </c>
      <c r="AV81" s="59">
        <f>L81</f>
        <v>70.35900000000001</v>
      </c>
    </row>
    <row r="82" spans="4:6" ht="12.75">
      <c r="D82" s="28" t="s">
        <v>553</v>
      </c>
      <c r="F82" s="34">
        <v>30.5</v>
      </c>
    </row>
    <row r="83" spans="4:6" ht="12.75">
      <c r="D83" s="28" t="s">
        <v>554</v>
      </c>
      <c r="F83" s="34">
        <v>29.38</v>
      </c>
    </row>
    <row r="84" spans="1:48" ht="12.75">
      <c r="A84" s="10" t="s">
        <v>24</v>
      </c>
      <c r="B84" s="10"/>
      <c r="C84" s="10" t="s">
        <v>258</v>
      </c>
      <c r="D84" s="10" t="s">
        <v>555</v>
      </c>
      <c r="E84" s="10" t="s">
        <v>1086</v>
      </c>
      <c r="F84" s="33">
        <v>15.25</v>
      </c>
      <c r="G84" s="33">
        <v>0</v>
      </c>
      <c r="H84" s="33">
        <f>F84*AE84</f>
        <v>0</v>
      </c>
      <c r="I84" s="33">
        <f>J84-H84</f>
        <v>0</v>
      </c>
      <c r="J84" s="33">
        <f>F84*G84</f>
        <v>0</v>
      </c>
      <c r="K84" s="33">
        <v>1.175</v>
      </c>
      <c r="L84" s="33">
        <f>F84*K84</f>
        <v>17.91875</v>
      </c>
      <c r="M84" s="55" t="s">
        <v>1113</v>
      </c>
      <c r="P84" s="59">
        <f>IF(AG84="5",J84,0)</f>
        <v>0</v>
      </c>
      <c r="R84" s="59">
        <f>IF(AG84="1",H84,0)</f>
        <v>0</v>
      </c>
      <c r="S84" s="59">
        <f>IF(AG84="1",I84,0)</f>
        <v>0</v>
      </c>
      <c r="T84" s="59">
        <f>IF(AG84="7",H84,0)</f>
        <v>0</v>
      </c>
      <c r="U84" s="59">
        <f>IF(AG84="7",I84,0)</f>
        <v>0</v>
      </c>
      <c r="V84" s="59">
        <f>IF(AG84="2",H84,0)</f>
        <v>0</v>
      </c>
      <c r="W84" s="59">
        <f>IF(AG84="2",I84,0)</f>
        <v>0</v>
      </c>
      <c r="X84" s="59">
        <f>IF(AG84="0",J84,0)</f>
        <v>0</v>
      </c>
      <c r="Y84" s="49"/>
      <c r="Z84" s="33">
        <f>IF(AD84=0,J84,0)</f>
        <v>0</v>
      </c>
      <c r="AA84" s="33">
        <f>IF(AD84=15,J84,0)</f>
        <v>0</v>
      </c>
      <c r="AB84" s="33">
        <f>IF(AD84=21,J84,0)</f>
        <v>0</v>
      </c>
      <c r="AD84" s="59">
        <v>21</v>
      </c>
      <c r="AE84" s="59">
        <f>G84*0.7314375</f>
        <v>0</v>
      </c>
      <c r="AF84" s="59">
        <f>G84*(1-0.7314375)</f>
        <v>0</v>
      </c>
      <c r="AG84" s="55" t="s">
        <v>7</v>
      </c>
      <c r="AM84" s="59">
        <f>F84*AE84</f>
        <v>0</v>
      </c>
      <c r="AN84" s="59">
        <f>F84*AF84</f>
        <v>0</v>
      </c>
      <c r="AO84" s="60" t="s">
        <v>1131</v>
      </c>
      <c r="AP84" s="60" t="s">
        <v>1170</v>
      </c>
      <c r="AQ84" s="49" t="s">
        <v>1182</v>
      </c>
      <c r="AS84" s="59">
        <f>AM84+AN84</f>
        <v>0</v>
      </c>
      <c r="AT84" s="59">
        <f>G84/(100-AU84)*100</f>
        <v>0</v>
      </c>
      <c r="AU84" s="59">
        <v>0</v>
      </c>
      <c r="AV84" s="59">
        <f>L84</f>
        <v>17.91875</v>
      </c>
    </row>
    <row r="85" spans="4:6" ht="12.75">
      <c r="D85" s="28" t="s">
        <v>556</v>
      </c>
      <c r="F85" s="34">
        <v>15.25</v>
      </c>
    </row>
    <row r="86" spans="1:37" ht="12.75">
      <c r="A86" s="11"/>
      <c r="B86" s="24"/>
      <c r="C86" s="24" t="s">
        <v>37</v>
      </c>
      <c r="D86" s="24" t="s">
        <v>557</v>
      </c>
      <c r="E86" s="11" t="s">
        <v>6</v>
      </c>
      <c r="F86" s="11" t="s">
        <v>6</v>
      </c>
      <c r="G86" s="11" t="s">
        <v>6</v>
      </c>
      <c r="H86" s="62">
        <f>SUM(H87:H105)</f>
        <v>0</v>
      </c>
      <c r="I86" s="62">
        <f>SUM(I87:I105)</f>
        <v>0</v>
      </c>
      <c r="J86" s="62">
        <f>H86+I86</f>
        <v>0</v>
      </c>
      <c r="K86" s="49"/>
      <c r="L86" s="62">
        <f>SUM(L87:L105)</f>
        <v>129.3041572224</v>
      </c>
      <c r="M86" s="49"/>
      <c r="Y86" s="49"/>
      <c r="AI86" s="62">
        <f>SUM(Z87:Z105)</f>
        <v>0</v>
      </c>
      <c r="AJ86" s="62">
        <f>SUM(AA87:AA105)</f>
        <v>0</v>
      </c>
      <c r="AK86" s="62">
        <f>SUM(AB87:AB105)</f>
        <v>0</v>
      </c>
    </row>
    <row r="87" spans="1:48" ht="12.75">
      <c r="A87" s="10" t="s">
        <v>25</v>
      </c>
      <c r="B87" s="10"/>
      <c r="C87" s="10" t="s">
        <v>259</v>
      </c>
      <c r="D87" s="10" t="s">
        <v>558</v>
      </c>
      <c r="E87" s="10" t="s">
        <v>1083</v>
      </c>
      <c r="F87" s="33">
        <v>6.74766</v>
      </c>
      <c r="G87" s="33">
        <v>0</v>
      </c>
      <c r="H87" s="33">
        <f>F87*AE87</f>
        <v>0</v>
      </c>
      <c r="I87" s="33">
        <f>J87-H87</f>
        <v>0</v>
      </c>
      <c r="J87" s="33">
        <f>F87*G87</f>
        <v>0</v>
      </c>
      <c r="K87" s="33">
        <v>1.76864</v>
      </c>
      <c r="L87" s="33">
        <f>F87*K87</f>
        <v>11.9341813824</v>
      </c>
      <c r="M87" s="55" t="s">
        <v>1113</v>
      </c>
      <c r="P87" s="59">
        <f>IF(AG87="5",J87,0)</f>
        <v>0</v>
      </c>
      <c r="R87" s="59">
        <f>IF(AG87="1",H87,0)</f>
        <v>0</v>
      </c>
      <c r="S87" s="59">
        <f>IF(AG87="1",I87,0)</f>
        <v>0</v>
      </c>
      <c r="T87" s="59">
        <f>IF(AG87="7",H87,0)</f>
        <v>0</v>
      </c>
      <c r="U87" s="59">
        <f>IF(AG87="7",I87,0)</f>
        <v>0</v>
      </c>
      <c r="V87" s="59">
        <f>IF(AG87="2",H87,0)</f>
        <v>0</v>
      </c>
      <c r="W87" s="59">
        <f>IF(AG87="2",I87,0)</f>
        <v>0</v>
      </c>
      <c r="X87" s="59">
        <f>IF(AG87="0",J87,0)</f>
        <v>0</v>
      </c>
      <c r="Y87" s="49"/>
      <c r="Z87" s="33">
        <f>IF(AD87=0,J87,0)</f>
        <v>0</v>
      </c>
      <c r="AA87" s="33">
        <f>IF(AD87=15,J87,0)</f>
        <v>0</v>
      </c>
      <c r="AB87" s="33">
        <f>IF(AD87=21,J87,0)</f>
        <v>0</v>
      </c>
      <c r="AD87" s="59">
        <v>21</v>
      </c>
      <c r="AE87" s="59">
        <f>G87*0.689222656416859</f>
        <v>0</v>
      </c>
      <c r="AF87" s="59">
        <f>G87*(1-0.689222656416859)</f>
        <v>0</v>
      </c>
      <c r="AG87" s="55" t="s">
        <v>7</v>
      </c>
      <c r="AM87" s="59">
        <f>F87*AE87</f>
        <v>0</v>
      </c>
      <c r="AN87" s="59">
        <f>F87*AF87</f>
        <v>0</v>
      </c>
      <c r="AO87" s="60" t="s">
        <v>1132</v>
      </c>
      <c r="AP87" s="60" t="s">
        <v>1171</v>
      </c>
      <c r="AQ87" s="49" t="s">
        <v>1182</v>
      </c>
      <c r="AS87" s="59">
        <f>AM87+AN87</f>
        <v>0</v>
      </c>
      <c r="AT87" s="59">
        <f>G87/(100-AU87)*100</f>
        <v>0</v>
      </c>
      <c r="AU87" s="59">
        <v>0</v>
      </c>
      <c r="AV87" s="59">
        <f>L87</f>
        <v>11.9341813824</v>
      </c>
    </row>
    <row r="88" spans="4:6" ht="12.75">
      <c r="D88" s="28" t="s">
        <v>559</v>
      </c>
      <c r="F88" s="34">
        <v>5.39766</v>
      </c>
    </row>
    <row r="89" spans="4:6" ht="12.75">
      <c r="D89" s="28" t="s">
        <v>560</v>
      </c>
      <c r="F89" s="34">
        <v>1.35</v>
      </c>
    </row>
    <row r="90" spans="1:48" ht="12.75">
      <c r="A90" s="10" t="s">
        <v>26</v>
      </c>
      <c r="B90" s="10"/>
      <c r="C90" s="10" t="s">
        <v>260</v>
      </c>
      <c r="D90" s="10" t="s">
        <v>561</v>
      </c>
      <c r="E90" s="10" t="s">
        <v>1086</v>
      </c>
      <c r="F90" s="33">
        <v>92.184</v>
      </c>
      <c r="G90" s="33">
        <v>0</v>
      </c>
      <c r="H90" s="33">
        <f>F90*AE90</f>
        <v>0</v>
      </c>
      <c r="I90" s="33">
        <f>J90-H90</f>
        <v>0</v>
      </c>
      <c r="J90" s="33">
        <f>F90*G90</f>
        <v>0</v>
      </c>
      <c r="K90" s="33">
        <v>0.50065</v>
      </c>
      <c r="L90" s="33">
        <f>F90*K90</f>
        <v>46.1519196</v>
      </c>
      <c r="M90" s="55" t="s">
        <v>1113</v>
      </c>
      <c r="P90" s="59">
        <f>IF(AG90="5",J90,0)</f>
        <v>0</v>
      </c>
      <c r="R90" s="59">
        <f>IF(AG90="1",H90,0)</f>
        <v>0</v>
      </c>
      <c r="S90" s="59">
        <f>IF(AG90="1",I90,0)</f>
        <v>0</v>
      </c>
      <c r="T90" s="59">
        <f>IF(AG90="7",H90,0)</f>
        <v>0</v>
      </c>
      <c r="U90" s="59">
        <f>IF(AG90="7",I90,0)</f>
        <v>0</v>
      </c>
      <c r="V90" s="59">
        <f>IF(AG90="2",H90,0)</f>
        <v>0</v>
      </c>
      <c r="W90" s="59">
        <f>IF(AG90="2",I90,0)</f>
        <v>0</v>
      </c>
      <c r="X90" s="59">
        <f>IF(AG90="0",J90,0)</f>
        <v>0</v>
      </c>
      <c r="Y90" s="49"/>
      <c r="Z90" s="33">
        <f>IF(AD90=0,J90,0)</f>
        <v>0</v>
      </c>
      <c r="AA90" s="33">
        <f>IF(AD90=15,J90,0)</f>
        <v>0</v>
      </c>
      <c r="AB90" s="33">
        <f>IF(AD90=21,J90,0)</f>
        <v>0</v>
      </c>
      <c r="AD90" s="59">
        <v>21</v>
      </c>
      <c r="AE90" s="59">
        <f>G90*0.724554417372542</f>
        <v>0</v>
      </c>
      <c r="AF90" s="59">
        <f>G90*(1-0.724554417372542)</f>
        <v>0</v>
      </c>
      <c r="AG90" s="55" t="s">
        <v>7</v>
      </c>
      <c r="AM90" s="59">
        <f>F90*AE90</f>
        <v>0</v>
      </c>
      <c r="AN90" s="59">
        <f>F90*AF90</f>
        <v>0</v>
      </c>
      <c r="AO90" s="60" t="s">
        <v>1132</v>
      </c>
      <c r="AP90" s="60" t="s">
        <v>1171</v>
      </c>
      <c r="AQ90" s="49" t="s">
        <v>1182</v>
      </c>
      <c r="AS90" s="59">
        <f>AM90+AN90</f>
        <v>0</v>
      </c>
      <c r="AT90" s="59">
        <f>G90/(100-AU90)*100</f>
        <v>0</v>
      </c>
      <c r="AU90" s="59">
        <v>0</v>
      </c>
      <c r="AV90" s="59">
        <f>L90</f>
        <v>46.1519196</v>
      </c>
    </row>
    <row r="91" spans="4:6" ht="12.75">
      <c r="D91" s="28" t="s">
        <v>562</v>
      </c>
      <c r="F91" s="34">
        <v>46.092</v>
      </c>
    </row>
    <row r="92" spans="4:6" ht="12.75">
      <c r="D92" s="28" t="s">
        <v>563</v>
      </c>
      <c r="F92" s="34">
        <v>46.092</v>
      </c>
    </row>
    <row r="93" spans="1:48" ht="12.75">
      <c r="A93" s="10" t="s">
        <v>27</v>
      </c>
      <c r="B93" s="10"/>
      <c r="C93" s="10" t="s">
        <v>261</v>
      </c>
      <c r="D93" s="10" t="s">
        <v>564</v>
      </c>
      <c r="E93" s="10" t="s">
        <v>1083</v>
      </c>
      <c r="F93" s="33">
        <v>21.5232</v>
      </c>
      <c r="G93" s="33">
        <v>0</v>
      </c>
      <c r="H93" s="33">
        <f>F93*AE93</f>
        <v>0</v>
      </c>
      <c r="I93" s="33">
        <f>J93-H93</f>
        <v>0</v>
      </c>
      <c r="J93" s="33">
        <f>F93*G93</f>
        <v>0</v>
      </c>
      <c r="K93" s="33">
        <v>1.9342</v>
      </c>
      <c r="L93" s="33">
        <f>F93*K93</f>
        <v>41.63017344</v>
      </c>
      <c r="M93" s="55" t="s">
        <v>1113</v>
      </c>
      <c r="P93" s="59">
        <f>IF(AG93="5",J93,0)</f>
        <v>0</v>
      </c>
      <c r="R93" s="59">
        <f>IF(AG93="1",H93,0)</f>
        <v>0</v>
      </c>
      <c r="S93" s="59">
        <f>IF(AG93="1",I93,0)</f>
        <v>0</v>
      </c>
      <c r="T93" s="59">
        <f>IF(AG93="7",H93,0)</f>
        <v>0</v>
      </c>
      <c r="U93" s="59">
        <f>IF(AG93="7",I93,0)</f>
        <v>0</v>
      </c>
      <c r="V93" s="59">
        <f>IF(AG93="2",H93,0)</f>
        <v>0</v>
      </c>
      <c r="W93" s="59">
        <f>IF(AG93="2",I93,0)</f>
        <v>0</v>
      </c>
      <c r="X93" s="59">
        <f>IF(AG93="0",J93,0)</f>
        <v>0</v>
      </c>
      <c r="Y93" s="49"/>
      <c r="Z93" s="33">
        <f>IF(AD93=0,J93,0)</f>
        <v>0</v>
      </c>
      <c r="AA93" s="33">
        <f>IF(AD93=15,J93,0)</f>
        <v>0</v>
      </c>
      <c r="AB93" s="33">
        <f>IF(AD93=21,J93,0)</f>
        <v>0</v>
      </c>
      <c r="AD93" s="59">
        <v>21</v>
      </c>
      <c r="AE93" s="59">
        <f>G93*0.694765724347346</f>
        <v>0</v>
      </c>
      <c r="AF93" s="59">
        <f>G93*(1-0.694765724347346)</f>
        <v>0</v>
      </c>
      <c r="AG93" s="55" t="s">
        <v>7</v>
      </c>
      <c r="AM93" s="59">
        <f>F93*AE93</f>
        <v>0</v>
      </c>
      <c r="AN93" s="59">
        <f>F93*AF93</f>
        <v>0</v>
      </c>
      <c r="AO93" s="60" t="s">
        <v>1132</v>
      </c>
      <c r="AP93" s="60" t="s">
        <v>1171</v>
      </c>
      <c r="AQ93" s="49" t="s">
        <v>1182</v>
      </c>
      <c r="AS93" s="59">
        <f>AM93+AN93</f>
        <v>0</v>
      </c>
      <c r="AT93" s="59">
        <f>G93/(100-AU93)*100</f>
        <v>0</v>
      </c>
      <c r="AU93" s="59">
        <v>0</v>
      </c>
      <c r="AV93" s="59">
        <f>L93</f>
        <v>41.63017344</v>
      </c>
    </row>
    <row r="94" spans="4:6" ht="12.75">
      <c r="D94" s="28" t="s">
        <v>565</v>
      </c>
      <c r="F94" s="34">
        <v>7.944</v>
      </c>
    </row>
    <row r="95" spans="4:6" ht="12.75">
      <c r="D95" s="28" t="s">
        <v>566</v>
      </c>
      <c r="F95" s="34">
        <v>6.944</v>
      </c>
    </row>
    <row r="96" spans="4:6" ht="12.75">
      <c r="D96" s="28" t="s">
        <v>567</v>
      </c>
      <c r="F96" s="34">
        <v>6.6352</v>
      </c>
    </row>
    <row r="97" spans="1:48" ht="12.75">
      <c r="A97" s="10" t="s">
        <v>28</v>
      </c>
      <c r="B97" s="10"/>
      <c r="C97" s="10" t="s">
        <v>262</v>
      </c>
      <c r="D97" s="10" t="s">
        <v>568</v>
      </c>
      <c r="E97" s="10" t="s">
        <v>1083</v>
      </c>
      <c r="F97" s="33">
        <v>8.12</v>
      </c>
      <c r="G97" s="33">
        <v>0</v>
      </c>
      <c r="H97" s="33">
        <f>F97*AE97</f>
        <v>0</v>
      </c>
      <c r="I97" s="33">
        <f>J97-H97</f>
        <v>0</v>
      </c>
      <c r="J97" s="33">
        <f>F97*G97</f>
        <v>0</v>
      </c>
      <c r="K97" s="33">
        <v>1.95161</v>
      </c>
      <c r="L97" s="33">
        <f>F97*K97</f>
        <v>15.847073199999999</v>
      </c>
      <c r="M97" s="55" t="s">
        <v>1113</v>
      </c>
      <c r="P97" s="59">
        <f>IF(AG97="5",J97,0)</f>
        <v>0</v>
      </c>
      <c r="R97" s="59">
        <f>IF(AG97="1",H97,0)</f>
        <v>0</v>
      </c>
      <c r="S97" s="59">
        <f>IF(AG97="1",I97,0)</f>
        <v>0</v>
      </c>
      <c r="T97" s="59">
        <f>IF(AG97="7",H97,0)</f>
        <v>0</v>
      </c>
      <c r="U97" s="59">
        <f>IF(AG97="7",I97,0)</f>
        <v>0</v>
      </c>
      <c r="V97" s="59">
        <f>IF(AG97="2",H97,0)</f>
        <v>0</v>
      </c>
      <c r="W97" s="59">
        <f>IF(AG97="2",I97,0)</f>
        <v>0</v>
      </c>
      <c r="X97" s="59">
        <f>IF(AG97="0",J97,0)</f>
        <v>0</v>
      </c>
      <c r="Y97" s="49"/>
      <c r="Z97" s="33">
        <f>IF(AD97=0,J97,0)</f>
        <v>0</v>
      </c>
      <c r="AA97" s="33">
        <f>IF(AD97=15,J97,0)</f>
        <v>0</v>
      </c>
      <c r="AB97" s="33">
        <f>IF(AD97=21,J97,0)</f>
        <v>0</v>
      </c>
      <c r="AD97" s="59">
        <v>21</v>
      </c>
      <c r="AE97" s="59">
        <f>G97*0.716395230990649</f>
        <v>0</v>
      </c>
      <c r="AF97" s="59">
        <f>G97*(1-0.716395230990649)</f>
        <v>0</v>
      </c>
      <c r="AG97" s="55" t="s">
        <v>7</v>
      </c>
      <c r="AM97" s="59">
        <f>F97*AE97</f>
        <v>0</v>
      </c>
      <c r="AN97" s="59">
        <f>F97*AF97</f>
        <v>0</v>
      </c>
      <c r="AO97" s="60" t="s">
        <v>1132</v>
      </c>
      <c r="AP97" s="60" t="s">
        <v>1171</v>
      </c>
      <c r="AQ97" s="49" t="s">
        <v>1182</v>
      </c>
      <c r="AS97" s="59">
        <f>AM97+AN97</f>
        <v>0</v>
      </c>
      <c r="AT97" s="59">
        <f>G97/(100-AU97)*100</f>
        <v>0</v>
      </c>
      <c r="AU97" s="59">
        <v>0</v>
      </c>
      <c r="AV97" s="59">
        <f>L97</f>
        <v>15.847073199999999</v>
      </c>
    </row>
    <row r="98" spans="4:6" ht="12.75">
      <c r="D98" s="28" t="s">
        <v>569</v>
      </c>
      <c r="F98" s="34">
        <v>1.47</v>
      </c>
    </row>
    <row r="99" spans="4:6" ht="12.75">
      <c r="D99" s="28" t="s">
        <v>570</v>
      </c>
      <c r="F99" s="34">
        <v>0.6</v>
      </c>
    </row>
    <row r="100" spans="4:6" ht="12.75">
      <c r="D100" s="28" t="s">
        <v>571</v>
      </c>
      <c r="F100" s="34">
        <v>6.05</v>
      </c>
    </row>
    <row r="101" spans="1:48" ht="12.75">
      <c r="A101" s="10" t="s">
        <v>29</v>
      </c>
      <c r="B101" s="10"/>
      <c r="C101" s="10" t="s">
        <v>263</v>
      </c>
      <c r="D101" s="10" t="s">
        <v>572</v>
      </c>
      <c r="E101" s="10" t="s">
        <v>1086</v>
      </c>
      <c r="F101" s="33">
        <v>5.936</v>
      </c>
      <c r="G101" s="33">
        <v>0</v>
      </c>
      <c r="H101" s="33">
        <f>F101*AE101</f>
        <v>0</v>
      </c>
      <c r="I101" s="33">
        <f>J101-H101</f>
        <v>0</v>
      </c>
      <c r="J101" s="33">
        <f>F101*G101</f>
        <v>0</v>
      </c>
      <c r="K101" s="33">
        <v>0.30875</v>
      </c>
      <c r="L101" s="33">
        <f>F101*K101</f>
        <v>1.83274</v>
      </c>
      <c r="M101" s="55" t="s">
        <v>1113</v>
      </c>
      <c r="P101" s="59">
        <f>IF(AG101="5",J101,0)</f>
        <v>0</v>
      </c>
      <c r="R101" s="59">
        <f>IF(AG101="1",H101,0)</f>
        <v>0</v>
      </c>
      <c r="S101" s="59">
        <f>IF(AG101="1",I101,0)</f>
        <v>0</v>
      </c>
      <c r="T101" s="59">
        <f>IF(AG101="7",H101,0)</f>
        <v>0</v>
      </c>
      <c r="U101" s="59">
        <f>IF(AG101="7",I101,0)</f>
        <v>0</v>
      </c>
      <c r="V101" s="59">
        <f>IF(AG101="2",H101,0)</f>
        <v>0</v>
      </c>
      <c r="W101" s="59">
        <f>IF(AG101="2",I101,0)</f>
        <v>0</v>
      </c>
      <c r="X101" s="59">
        <f>IF(AG101="0",J101,0)</f>
        <v>0</v>
      </c>
      <c r="Y101" s="49"/>
      <c r="Z101" s="33">
        <f>IF(AD101=0,J101,0)</f>
        <v>0</v>
      </c>
      <c r="AA101" s="33">
        <f>IF(AD101=15,J101,0)</f>
        <v>0</v>
      </c>
      <c r="AB101" s="33">
        <f>IF(AD101=21,J101,0)</f>
        <v>0</v>
      </c>
      <c r="AD101" s="59">
        <v>21</v>
      </c>
      <c r="AE101" s="59">
        <f>G101*0.515855357362689</f>
        <v>0</v>
      </c>
      <c r="AF101" s="59">
        <f>G101*(1-0.515855357362689)</f>
        <v>0</v>
      </c>
      <c r="AG101" s="55" t="s">
        <v>7</v>
      </c>
      <c r="AM101" s="59">
        <f>F101*AE101</f>
        <v>0</v>
      </c>
      <c r="AN101" s="59">
        <f>F101*AF101</f>
        <v>0</v>
      </c>
      <c r="AO101" s="60" t="s">
        <v>1132</v>
      </c>
      <c r="AP101" s="60" t="s">
        <v>1171</v>
      </c>
      <c r="AQ101" s="49" t="s">
        <v>1182</v>
      </c>
      <c r="AS101" s="59">
        <f>AM101+AN101</f>
        <v>0</v>
      </c>
      <c r="AT101" s="59">
        <f>G101/(100-AU101)*100</f>
        <v>0</v>
      </c>
      <c r="AU101" s="59">
        <v>0</v>
      </c>
      <c r="AV101" s="59">
        <f>L101</f>
        <v>1.83274</v>
      </c>
    </row>
    <row r="102" spans="4:6" ht="12.75">
      <c r="D102" s="28" t="s">
        <v>573</v>
      </c>
      <c r="F102" s="34">
        <v>5.936</v>
      </c>
    </row>
    <row r="103" spans="1:48" ht="12.75">
      <c r="A103" s="10" t="s">
        <v>30</v>
      </c>
      <c r="B103" s="10"/>
      <c r="C103" s="10" t="s">
        <v>264</v>
      </c>
      <c r="D103" s="10" t="s">
        <v>574</v>
      </c>
      <c r="E103" s="10" t="s">
        <v>1083</v>
      </c>
      <c r="F103" s="33">
        <v>6.128</v>
      </c>
      <c r="G103" s="33">
        <v>0</v>
      </c>
      <c r="H103" s="33">
        <f>F103*AE103</f>
        <v>0</v>
      </c>
      <c r="I103" s="33">
        <f>J103-H103</f>
        <v>0</v>
      </c>
      <c r="J103" s="33">
        <f>F103*G103</f>
        <v>0</v>
      </c>
      <c r="K103" s="33">
        <v>1.9332</v>
      </c>
      <c r="L103" s="33">
        <f>F103*K103</f>
        <v>11.846649600000001</v>
      </c>
      <c r="M103" s="55" t="s">
        <v>1113</v>
      </c>
      <c r="P103" s="59">
        <f>IF(AG103="5",J103,0)</f>
        <v>0</v>
      </c>
      <c r="R103" s="59">
        <f>IF(AG103="1",H103,0)</f>
        <v>0</v>
      </c>
      <c r="S103" s="59">
        <f>IF(AG103="1",I103,0)</f>
        <v>0</v>
      </c>
      <c r="T103" s="59">
        <f>IF(AG103="7",H103,0)</f>
        <v>0</v>
      </c>
      <c r="U103" s="59">
        <f>IF(AG103="7",I103,0)</f>
        <v>0</v>
      </c>
      <c r="V103" s="59">
        <f>IF(AG103="2",H103,0)</f>
        <v>0</v>
      </c>
      <c r="W103" s="59">
        <f>IF(AG103="2",I103,0)</f>
        <v>0</v>
      </c>
      <c r="X103" s="59">
        <f>IF(AG103="0",J103,0)</f>
        <v>0</v>
      </c>
      <c r="Y103" s="49"/>
      <c r="Z103" s="33">
        <f>IF(AD103=0,J103,0)</f>
        <v>0</v>
      </c>
      <c r="AA103" s="33">
        <f>IF(AD103=15,J103,0)</f>
        <v>0</v>
      </c>
      <c r="AB103" s="33">
        <f>IF(AD103=21,J103,0)</f>
        <v>0</v>
      </c>
      <c r="AD103" s="59">
        <v>21</v>
      </c>
      <c r="AE103" s="59">
        <f>G103*0.551577519379845</f>
        <v>0</v>
      </c>
      <c r="AF103" s="59">
        <f>G103*(1-0.551577519379845)</f>
        <v>0</v>
      </c>
      <c r="AG103" s="55" t="s">
        <v>7</v>
      </c>
      <c r="AM103" s="59">
        <f>F103*AE103</f>
        <v>0</v>
      </c>
      <c r="AN103" s="59">
        <f>F103*AF103</f>
        <v>0</v>
      </c>
      <c r="AO103" s="60" t="s">
        <v>1132</v>
      </c>
      <c r="AP103" s="60" t="s">
        <v>1171</v>
      </c>
      <c r="AQ103" s="49" t="s">
        <v>1182</v>
      </c>
      <c r="AS103" s="59">
        <f>AM103+AN103</f>
        <v>0</v>
      </c>
      <c r="AT103" s="59">
        <f>G103/(100-AU103)*100</f>
        <v>0</v>
      </c>
      <c r="AU103" s="59">
        <v>0</v>
      </c>
      <c r="AV103" s="59">
        <f>L103</f>
        <v>11.846649600000001</v>
      </c>
    </row>
    <row r="104" spans="4:6" ht="12.75">
      <c r="D104" s="28" t="s">
        <v>575</v>
      </c>
      <c r="F104" s="34">
        <v>6.128</v>
      </c>
    </row>
    <row r="105" spans="1:48" ht="12.75">
      <c r="A105" s="10" t="s">
        <v>31</v>
      </c>
      <c r="B105" s="10"/>
      <c r="C105" s="10" t="s">
        <v>265</v>
      </c>
      <c r="D105" s="10" t="s">
        <v>576</v>
      </c>
      <c r="E105" s="10" t="s">
        <v>1087</v>
      </c>
      <c r="F105" s="33">
        <v>2</v>
      </c>
      <c r="G105" s="33">
        <v>0</v>
      </c>
      <c r="H105" s="33">
        <f>F105*AE105</f>
        <v>0</v>
      </c>
      <c r="I105" s="33">
        <f>J105-H105</f>
        <v>0</v>
      </c>
      <c r="J105" s="33">
        <f>F105*G105</f>
        <v>0</v>
      </c>
      <c r="K105" s="33">
        <v>0.03071</v>
      </c>
      <c r="L105" s="33">
        <f>F105*K105</f>
        <v>0.06142</v>
      </c>
      <c r="M105" s="55" t="s">
        <v>1114</v>
      </c>
      <c r="P105" s="59">
        <f>IF(AG105="5",J105,0)</f>
        <v>0</v>
      </c>
      <c r="R105" s="59">
        <f>IF(AG105="1",H105,0)</f>
        <v>0</v>
      </c>
      <c r="S105" s="59">
        <f>IF(AG105="1",I105,0)</f>
        <v>0</v>
      </c>
      <c r="T105" s="59">
        <f>IF(AG105="7",H105,0)</f>
        <v>0</v>
      </c>
      <c r="U105" s="59">
        <f>IF(AG105="7",I105,0)</f>
        <v>0</v>
      </c>
      <c r="V105" s="59">
        <f>IF(AG105="2",H105,0)</f>
        <v>0</v>
      </c>
      <c r="W105" s="59">
        <f>IF(AG105="2",I105,0)</f>
        <v>0</v>
      </c>
      <c r="X105" s="59">
        <f>IF(AG105="0",J105,0)</f>
        <v>0</v>
      </c>
      <c r="Y105" s="49"/>
      <c r="Z105" s="33">
        <f>IF(AD105=0,J105,0)</f>
        <v>0</v>
      </c>
      <c r="AA105" s="33">
        <f>IF(AD105=15,J105,0)</f>
        <v>0</v>
      </c>
      <c r="AB105" s="33">
        <f>IF(AD105=21,J105,0)</f>
        <v>0</v>
      </c>
      <c r="AD105" s="59">
        <v>21</v>
      </c>
      <c r="AE105" s="59">
        <f>G105*0.498764933333333</f>
        <v>0</v>
      </c>
      <c r="AF105" s="59">
        <f>G105*(1-0.498764933333333)</f>
        <v>0</v>
      </c>
      <c r="AG105" s="55" t="s">
        <v>7</v>
      </c>
      <c r="AM105" s="59">
        <f>F105*AE105</f>
        <v>0</v>
      </c>
      <c r="AN105" s="59">
        <f>F105*AF105</f>
        <v>0</v>
      </c>
      <c r="AO105" s="60" t="s">
        <v>1132</v>
      </c>
      <c r="AP105" s="60" t="s">
        <v>1171</v>
      </c>
      <c r="AQ105" s="49" t="s">
        <v>1182</v>
      </c>
      <c r="AS105" s="59">
        <f>AM105+AN105</f>
        <v>0</v>
      </c>
      <c r="AT105" s="59">
        <f>G105/(100-AU105)*100</f>
        <v>0</v>
      </c>
      <c r="AU105" s="59">
        <v>0</v>
      </c>
      <c r="AV105" s="59">
        <f>L105</f>
        <v>0.06142</v>
      </c>
    </row>
    <row r="106" spans="4:6" ht="12.75">
      <c r="D106" s="28" t="s">
        <v>577</v>
      </c>
      <c r="F106" s="34">
        <v>1</v>
      </c>
    </row>
    <row r="107" spans="4:6" ht="12.75">
      <c r="D107" s="28" t="s">
        <v>578</v>
      </c>
      <c r="F107" s="34">
        <v>1</v>
      </c>
    </row>
    <row r="108" spans="1:37" ht="12.75">
      <c r="A108" s="11"/>
      <c r="B108" s="24"/>
      <c r="C108" s="24" t="s">
        <v>40</v>
      </c>
      <c r="D108" s="24" t="s">
        <v>579</v>
      </c>
      <c r="E108" s="11" t="s">
        <v>6</v>
      </c>
      <c r="F108" s="11" t="s">
        <v>6</v>
      </c>
      <c r="G108" s="11" t="s">
        <v>6</v>
      </c>
      <c r="H108" s="62">
        <f>SUM(H109:H131)</f>
        <v>0</v>
      </c>
      <c r="I108" s="62">
        <f>SUM(I109:I131)</f>
        <v>0</v>
      </c>
      <c r="J108" s="62">
        <f>H108+I108</f>
        <v>0</v>
      </c>
      <c r="K108" s="49"/>
      <c r="L108" s="62">
        <f>SUM(L109:L131)</f>
        <v>61.17101383</v>
      </c>
      <c r="M108" s="49"/>
      <c r="Y108" s="49"/>
      <c r="AI108" s="62">
        <f>SUM(Z109:Z131)</f>
        <v>0</v>
      </c>
      <c r="AJ108" s="62">
        <f>SUM(AA109:AA131)</f>
        <v>0</v>
      </c>
      <c r="AK108" s="62">
        <f>SUM(AB109:AB131)</f>
        <v>0</v>
      </c>
    </row>
    <row r="109" spans="1:48" ht="12.75">
      <c r="A109" s="10" t="s">
        <v>32</v>
      </c>
      <c r="B109" s="10"/>
      <c r="C109" s="10" t="s">
        <v>266</v>
      </c>
      <c r="D109" s="10" t="s">
        <v>580</v>
      </c>
      <c r="E109" s="10" t="s">
        <v>1086</v>
      </c>
      <c r="F109" s="33">
        <v>81.9274</v>
      </c>
      <c r="G109" s="33">
        <v>0</v>
      </c>
      <c r="H109" s="33">
        <f>F109*AE109</f>
        <v>0</v>
      </c>
      <c r="I109" s="33">
        <f>J109-H109</f>
        <v>0</v>
      </c>
      <c r="J109" s="33">
        <f>F109*G109</f>
        <v>0</v>
      </c>
      <c r="K109" s="33">
        <v>0.27213</v>
      </c>
      <c r="L109" s="33">
        <f>F109*K109</f>
        <v>22.294903362</v>
      </c>
      <c r="M109" s="55" t="s">
        <v>1113</v>
      </c>
      <c r="P109" s="59">
        <f>IF(AG109="5",J109,0)</f>
        <v>0</v>
      </c>
      <c r="R109" s="59">
        <f>IF(AG109="1",H109,0)</f>
        <v>0</v>
      </c>
      <c r="S109" s="59">
        <f>IF(AG109="1",I109,0)</f>
        <v>0</v>
      </c>
      <c r="T109" s="59">
        <f>IF(AG109="7",H109,0)</f>
        <v>0</v>
      </c>
      <c r="U109" s="59">
        <f>IF(AG109="7",I109,0)</f>
        <v>0</v>
      </c>
      <c r="V109" s="59">
        <f>IF(AG109="2",H109,0)</f>
        <v>0</v>
      </c>
      <c r="W109" s="59">
        <f>IF(AG109="2",I109,0)</f>
        <v>0</v>
      </c>
      <c r="X109" s="59">
        <f>IF(AG109="0",J109,0)</f>
        <v>0</v>
      </c>
      <c r="Y109" s="49"/>
      <c r="Z109" s="33">
        <f>IF(AD109=0,J109,0)</f>
        <v>0</v>
      </c>
      <c r="AA109" s="33">
        <f>IF(AD109=15,J109,0)</f>
        <v>0</v>
      </c>
      <c r="AB109" s="33">
        <f>IF(AD109=21,J109,0)</f>
        <v>0</v>
      </c>
      <c r="AD109" s="59">
        <v>21</v>
      </c>
      <c r="AE109" s="59">
        <f>G109*0.636219078279175</f>
        <v>0</v>
      </c>
      <c r="AF109" s="59">
        <f>G109*(1-0.636219078279175)</f>
        <v>0</v>
      </c>
      <c r="AG109" s="55" t="s">
        <v>7</v>
      </c>
      <c r="AM109" s="59">
        <f>F109*AE109</f>
        <v>0</v>
      </c>
      <c r="AN109" s="59">
        <f>F109*AF109</f>
        <v>0</v>
      </c>
      <c r="AO109" s="60" t="s">
        <v>1133</v>
      </c>
      <c r="AP109" s="60" t="s">
        <v>1171</v>
      </c>
      <c r="AQ109" s="49" t="s">
        <v>1182</v>
      </c>
      <c r="AS109" s="59">
        <f>AM109+AN109</f>
        <v>0</v>
      </c>
      <c r="AT109" s="59">
        <f>G109/(100-AU109)*100</f>
        <v>0</v>
      </c>
      <c r="AU109" s="59">
        <v>0</v>
      </c>
      <c r="AV109" s="59">
        <f>L109</f>
        <v>22.294903362</v>
      </c>
    </row>
    <row r="110" spans="4:6" ht="12.75">
      <c r="D110" s="28" t="s">
        <v>581</v>
      </c>
      <c r="F110" s="34">
        <v>11.9598</v>
      </c>
    </row>
    <row r="111" spans="4:6" ht="12.75">
      <c r="D111" s="28" t="s">
        <v>582</v>
      </c>
      <c r="F111" s="34">
        <v>11.904</v>
      </c>
    </row>
    <row r="112" spans="4:6" ht="12.75">
      <c r="D112" s="28" t="s">
        <v>583</v>
      </c>
      <c r="F112" s="34">
        <v>12.2016</v>
      </c>
    </row>
    <row r="113" spans="4:6" ht="12.75">
      <c r="D113" s="28" t="s">
        <v>584</v>
      </c>
      <c r="F113" s="34">
        <v>17.112</v>
      </c>
    </row>
    <row r="114" spans="4:6" ht="12.75">
      <c r="D114" s="28" t="s">
        <v>585</v>
      </c>
      <c r="F114" s="34">
        <v>28.75</v>
      </c>
    </row>
    <row r="115" spans="1:48" ht="12.75">
      <c r="A115" s="10" t="s">
        <v>33</v>
      </c>
      <c r="B115" s="10"/>
      <c r="C115" s="10" t="s">
        <v>267</v>
      </c>
      <c r="D115" s="10" t="s">
        <v>586</v>
      </c>
      <c r="E115" s="10" t="s">
        <v>1086</v>
      </c>
      <c r="F115" s="33">
        <v>142.5488</v>
      </c>
      <c r="G115" s="33">
        <v>0</v>
      </c>
      <c r="H115" s="33">
        <f>F115*AE115</f>
        <v>0</v>
      </c>
      <c r="I115" s="33">
        <f>J115-H115</f>
        <v>0</v>
      </c>
      <c r="J115" s="33">
        <f>F115*G115</f>
        <v>0</v>
      </c>
      <c r="K115" s="33">
        <v>0.11666</v>
      </c>
      <c r="L115" s="33">
        <f>F115*K115</f>
        <v>16.629743008</v>
      </c>
      <c r="M115" s="55" t="s">
        <v>1113</v>
      </c>
      <c r="P115" s="59">
        <f>IF(AG115="5",J115,0)</f>
        <v>0</v>
      </c>
      <c r="R115" s="59">
        <f>IF(AG115="1",H115,0)</f>
        <v>0</v>
      </c>
      <c r="S115" s="59">
        <f>IF(AG115="1",I115,0)</f>
        <v>0</v>
      </c>
      <c r="T115" s="59">
        <f>IF(AG115="7",H115,0)</f>
        <v>0</v>
      </c>
      <c r="U115" s="59">
        <f>IF(AG115="7",I115,0)</f>
        <v>0</v>
      </c>
      <c r="V115" s="59">
        <f>IF(AG115="2",H115,0)</f>
        <v>0</v>
      </c>
      <c r="W115" s="59">
        <f>IF(AG115="2",I115,0)</f>
        <v>0</v>
      </c>
      <c r="X115" s="59">
        <f>IF(AG115="0",J115,0)</f>
        <v>0</v>
      </c>
      <c r="Y115" s="49"/>
      <c r="Z115" s="33">
        <f>IF(AD115=0,J115,0)</f>
        <v>0</v>
      </c>
      <c r="AA115" s="33">
        <f>IF(AD115=15,J115,0)</f>
        <v>0</v>
      </c>
      <c r="AB115" s="33">
        <f>IF(AD115=21,J115,0)</f>
        <v>0</v>
      </c>
      <c r="AD115" s="59">
        <v>21</v>
      </c>
      <c r="AE115" s="59">
        <f>G115*0.640748194868347</f>
        <v>0</v>
      </c>
      <c r="AF115" s="59">
        <f>G115*(1-0.640748194868347)</f>
        <v>0</v>
      </c>
      <c r="AG115" s="55" t="s">
        <v>7</v>
      </c>
      <c r="AM115" s="59">
        <f>F115*AE115</f>
        <v>0</v>
      </c>
      <c r="AN115" s="59">
        <f>F115*AF115</f>
        <v>0</v>
      </c>
      <c r="AO115" s="60" t="s">
        <v>1133</v>
      </c>
      <c r="AP115" s="60" t="s">
        <v>1171</v>
      </c>
      <c r="AQ115" s="49" t="s">
        <v>1182</v>
      </c>
      <c r="AS115" s="59">
        <f>AM115+AN115</f>
        <v>0</v>
      </c>
      <c r="AT115" s="59">
        <f>G115/(100-AU115)*100</f>
        <v>0</v>
      </c>
      <c r="AU115" s="59">
        <v>0</v>
      </c>
      <c r="AV115" s="59">
        <f>L115</f>
        <v>16.629743008</v>
      </c>
    </row>
    <row r="116" spans="4:6" ht="12.75">
      <c r="D116" s="28" t="s">
        <v>587</v>
      </c>
      <c r="F116" s="34">
        <v>37.584</v>
      </c>
    </row>
    <row r="117" spans="4:6" ht="12.75">
      <c r="D117" s="28" t="s">
        <v>588</v>
      </c>
      <c r="F117" s="34">
        <v>36.5184</v>
      </c>
    </row>
    <row r="118" spans="4:6" ht="12.75">
      <c r="D118" s="28" t="s">
        <v>589</v>
      </c>
      <c r="F118" s="34">
        <v>31.248</v>
      </c>
    </row>
    <row r="119" spans="4:6" ht="12.75">
      <c r="D119" s="28" t="s">
        <v>590</v>
      </c>
      <c r="F119" s="34">
        <v>11.84</v>
      </c>
    </row>
    <row r="120" spans="4:6" ht="12.75">
      <c r="D120" s="28" t="s">
        <v>591</v>
      </c>
      <c r="F120" s="34">
        <v>25.3584</v>
      </c>
    </row>
    <row r="121" spans="1:48" ht="12.75">
      <c r="A121" s="10" t="s">
        <v>34</v>
      </c>
      <c r="B121" s="10"/>
      <c r="C121" s="10" t="s">
        <v>268</v>
      </c>
      <c r="D121" s="10" t="s">
        <v>592</v>
      </c>
      <c r="E121" s="10" t="s">
        <v>1086</v>
      </c>
      <c r="F121" s="33">
        <v>17.721</v>
      </c>
      <c r="G121" s="33">
        <v>0</v>
      </c>
      <c r="H121" s="33">
        <f>F121*AE121</f>
        <v>0</v>
      </c>
      <c r="I121" s="33">
        <f>J121-H121</f>
        <v>0</v>
      </c>
      <c r="J121" s="33">
        <f>F121*G121</f>
        <v>0</v>
      </c>
      <c r="K121" s="33">
        <v>0.03126</v>
      </c>
      <c r="L121" s="33">
        <f>F121*K121</f>
        <v>0.55395846</v>
      </c>
      <c r="M121" s="55" t="s">
        <v>1113</v>
      </c>
      <c r="P121" s="59">
        <f>IF(AG121="5",J121,0)</f>
        <v>0</v>
      </c>
      <c r="R121" s="59">
        <f>IF(AG121="1",H121,0)</f>
        <v>0</v>
      </c>
      <c r="S121" s="59">
        <f>IF(AG121="1",I121,0)</f>
        <v>0</v>
      </c>
      <c r="T121" s="59">
        <f>IF(AG121="7",H121,0)</f>
        <v>0</v>
      </c>
      <c r="U121" s="59">
        <f>IF(AG121="7",I121,0)</f>
        <v>0</v>
      </c>
      <c r="V121" s="59">
        <f>IF(AG121="2",H121,0)</f>
        <v>0</v>
      </c>
      <c r="W121" s="59">
        <f>IF(AG121="2",I121,0)</f>
        <v>0</v>
      </c>
      <c r="X121" s="59">
        <f>IF(AG121="0",J121,0)</f>
        <v>0</v>
      </c>
      <c r="Y121" s="49"/>
      <c r="Z121" s="33">
        <f>IF(AD121=0,J121,0)</f>
        <v>0</v>
      </c>
      <c r="AA121" s="33">
        <f>IF(AD121=15,J121,0)</f>
        <v>0</v>
      </c>
      <c r="AB121" s="33">
        <f>IF(AD121=21,J121,0)</f>
        <v>0</v>
      </c>
      <c r="AD121" s="59">
        <v>21</v>
      </c>
      <c r="AE121" s="59">
        <f>G121*0.487129159799216</f>
        <v>0</v>
      </c>
      <c r="AF121" s="59">
        <f>G121*(1-0.487129159799216)</f>
        <v>0</v>
      </c>
      <c r="AG121" s="55" t="s">
        <v>7</v>
      </c>
      <c r="AM121" s="59">
        <f>F121*AE121</f>
        <v>0</v>
      </c>
      <c r="AN121" s="59">
        <f>F121*AF121</f>
        <v>0</v>
      </c>
      <c r="AO121" s="60" t="s">
        <v>1133</v>
      </c>
      <c r="AP121" s="60" t="s">
        <v>1171</v>
      </c>
      <c r="AQ121" s="49" t="s">
        <v>1182</v>
      </c>
      <c r="AS121" s="59">
        <f>AM121+AN121</f>
        <v>0</v>
      </c>
      <c r="AT121" s="59">
        <f>G121/(100-AU121)*100</f>
        <v>0</v>
      </c>
      <c r="AU121" s="59">
        <v>0</v>
      </c>
      <c r="AV121" s="59">
        <f>L121</f>
        <v>0.55395846</v>
      </c>
    </row>
    <row r="122" spans="4:6" ht="12.75">
      <c r="D122" s="28" t="s">
        <v>593</v>
      </c>
      <c r="F122" s="34">
        <v>17.721</v>
      </c>
    </row>
    <row r="123" spans="1:48" ht="12.75">
      <c r="A123" s="10" t="s">
        <v>35</v>
      </c>
      <c r="B123" s="10"/>
      <c r="C123" s="10" t="s">
        <v>269</v>
      </c>
      <c r="D123" s="10" t="s">
        <v>594</v>
      </c>
      <c r="E123" s="10" t="s">
        <v>1086</v>
      </c>
      <c r="F123" s="33">
        <v>17.6</v>
      </c>
      <c r="G123" s="33">
        <v>0</v>
      </c>
      <c r="H123" s="33">
        <f>F123*AE123</f>
        <v>0</v>
      </c>
      <c r="I123" s="33">
        <f>J123-H123</f>
        <v>0</v>
      </c>
      <c r="J123" s="33">
        <f>F123*G123</f>
        <v>0</v>
      </c>
      <c r="K123" s="33">
        <v>0.29836</v>
      </c>
      <c r="L123" s="33">
        <f>F123*K123</f>
        <v>5.251136000000001</v>
      </c>
      <c r="M123" s="55" t="s">
        <v>1113</v>
      </c>
      <c r="P123" s="59">
        <f>IF(AG123="5",J123,0)</f>
        <v>0</v>
      </c>
      <c r="R123" s="59">
        <f>IF(AG123="1",H123,0)</f>
        <v>0</v>
      </c>
      <c r="S123" s="59">
        <f>IF(AG123="1",I123,0)</f>
        <v>0</v>
      </c>
      <c r="T123" s="59">
        <f>IF(AG123="7",H123,0)</f>
        <v>0</v>
      </c>
      <c r="U123" s="59">
        <f>IF(AG123="7",I123,0)</f>
        <v>0</v>
      </c>
      <c r="V123" s="59">
        <f>IF(AG123="2",H123,0)</f>
        <v>0</v>
      </c>
      <c r="W123" s="59">
        <f>IF(AG123="2",I123,0)</f>
        <v>0</v>
      </c>
      <c r="X123" s="59">
        <f>IF(AG123="0",J123,0)</f>
        <v>0</v>
      </c>
      <c r="Y123" s="49"/>
      <c r="Z123" s="33">
        <f>IF(AD123=0,J123,0)</f>
        <v>0</v>
      </c>
      <c r="AA123" s="33">
        <f>IF(AD123=15,J123,0)</f>
        <v>0</v>
      </c>
      <c r="AB123" s="33">
        <f>IF(AD123=21,J123,0)</f>
        <v>0</v>
      </c>
      <c r="AD123" s="59">
        <v>21</v>
      </c>
      <c r="AE123" s="59">
        <f>G123*0.45179718875502</f>
        <v>0</v>
      </c>
      <c r="AF123" s="59">
        <f>G123*(1-0.45179718875502)</f>
        <v>0</v>
      </c>
      <c r="AG123" s="55" t="s">
        <v>7</v>
      </c>
      <c r="AM123" s="59">
        <f>F123*AE123</f>
        <v>0</v>
      </c>
      <c r="AN123" s="59">
        <f>F123*AF123</f>
        <v>0</v>
      </c>
      <c r="AO123" s="60" t="s">
        <v>1133</v>
      </c>
      <c r="AP123" s="60" t="s">
        <v>1171</v>
      </c>
      <c r="AQ123" s="49" t="s">
        <v>1182</v>
      </c>
      <c r="AS123" s="59">
        <f>AM123+AN123</f>
        <v>0</v>
      </c>
      <c r="AT123" s="59">
        <f>G123/(100-AU123)*100</f>
        <v>0</v>
      </c>
      <c r="AU123" s="59">
        <v>0</v>
      </c>
      <c r="AV123" s="59">
        <f>L123</f>
        <v>5.251136000000001</v>
      </c>
    </row>
    <row r="124" spans="4:6" ht="12.75">
      <c r="D124" s="28" t="s">
        <v>595</v>
      </c>
      <c r="F124" s="34">
        <v>17.6</v>
      </c>
    </row>
    <row r="125" spans="1:48" ht="12.75">
      <c r="A125" s="10" t="s">
        <v>36</v>
      </c>
      <c r="B125" s="10"/>
      <c r="C125" s="10" t="s">
        <v>270</v>
      </c>
      <c r="D125" s="10" t="s">
        <v>596</v>
      </c>
      <c r="E125" s="10" t="s">
        <v>1086</v>
      </c>
      <c r="F125" s="33">
        <v>36.3</v>
      </c>
      <c r="G125" s="33">
        <v>0</v>
      </c>
      <c r="H125" s="33">
        <f>F125*AE125</f>
        <v>0</v>
      </c>
      <c r="I125" s="33">
        <f>J125-H125</f>
        <v>0</v>
      </c>
      <c r="J125" s="33">
        <f>F125*G125</f>
        <v>0</v>
      </c>
      <c r="K125" s="33">
        <v>0.37571</v>
      </c>
      <c r="L125" s="33">
        <f>F125*K125</f>
        <v>13.638272999999998</v>
      </c>
      <c r="M125" s="55" t="s">
        <v>1113</v>
      </c>
      <c r="P125" s="59">
        <f>IF(AG125="5",J125,0)</f>
        <v>0</v>
      </c>
      <c r="R125" s="59">
        <f>IF(AG125="1",H125,0)</f>
        <v>0</v>
      </c>
      <c r="S125" s="59">
        <f>IF(AG125="1",I125,0)</f>
        <v>0</v>
      </c>
      <c r="T125" s="59">
        <f>IF(AG125="7",H125,0)</f>
        <v>0</v>
      </c>
      <c r="U125" s="59">
        <f>IF(AG125="7",I125,0)</f>
        <v>0</v>
      </c>
      <c r="V125" s="59">
        <f>IF(AG125="2",H125,0)</f>
        <v>0</v>
      </c>
      <c r="W125" s="59">
        <f>IF(AG125="2",I125,0)</f>
        <v>0</v>
      </c>
      <c r="X125" s="59">
        <f>IF(AG125="0",J125,0)</f>
        <v>0</v>
      </c>
      <c r="Y125" s="49"/>
      <c r="Z125" s="33">
        <f>IF(AD125=0,J125,0)</f>
        <v>0</v>
      </c>
      <c r="AA125" s="33">
        <f>IF(AD125=15,J125,0)</f>
        <v>0</v>
      </c>
      <c r="AB125" s="33">
        <f>IF(AD125=21,J125,0)</f>
        <v>0</v>
      </c>
      <c r="AD125" s="59">
        <v>21</v>
      </c>
      <c r="AE125" s="59">
        <f>G125*0.503409632523874</f>
        <v>0</v>
      </c>
      <c r="AF125" s="59">
        <f>G125*(1-0.503409632523874)</f>
        <v>0</v>
      </c>
      <c r="AG125" s="55" t="s">
        <v>7</v>
      </c>
      <c r="AM125" s="59">
        <f>F125*AE125</f>
        <v>0</v>
      </c>
      <c r="AN125" s="59">
        <f>F125*AF125</f>
        <v>0</v>
      </c>
      <c r="AO125" s="60" t="s">
        <v>1133</v>
      </c>
      <c r="AP125" s="60" t="s">
        <v>1171</v>
      </c>
      <c r="AQ125" s="49" t="s">
        <v>1182</v>
      </c>
      <c r="AS125" s="59">
        <f>AM125+AN125</f>
        <v>0</v>
      </c>
      <c r="AT125" s="59">
        <f>G125/(100-AU125)*100</f>
        <v>0</v>
      </c>
      <c r="AU125" s="59">
        <v>0</v>
      </c>
      <c r="AV125" s="59">
        <f>L125</f>
        <v>13.638272999999998</v>
      </c>
    </row>
    <row r="126" spans="4:6" ht="12.75">
      <c r="D126" s="28" t="s">
        <v>597</v>
      </c>
      <c r="F126" s="34">
        <v>36.3</v>
      </c>
    </row>
    <row r="127" spans="1:48" ht="12.75">
      <c r="A127" s="10" t="s">
        <v>37</v>
      </c>
      <c r="B127" s="10"/>
      <c r="C127" s="10" t="s">
        <v>271</v>
      </c>
      <c r="D127" s="10" t="s">
        <v>598</v>
      </c>
      <c r="E127" s="10" t="s">
        <v>1086</v>
      </c>
      <c r="F127" s="33">
        <v>110</v>
      </c>
      <c r="G127" s="33">
        <v>0</v>
      </c>
      <c r="H127" s="33">
        <f>F127*AE127</f>
        <v>0</v>
      </c>
      <c r="I127" s="33">
        <f>J127-H127</f>
        <v>0</v>
      </c>
      <c r="J127" s="33">
        <f>F127*G127</f>
        <v>0</v>
      </c>
      <c r="K127" s="33">
        <v>0.02192</v>
      </c>
      <c r="L127" s="33">
        <f>F127*K127</f>
        <v>2.4112</v>
      </c>
      <c r="M127" s="55" t="s">
        <v>1115</v>
      </c>
      <c r="P127" s="59">
        <f>IF(AG127="5",J127,0)</f>
        <v>0</v>
      </c>
      <c r="R127" s="59">
        <f>IF(AG127="1",H127,0)</f>
        <v>0</v>
      </c>
      <c r="S127" s="59">
        <f>IF(AG127="1",I127,0)</f>
        <v>0</v>
      </c>
      <c r="T127" s="59">
        <f>IF(AG127="7",H127,0)</f>
        <v>0</v>
      </c>
      <c r="U127" s="59">
        <f>IF(AG127="7",I127,0)</f>
        <v>0</v>
      </c>
      <c r="V127" s="59">
        <f>IF(AG127="2",H127,0)</f>
        <v>0</v>
      </c>
      <c r="W127" s="59">
        <f>IF(AG127="2",I127,0)</f>
        <v>0</v>
      </c>
      <c r="X127" s="59">
        <f>IF(AG127="0",J127,0)</f>
        <v>0</v>
      </c>
      <c r="Y127" s="49"/>
      <c r="Z127" s="33">
        <f>IF(AD127=0,J127,0)</f>
        <v>0</v>
      </c>
      <c r="AA127" s="33">
        <f>IF(AD127=15,J127,0)</f>
        <v>0</v>
      </c>
      <c r="AB127" s="33">
        <f>IF(AD127=21,J127,0)</f>
        <v>0</v>
      </c>
      <c r="AD127" s="59">
        <v>21</v>
      </c>
      <c r="AE127" s="59">
        <f>G127*0.527524390243902</f>
        <v>0</v>
      </c>
      <c r="AF127" s="59">
        <f>G127*(1-0.527524390243902)</f>
        <v>0</v>
      </c>
      <c r="AG127" s="55" t="s">
        <v>7</v>
      </c>
      <c r="AM127" s="59">
        <f>F127*AE127</f>
        <v>0</v>
      </c>
      <c r="AN127" s="59">
        <f>F127*AF127</f>
        <v>0</v>
      </c>
      <c r="AO127" s="60" t="s">
        <v>1133</v>
      </c>
      <c r="AP127" s="60" t="s">
        <v>1171</v>
      </c>
      <c r="AQ127" s="49" t="s">
        <v>1182</v>
      </c>
      <c r="AS127" s="59">
        <f>AM127+AN127</f>
        <v>0</v>
      </c>
      <c r="AT127" s="59">
        <f>G127/(100-AU127)*100</f>
        <v>0</v>
      </c>
      <c r="AU127" s="59">
        <v>0</v>
      </c>
      <c r="AV127" s="59">
        <f>L127</f>
        <v>2.4112</v>
      </c>
    </row>
    <row r="128" spans="4:6" ht="12.75">
      <c r="D128" s="28" t="s">
        <v>599</v>
      </c>
      <c r="F128" s="34">
        <v>60</v>
      </c>
    </row>
    <row r="129" spans="4:6" ht="12.75">
      <c r="D129" s="28" t="s">
        <v>600</v>
      </c>
      <c r="F129" s="34">
        <v>25</v>
      </c>
    </row>
    <row r="130" spans="4:6" ht="12.75">
      <c r="D130" s="28" t="s">
        <v>601</v>
      </c>
      <c r="F130" s="34">
        <v>25</v>
      </c>
    </row>
    <row r="131" spans="1:48" ht="12.75">
      <c r="A131" s="10" t="s">
        <v>38</v>
      </c>
      <c r="B131" s="10"/>
      <c r="C131" s="10" t="s">
        <v>272</v>
      </c>
      <c r="D131" s="10" t="s">
        <v>602</v>
      </c>
      <c r="E131" s="10" t="s">
        <v>1084</v>
      </c>
      <c r="F131" s="33">
        <v>30</v>
      </c>
      <c r="G131" s="33">
        <v>0</v>
      </c>
      <c r="H131" s="33">
        <f>F131*AE131</f>
        <v>0</v>
      </c>
      <c r="I131" s="33">
        <f>J131-H131</f>
        <v>0</v>
      </c>
      <c r="J131" s="33">
        <f>F131*G131</f>
        <v>0</v>
      </c>
      <c r="K131" s="33">
        <v>0.01306</v>
      </c>
      <c r="L131" s="33">
        <f>F131*K131</f>
        <v>0.39180000000000004</v>
      </c>
      <c r="M131" s="55" t="s">
        <v>1115</v>
      </c>
      <c r="P131" s="59">
        <f>IF(AG131="5",J131,0)</f>
        <v>0</v>
      </c>
      <c r="R131" s="59">
        <f>IF(AG131="1",H131,0)</f>
        <v>0</v>
      </c>
      <c r="S131" s="59">
        <f>IF(AG131="1",I131,0)</f>
        <v>0</v>
      </c>
      <c r="T131" s="59">
        <f>IF(AG131="7",H131,0)</f>
        <v>0</v>
      </c>
      <c r="U131" s="59">
        <f>IF(AG131="7",I131,0)</f>
        <v>0</v>
      </c>
      <c r="V131" s="59">
        <f>IF(AG131="2",H131,0)</f>
        <v>0</v>
      </c>
      <c r="W131" s="59">
        <f>IF(AG131="2",I131,0)</f>
        <v>0</v>
      </c>
      <c r="X131" s="59">
        <f>IF(AG131="0",J131,0)</f>
        <v>0</v>
      </c>
      <c r="Y131" s="49"/>
      <c r="Z131" s="33">
        <f>IF(AD131=0,J131,0)</f>
        <v>0</v>
      </c>
      <c r="AA131" s="33">
        <f>IF(AD131=15,J131,0)</f>
        <v>0</v>
      </c>
      <c r="AB131" s="33">
        <f>IF(AD131=21,J131,0)</f>
        <v>0</v>
      </c>
      <c r="AD131" s="59">
        <v>21</v>
      </c>
      <c r="AE131" s="59">
        <f>G131*0.507146869733475</f>
        <v>0</v>
      </c>
      <c r="AF131" s="59">
        <f>G131*(1-0.507146869733475)</f>
        <v>0</v>
      </c>
      <c r="AG131" s="55" t="s">
        <v>7</v>
      </c>
      <c r="AM131" s="59">
        <f>F131*AE131</f>
        <v>0</v>
      </c>
      <c r="AN131" s="59">
        <f>F131*AF131</f>
        <v>0</v>
      </c>
      <c r="AO131" s="60" t="s">
        <v>1133</v>
      </c>
      <c r="AP131" s="60" t="s">
        <v>1171</v>
      </c>
      <c r="AQ131" s="49" t="s">
        <v>1182</v>
      </c>
      <c r="AS131" s="59">
        <f>AM131+AN131</f>
        <v>0</v>
      </c>
      <c r="AT131" s="59">
        <f>G131/(100-AU131)*100</f>
        <v>0</v>
      </c>
      <c r="AU131" s="59">
        <v>0</v>
      </c>
      <c r="AV131" s="59">
        <f>L131</f>
        <v>0.39180000000000004</v>
      </c>
    </row>
    <row r="132" spans="4:6" ht="12.75">
      <c r="D132" s="28" t="s">
        <v>603</v>
      </c>
      <c r="F132" s="34">
        <v>30</v>
      </c>
    </row>
    <row r="133" spans="4:6" ht="12.75">
      <c r="D133" s="28" t="s">
        <v>604</v>
      </c>
      <c r="F133" s="34">
        <v>0</v>
      </c>
    </row>
    <row r="134" spans="1:37" ht="12.75">
      <c r="A134" s="11"/>
      <c r="B134" s="24"/>
      <c r="C134" s="24" t="s">
        <v>47</v>
      </c>
      <c r="D134" s="24" t="s">
        <v>605</v>
      </c>
      <c r="E134" s="11" t="s">
        <v>6</v>
      </c>
      <c r="F134" s="11" t="s">
        <v>6</v>
      </c>
      <c r="G134" s="11" t="s">
        <v>6</v>
      </c>
      <c r="H134" s="62">
        <f>SUM(H135:H164)</f>
        <v>0</v>
      </c>
      <c r="I134" s="62">
        <f>SUM(I135:I164)</f>
        <v>0</v>
      </c>
      <c r="J134" s="62">
        <f>H134+I134</f>
        <v>0</v>
      </c>
      <c r="K134" s="49"/>
      <c r="L134" s="62">
        <f>SUM(L135:L164)</f>
        <v>24.109564048</v>
      </c>
      <c r="M134" s="49"/>
      <c r="Y134" s="49"/>
      <c r="AI134" s="62">
        <f>SUM(Z135:Z164)</f>
        <v>0</v>
      </c>
      <c r="AJ134" s="62">
        <f>SUM(AA135:AA164)</f>
        <v>0</v>
      </c>
      <c r="AK134" s="62">
        <f>SUM(AB135:AB164)</f>
        <v>0</v>
      </c>
    </row>
    <row r="135" spans="1:48" ht="12.75">
      <c r="A135" s="10" t="s">
        <v>39</v>
      </c>
      <c r="B135" s="10"/>
      <c r="C135" s="10" t="s">
        <v>273</v>
      </c>
      <c r="D135" s="10" t="s">
        <v>606</v>
      </c>
      <c r="E135" s="10" t="s">
        <v>1084</v>
      </c>
      <c r="F135" s="33">
        <v>23.44</v>
      </c>
      <c r="G135" s="33">
        <v>0</v>
      </c>
      <c r="H135" s="33">
        <f>F135*AE135</f>
        <v>0</v>
      </c>
      <c r="I135" s="33">
        <f>J135-H135</f>
        <v>0</v>
      </c>
      <c r="J135" s="33">
        <f>F135*G135</f>
        <v>0</v>
      </c>
      <c r="K135" s="33">
        <v>0.16403</v>
      </c>
      <c r="L135" s="33">
        <f>F135*K135</f>
        <v>3.8448632000000003</v>
      </c>
      <c r="M135" s="55" t="s">
        <v>1113</v>
      </c>
      <c r="P135" s="59">
        <f>IF(AG135="5",J135,0)</f>
        <v>0</v>
      </c>
      <c r="R135" s="59">
        <f>IF(AG135="1",H135,0)</f>
        <v>0</v>
      </c>
      <c r="S135" s="59">
        <f>IF(AG135="1",I135,0)</f>
        <v>0</v>
      </c>
      <c r="T135" s="59">
        <f>IF(AG135="7",H135,0)</f>
        <v>0</v>
      </c>
      <c r="U135" s="59">
        <f>IF(AG135="7",I135,0)</f>
        <v>0</v>
      </c>
      <c r="V135" s="59">
        <f>IF(AG135="2",H135,0)</f>
        <v>0</v>
      </c>
      <c r="W135" s="59">
        <f>IF(AG135="2",I135,0)</f>
        <v>0</v>
      </c>
      <c r="X135" s="59">
        <f>IF(AG135="0",J135,0)</f>
        <v>0</v>
      </c>
      <c r="Y135" s="49"/>
      <c r="Z135" s="33">
        <f>IF(AD135=0,J135,0)</f>
        <v>0</v>
      </c>
      <c r="AA135" s="33">
        <f>IF(AD135=15,J135,0)</f>
        <v>0</v>
      </c>
      <c r="AB135" s="33">
        <f>IF(AD135=21,J135,0)</f>
        <v>0</v>
      </c>
      <c r="AD135" s="59">
        <v>21</v>
      </c>
      <c r="AE135" s="59">
        <f>G135*0.456882848055285</f>
        <v>0</v>
      </c>
      <c r="AF135" s="59">
        <f>G135*(1-0.456882848055285)</f>
        <v>0</v>
      </c>
      <c r="AG135" s="55" t="s">
        <v>7</v>
      </c>
      <c r="AM135" s="59">
        <f>F135*AE135</f>
        <v>0</v>
      </c>
      <c r="AN135" s="59">
        <f>F135*AF135</f>
        <v>0</v>
      </c>
      <c r="AO135" s="60" t="s">
        <v>1134</v>
      </c>
      <c r="AP135" s="60" t="s">
        <v>1172</v>
      </c>
      <c r="AQ135" s="49" t="s">
        <v>1182</v>
      </c>
      <c r="AS135" s="59">
        <f>AM135+AN135</f>
        <v>0</v>
      </c>
      <c r="AT135" s="59">
        <f>G135/(100-AU135)*100</f>
        <v>0</v>
      </c>
      <c r="AU135" s="59">
        <v>0</v>
      </c>
      <c r="AV135" s="59">
        <f>L135</f>
        <v>3.8448632000000003</v>
      </c>
    </row>
    <row r="136" spans="4:6" ht="12.75">
      <c r="D136" s="28" t="s">
        <v>607</v>
      </c>
      <c r="F136" s="34">
        <v>23.44</v>
      </c>
    </row>
    <row r="137" spans="1:48" ht="12.75">
      <c r="A137" s="10" t="s">
        <v>40</v>
      </c>
      <c r="B137" s="10"/>
      <c r="C137" s="10" t="s">
        <v>274</v>
      </c>
      <c r="D137" s="10" t="s">
        <v>608</v>
      </c>
      <c r="E137" s="10" t="s">
        <v>1084</v>
      </c>
      <c r="F137" s="33">
        <v>118.2</v>
      </c>
      <c r="G137" s="33">
        <v>0</v>
      </c>
      <c r="H137" s="33">
        <f>F137*AE137</f>
        <v>0</v>
      </c>
      <c r="I137" s="33">
        <f>J137-H137</f>
        <v>0</v>
      </c>
      <c r="J137" s="33">
        <f>F137*G137</f>
        <v>0</v>
      </c>
      <c r="K137" s="33">
        <v>0.07404</v>
      </c>
      <c r="L137" s="33">
        <f>F137*K137</f>
        <v>8.751528</v>
      </c>
      <c r="M137" s="55" t="s">
        <v>1113</v>
      </c>
      <c r="P137" s="59">
        <f>IF(AG137="5",J137,0)</f>
        <v>0</v>
      </c>
      <c r="R137" s="59">
        <f>IF(AG137="1",H137,0)</f>
        <v>0</v>
      </c>
      <c r="S137" s="59">
        <f>IF(AG137="1",I137,0)</f>
        <v>0</v>
      </c>
      <c r="T137" s="59">
        <f>IF(AG137="7",H137,0)</f>
        <v>0</v>
      </c>
      <c r="U137" s="59">
        <f>IF(AG137="7",I137,0)</f>
        <v>0</v>
      </c>
      <c r="V137" s="59">
        <f>IF(AG137="2",H137,0)</f>
        <v>0</v>
      </c>
      <c r="W137" s="59">
        <f>IF(AG137="2",I137,0)</f>
        <v>0</v>
      </c>
      <c r="X137" s="59">
        <f>IF(AG137="0",J137,0)</f>
        <v>0</v>
      </c>
      <c r="Y137" s="49"/>
      <c r="Z137" s="33">
        <f>IF(AD137=0,J137,0)</f>
        <v>0</v>
      </c>
      <c r="AA137" s="33">
        <f>IF(AD137=15,J137,0)</f>
        <v>0</v>
      </c>
      <c r="AB137" s="33">
        <f>IF(AD137=21,J137,0)</f>
        <v>0</v>
      </c>
      <c r="AD137" s="59">
        <v>21</v>
      </c>
      <c r="AE137" s="59">
        <f>G137*0.62104088181945</f>
        <v>0</v>
      </c>
      <c r="AF137" s="59">
        <f>G137*(1-0.62104088181945)</f>
        <v>0</v>
      </c>
      <c r="AG137" s="55" t="s">
        <v>7</v>
      </c>
      <c r="AM137" s="59">
        <f>F137*AE137</f>
        <v>0</v>
      </c>
      <c r="AN137" s="59">
        <f>F137*AF137</f>
        <v>0</v>
      </c>
      <c r="AO137" s="60" t="s">
        <v>1134</v>
      </c>
      <c r="AP137" s="60" t="s">
        <v>1172</v>
      </c>
      <c r="AQ137" s="49" t="s">
        <v>1182</v>
      </c>
      <c r="AS137" s="59">
        <f>AM137+AN137</f>
        <v>0</v>
      </c>
      <c r="AT137" s="59">
        <f>G137/(100-AU137)*100</f>
        <v>0</v>
      </c>
      <c r="AU137" s="59">
        <v>0</v>
      </c>
      <c r="AV137" s="59">
        <f>L137</f>
        <v>8.751528</v>
      </c>
    </row>
    <row r="138" spans="4:6" ht="12.75">
      <c r="D138" s="28" t="s">
        <v>609</v>
      </c>
      <c r="F138" s="34">
        <v>24</v>
      </c>
    </row>
    <row r="139" spans="4:6" ht="12.75">
      <c r="D139" s="28" t="s">
        <v>610</v>
      </c>
      <c r="F139" s="34">
        <v>15.2</v>
      </c>
    </row>
    <row r="140" spans="4:6" ht="12.75">
      <c r="D140" s="28" t="s">
        <v>611</v>
      </c>
      <c r="F140" s="34">
        <v>36</v>
      </c>
    </row>
    <row r="141" spans="4:6" ht="12.75">
      <c r="D141" s="28" t="s">
        <v>612</v>
      </c>
      <c r="F141" s="34">
        <v>7.2</v>
      </c>
    </row>
    <row r="142" spans="4:6" ht="12.75">
      <c r="D142" s="28" t="s">
        <v>613</v>
      </c>
      <c r="F142" s="34">
        <v>5.4</v>
      </c>
    </row>
    <row r="143" spans="4:6" ht="12.75">
      <c r="D143" s="28" t="s">
        <v>614</v>
      </c>
      <c r="F143" s="34">
        <v>22</v>
      </c>
    </row>
    <row r="144" spans="4:6" ht="12.75">
      <c r="D144" s="28" t="s">
        <v>615</v>
      </c>
      <c r="F144" s="34">
        <v>8.4</v>
      </c>
    </row>
    <row r="145" spans="1:48" ht="12.75">
      <c r="A145" s="10" t="s">
        <v>41</v>
      </c>
      <c r="B145" s="10"/>
      <c r="C145" s="10" t="s">
        <v>275</v>
      </c>
      <c r="D145" s="10" t="s">
        <v>616</v>
      </c>
      <c r="E145" s="10" t="s">
        <v>1083</v>
      </c>
      <c r="F145" s="33">
        <v>2.772</v>
      </c>
      <c r="G145" s="33">
        <v>0</v>
      </c>
      <c r="H145" s="33">
        <f>F145*AE145</f>
        <v>0</v>
      </c>
      <c r="I145" s="33">
        <f>J145-H145</f>
        <v>0</v>
      </c>
      <c r="J145" s="33">
        <f>F145*G145</f>
        <v>0</v>
      </c>
      <c r="K145" s="33">
        <v>2.52514</v>
      </c>
      <c r="L145" s="33">
        <f>F145*K145</f>
        <v>6.999688079999999</v>
      </c>
      <c r="M145" s="55" t="s">
        <v>1113</v>
      </c>
      <c r="P145" s="59">
        <f>IF(AG145="5",J145,0)</f>
        <v>0</v>
      </c>
      <c r="R145" s="59">
        <f>IF(AG145="1",H145,0)</f>
        <v>0</v>
      </c>
      <c r="S145" s="59">
        <f>IF(AG145="1",I145,0)</f>
        <v>0</v>
      </c>
      <c r="T145" s="59">
        <f>IF(AG145="7",H145,0)</f>
        <v>0</v>
      </c>
      <c r="U145" s="59">
        <f>IF(AG145="7",I145,0)</f>
        <v>0</v>
      </c>
      <c r="V145" s="59">
        <f>IF(AG145="2",H145,0)</f>
        <v>0</v>
      </c>
      <c r="W145" s="59">
        <f>IF(AG145="2",I145,0)</f>
        <v>0</v>
      </c>
      <c r="X145" s="59">
        <f>IF(AG145="0",J145,0)</f>
        <v>0</v>
      </c>
      <c r="Y145" s="49"/>
      <c r="Z145" s="33">
        <f>IF(AD145=0,J145,0)</f>
        <v>0</v>
      </c>
      <c r="AA145" s="33">
        <f>IF(AD145=15,J145,0)</f>
        <v>0</v>
      </c>
      <c r="AB145" s="33">
        <f>IF(AD145=21,J145,0)</f>
        <v>0</v>
      </c>
      <c r="AD145" s="59">
        <v>21</v>
      </c>
      <c r="AE145" s="59">
        <f>G145*0.850870229007634</f>
        <v>0</v>
      </c>
      <c r="AF145" s="59">
        <f>G145*(1-0.850870229007634)</f>
        <v>0</v>
      </c>
      <c r="AG145" s="55" t="s">
        <v>7</v>
      </c>
      <c r="AM145" s="59">
        <f>F145*AE145</f>
        <v>0</v>
      </c>
      <c r="AN145" s="59">
        <f>F145*AF145</f>
        <v>0</v>
      </c>
      <c r="AO145" s="60" t="s">
        <v>1134</v>
      </c>
      <c r="AP145" s="60" t="s">
        <v>1172</v>
      </c>
      <c r="AQ145" s="49" t="s">
        <v>1182</v>
      </c>
      <c r="AS145" s="59">
        <f>AM145+AN145</f>
        <v>0</v>
      </c>
      <c r="AT145" s="59">
        <f>G145/(100-AU145)*100</f>
        <v>0</v>
      </c>
      <c r="AU145" s="59">
        <v>0</v>
      </c>
      <c r="AV145" s="59">
        <f>L145</f>
        <v>6.999688079999999</v>
      </c>
    </row>
    <row r="146" spans="4:6" ht="12.75">
      <c r="D146" s="28" t="s">
        <v>617</v>
      </c>
      <c r="F146" s="34">
        <v>2.772</v>
      </c>
    </row>
    <row r="147" spans="1:48" ht="12.75">
      <c r="A147" s="10" t="s">
        <v>42</v>
      </c>
      <c r="B147" s="10"/>
      <c r="C147" s="10" t="s">
        <v>276</v>
      </c>
      <c r="D147" s="10" t="s">
        <v>618</v>
      </c>
      <c r="E147" s="10" t="s">
        <v>1086</v>
      </c>
      <c r="F147" s="33">
        <v>16</v>
      </c>
      <c r="G147" s="33">
        <v>0</v>
      </c>
      <c r="H147" s="33">
        <f>F147*AE147</f>
        <v>0</v>
      </c>
      <c r="I147" s="33">
        <f>J147-H147</f>
        <v>0</v>
      </c>
      <c r="J147" s="33">
        <f>F147*G147</f>
        <v>0</v>
      </c>
      <c r="K147" s="33">
        <v>0.03637</v>
      </c>
      <c r="L147" s="33">
        <f>F147*K147</f>
        <v>0.58192</v>
      </c>
      <c r="M147" s="55" t="s">
        <v>1113</v>
      </c>
      <c r="P147" s="59">
        <f>IF(AG147="5",J147,0)</f>
        <v>0</v>
      </c>
      <c r="R147" s="59">
        <f>IF(AG147="1",H147,0)</f>
        <v>0</v>
      </c>
      <c r="S147" s="59">
        <f>IF(AG147="1",I147,0)</f>
        <v>0</v>
      </c>
      <c r="T147" s="59">
        <f>IF(AG147="7",H147,0)</f>
        <v>0</v>
      </c>
      <c r="U147" s="59">
        <f>IF(AG147="7",I147,0)</f>
        <v>0</v>
      </c>
      <c r="V147" s="59">
        <f>IF(AG147="2",H147,0)</f>
        <v>0</v>
      </c>
      <c r="W147" s="59">
        <f>IF(AG147="2",I147,0)</f>
        <v>0</v>
      </c>
      <c r="X147" s="59">
        <f>IF(AG147="0",J147,0)</f>
        <v>0</v>
      </c>
      <c r="Y147" s="49"/>
      <c r="Z147" s="33">
        <f>IF(AD147=0,J147,0)</f>
        <v>0</v>
      </c>
      <c r="AA147" s="33">
        <f>IF(AD147=15,J147,0)</f>
        <v>0</v>
      </c>
      <c r="AB147" s="33">
        <f>IF(AD147=21,J147,0)</f>
        <v>0</v>
      </c>
      <c r="AD147" s="59">
        <v>21</v>
      </c>
      <c r="AE147" s="59">
        <f>G147*0.563513931888545</f>
        <v>0</v>
      </c>
      <c r="AF147" s="59">
        <f>G147*(1-0.563513931888545)</f>
        <v>0</v>
      </c>
      <c r="AG147" s="55" t="s">
        <v>7</v>
      </c>
      <c r="AM147" s="59">
        <f>F147*AE147</f>
        <v>0</v>
      </c>
      <c r="AN147" s="59">
        <f>F147*AF147</f>
        <v>0</v>
      </c>
      <c r="AO147" s="60" t="s">
        <v>1134</v>
      </c>
      <c r="AP147" s="60" t="s">
        <v>1172</v>
      </c>
      <c r="AQ147" s="49" t="s">
        <v>1182</v>
      </c>
      <c r="AS147" s="59">
        <f>AM147+AN147</f>
        <v>0</v>
      </c>
      <c r="AT147" s="59">
        <f>G147/(100-AU147)*100</f>
        <v>0</v>
      </c>
      <c r="AU147" s="59">
        <v>0</v>
      </c>
      <c r="AV147" s="59">
        <f>L147</f>
        <v>0.58192</v>
      </c>
    </row>
    <row r="148" spans="4:6" ht="12.75">
      <c r="D148" s="28" t="s">
        <v>619</v>
      </c>
      <c r="F148" s="34">
        <v>16</v>
      </c>
    </row>
    <row r="149" spans="1:48" ht="12.75">
      <c r="A149" s="10" t="s">
        <v>43</v>
      </c>
      <c r="B149" s="10"/>
      <c r="C149" s="10" t="s">
        <v>277</v>
      </c>
      <c r="D149" s="10" t="s">
        <v>620</v>
      </c>
      <c r="E149" s="10" t="s">
        <v>1086</v>
      </c>
      <c r="F149" s="33">
        <v>16</v>
      </c>
      <c r="G149" s="33">
        <v>0</v>
      </c>
      <c r="H149" s="33">
        <f>F149*AE149</f>
        <v>0</v>
      </c>
      <c r="I149" s="33">
        <f>J149-H149</f>
        <v>0</v>
      </c>
      <c r="J149" s="33">
        <f>F149*G149</f>
        <v>0</v>
      </c>
      <c r="K149" s="33">
        <v>0</v>
      </c>
      <c r="L149" s="33">
        <f>F149*K149</f>
        <v>0</v>
      </c>
      <c r="M149" s="55" t="s">
        <v>1113</v>
      </c>
      <c r="P149" s="59">
        <f>IF(AG149="5",J149,0)</f>
        <v>0</v>
      </c>
      <c r="R149" s="59">
        <f>IF(AG149="1",H149,0)</f>
        <v>0</v>
      </c>
      <c r="S149" s="59">
        <f>IF(AG149="1",I149,0)</f>
        <v>0</v>
      </c>
      <c r="T149" s="59">
        <f>IF(AG149="7",H149,0)</f>
        <v>0</v>
      </c>
      <c r="U149" s="59">
        <f>IF(AG149="7",I149,0)</f>
        <v>0</v>
      </c>
      <c r="V149" s="59">
        <f>IF(AG149="2",H149,0)</f>
        <v>0</v>
      </c>
      <c r="W149" s="59">
        <f>IF(AG149="2",I149,0)</f>
        <v>0</v>
      </c>
      <c r="X149" s="59">
        <f>IF(AG149="0",J149,0)</f>
        <v>0</v>
      </c>
      <c r="Y149" s="49"/>
      <c r="Z149" s="33">
        <f>IF(AD149=0,J149,0)</f>
        <v>0</v>
      </c>
      <c r="AA149" s="33">
        <f>IF(AD149=15,J149,0)</f>
        <v>0</v>
      </c>
      <c r="AB149" s="33">
        <f>IF(AD149=21,J149,0)</f>
        <v>0</v>
      </c>
      <c r="AD149" s="59">
        <v>21</v>
      </c>
      <c r="AE149" s="59">
        <f>G149*0</f>
        <v>0</v>
      </c>
      <c r="AF149" s="59">
        <f>G149*(1-0)</f>
        <v>0</v>
      </c>
      <c r="AG149" s="55" t="s">
        <v>7</v>
      </c>
      <c r="AM149" s="59">
        <f>F149*AE149</f>
        <v>0</v>
      </c>
      <c r="AN149" s="59">
        <f>F149*AF149</f>
        <v>0</v>
      </c>
      <c r="AO149" s="60" t="s">
        <v>1134</v>
      </c>
      <c r="AP149" s="60" t="s">
        <v>1172</v>
      </c>
      <c r="AQ149" s="49" t="s">
        <v>1182</v>
      </c>
      <c r="AS149" s="59">
        <f>AM149+AN149</f>
        <v>0</v>
      </c>
      <c r="AT149" s="59">
        <f>G149/(100-AU149)*100</f>
        <v>0</v>
      </c>
      <c r="AU149" s="59">
        <v>0</v>
      </c>
      <c r="AV149" s="59">
        <f>L149</f>
        <v>0</v>
      </c>
    </row>
    <row r="150" spans="4:6" ht="12.75">
      <c r="D150" s="28" t="s">
        <v>619</v>
      </c>
      <c r="F150" s="34">
        <v>16</v>
      </c>
    </row>
    <row r="151" spans="1:48" ht="12.75">
      <c r="A151" s="10" t="s">
        <v>44</v>
      </c>
      <c r="B151" s="10"/>
      <c r="C151" s="10" t="s">
        <v>278</v>
      </c>
      <c r="D151" s="10" t="s">
        <v>621</v>
      </c>
      <c r="E151" s="10" t="s">
        <v>1085</v>
      </c>
      <c r="F151" s="33">
        <v>0.1536</v>
      </c>
      <c r="G151" s="33">
        <v>0</v>
      </c>
      <c r="H151" s="33">
        <f>F151*AE151</f>
        <v>0</v>
      </c>
      <c r="I151" s="33">
        <f>J151-H151</f>
        <v>0</v>
      </c>
      <c r="J151" s="33">
        <f>F151*G151</f>
        <v>0</v>
      </c>
      <c r="K151" s="33">
        <v>1.05438</v>
      </c>
      <c r="L151" s="33">
        <f>F151*K151</f>
        <v>0.161952768</v>
      </c>
      <c r="M151" s="55" t="s">
        <v>1113</v>
      </c>
      <c r="P151" s="59">
        <f>IF(AG151="5",J151,0)</f>
        <v>0</v>
      </c>
      <c r="R151" s="59">
        <f>IF(AG151="1",H151,0)</f>
        <v>0</v>
      </c>
      <c r="S151" s="59">
        <f>IF(AG151="1",I151,0)</f>
        <v>0</v>
      </c>
      <c r="T151" s="59">
        <f>IF(AG151="7",H151,0)</f>
        <v>0</v>
      </c>
      <c r="U151" s="59">
        <f>IF(AG151="7",I151,0)</f>
        <v>0</v>
      </c>
      <c r="V151" s="59">
        <f>IF(AG151="2",H151,0)</f>
        <v>0</v>
      </c>
      <c r="W151" s="59">
        <f>IF(AG151="2",I151,0)</f>
        <v>0</v>
      </c>
      <c r="X151" s="59">
        <f>IF(AG151="0",J151,0)</f>
        <v>0</v>
      </c>
      <c r="Y151" s="49"/>
      <c r="Z151" s="33">
        <f>IF(AD151=0,J151,0)</f>
        <v>0</v>
      </c>
      <c r="AA151" s="33">
        <f>IF(AD151=15,J151,0)</f>
        <v>0</v>
      </c>
      <c r="AB151" s="33">
        <f>IF(AD151=21,J151,0)</f>
        <v>0</v>
      </c>
      <c r="AD151" s="59">
        <v>21</v>
      </c>
      <c r="AE151" s="59">
        <f>G151*0.814501388108287</f>
        <v>0</v>
      </c>
      <c r="AF151" s="59">
        <f>G151*(1-0.814501388108287)</f>
        <v>0</v>
      </c>
      <c r="AG151" s="55" t="s">
        <v>7</v>
      </c>
      <c r="AM151" s="59">
        <f>F151*AE151</f>
        <v>0</v>
      </c>
      <c r="AN151" s="59">
        <f>F151*AF151</f>
        <v>0</v>
      </c>
      <c r="AO151" s="60" t="s">
        <v>1134</v>
      </c>
      <c r="AP151" s="60" t="s">
        <v>1172</v>
      </c>
      <c r="AQ151" s="49" t="s">
        <v>1182</v>
      </c>
      <c r="AS151" s="59">
        <f>AM151+AN151</f>
        <v>0</v>
      </c>
      <c r="AT151" s="59">
        <f>G151/(100-AU151)*100</f>
        <v>0</v>
      </c>
      <c r="AU151" s="59">
        <v>0</v>
      </c>
      <c r="AV151" s="59">
        <f>L151</f>
        <v>0.161952768</v>
      </c>
    </row>
    <row r="152" spans="4:6" ht="12.75">
      <c r="D152" s="28" t="s">
        <v>622</v>
      </c>
      <c r="F152" s="34">
        <v>0.1536</v>
      </c>
    </row>
    <row r="153" spans="1:48" ht="12.75">
      <c r="A153" s="10" t="s">
        <v>45</v>
      </c>
      <c r="B153" s="10"/>
      <c r="C153" s="10" t="s">
        <v>279</v>
      </c>
      <c r="D153" s="10" t="s">
        <v>623</v>
      </c>
      <c r="E153" s="10" t="s">
        <v>1086</v>
      </c>
      <c r="F153" s="33">
        <v>47.2</v>
      </c>
      <c r="G153" s="33">
        <v>0</v>
      </c>
      <c r="H153" s="33">
        <f>F153*AE153</f>
        <v>0</v>
      </c>
      <c r="I153" s="33">
        <f>J153-H153</f>
        <v>0</v>
      </c>
      <c r="J153" s="33">
        <f>F153*G153</f>
        <v>0</v>
      </c>
      <c r="K153" s="33">
        <v>0.01131</v>
      </c>
      <c r="L153" s="33">
        <f>F153*K153</f>
        <v>0.5338320000000001</v>
      </c>
      <c r="M153" s="55" t="s">
        <v>1113</v>
      </c>
      <c r="P153" s="59">
        <f>IF(AG153="5",J153,0)</f>
        <v>0</v>
      </c>
      <c r="R153" s="59">
        <f>IF(AG153="1",H153,0)</f>
        <v>0</v>
      </c>
      <c r="S153" s="59">
        <f>IF(AG153="1",I153,0)</f>
        <v>0</v>
      </c>
      <c r="T153" s="59">
        <f>IF(AG153="7",H153,0)</f>
        <v>0</v>
      </c>
      <c r="U153" s="59">
        <f>IF(AG153="7",I153,0)</f>
        <v>0</v>
      </c>
      <c r="V153" s="59">
        <f>IF(AG153="2",H153,0)</f>
        <v>0</v>
      </c>
      <c r="W153" s="59">
        <f>IF(AG153="2",I153,0)</f>
        <v>0</v>
      </c>
      <c r="X153" s="59">
        <f>IF(AG153="0",J153,0)</f>
        <v>0</v>
      </c>
      <c r="Y153" s="49"/>
      <c r="Z153" s="33">
        <f>IF(AD153=0,J153,0)</f>
        <v>0</v>
      </c>
      <c r="AA153" s="33">
        <f>IF(AD153=15,J153,0)</f>
        <v>0</v>
      </c>
      <c r="AB153" s="33">
        <f>IF(AD153=21,J153,0)</f>
        <v>0</v>
      </c>
      <c r="AD153" s="59">
        <v>21</v>
      </c>
      <c r="AE153" s="59">
        <f>G153*0.515967711446852</f>
        <v>0</v>
      </c>
      <c r="AF153" s="59">
        <f>G153*(1-0.515967711446852)</f>
        <v>0</v>
      </c>
      <c r="AG153" s="55" t="s">
        <v>7</v>
      </c>
      <c r="AM153" s="59">
        <f>F153*AE153</f>
        <v>0</v>
      </c>
      <c r="AN153" s="59">
        <f>F153*AF153</f>
        <v>0</v>
      </c>
      <c r="AO153" s="60" t="s">
        <v>1134</v>
      </c>
      <c r="AP153" s="60" t="s">
        <v>1172</v>
      </c>
      <c r="AQ153" s="49" t="s">
        <v>1182</v>
      </c>
      <c r="AS153" s="59">
        <f>AM153+AN153</f>
        <v>0</v>
      </c>
      <c r="AT153" s="59">
        <f>G153/(100-AU153)*100</f>
        <v>0</v>
      </c>
      <c r="AU153" s="59">
        <v>0</v>
      </c>
      <c r="AV153" s="59">
        <f>L153</f>
        <v>0.5338320000000001</v>
      </c>
    </row>
    <row r="154" spans="4:6" ht="12.75">
      <c r="D154" s="28" t="s">
        <v>624</v>
      </c>
      <c r="F154" s="34">
        <v>40.5</v>
      </c>
    </row>
    <row r="155" spans="4:6" ht="12.75">
      <c r="D155" s="28" t="s">
        <v>625</v>
      </c>
      <c r="F155" s="34">
        <v>6.7</v>
      </c>
    </row>
    <row r="156" spans="1:48" ht="12.75">
      <c r="A156" s="10" t="s">
        <v>46</v>
      </c>
      <c r="B156" s="10"/>
      <c r="C156" s="10" t="s">
        <v>280</v>
      </c>
      <c r="D156" s="10" t="s">
        <v>626</v>
      </c>
      <c r="E156" s="10" t="s">
        <v>1086</v>
      </c>
      <c r="F156" s="33">
        <v>48.9</v>
      </c>
      <c r="G156" s="33">
        <v>0</v>
      </c>
      <c r="H156" s="33">
        <f>F156*AE156</f>
        <v>0</v>
      </c>
      <c r="I156" s="33">
        <f>J156-H156</f>
        <v>0</v>
      </c>
      <c r="J156" s="33">
        <f>F156*G156</f>
        <v>0</v>
      </c>
      <c r="K156" s="33">
        <v>0.0214</v>
      </c>
      <c r="L156" s="33">
        <f>F156*K156</f>
        <v>1.04646</v>
      </c>
      <c r="M156" s="55" t="s">
        <v>1113</v>
      </c>
      <c r="P156" s="59">
        <f>IF(AG156="5",J156,0)</f>
        <v>0</v>
      </c>
      <c r="R156" s="59">
        <f>IF(AG156="1",H156,0)</f>
        <v>0</v>
      </c>
      <c r="S156" s="59">
        <f>IF(AG156="1",I156,0)</f>
        <v>0</v>
      </c>
      <c r="T156" s="59">
        <f>IF(AG156="7",H156,0)</f>
        <v>0</v>
      </c>
      <c r="U156" s="59">
        <f>IF(AG156="7",I156,0)</f>
        <v>0</v>
      </c>
      <c r="V156" s="59">
        <f>IF(AG156="2",H156,0)</f>
        <v>0</v>
      </c>
      <c r="W156" s="59">
        <f>IF(AG156="2",I156,0)</f>
        <v>0</v>
      </c>
      <c r="X156" s="59">
        <f>IF(AG156="0",J156,0)</f>
        <v>0</v>
      </c>
      <c r="Y156" s="49"/>
      <c r="Z156" s="33">
        <f>IF(AD156=0,J156,0)</f>
        <v>0</v>
      </c>
      <c r="AA156" s="33">
        <f>IF(AD156=15,J156,0)</f>
        <v>0</v>
      </c>
      <c r="AB156" s="33">
        <f>IF(AD156=21,J156,0)</f>
        <v>0</v>
      </c>
      <c r="AD156" s="59">
        <v>21</v>
      </c>
      <c r="AE156" s="59">
        <f>G156*0.530427097068652</f>
        <v>0</v>
      </c>
      <c r="AF156" s="59">
        <f>G156*(1-0.530427097068652)</f>
        <v>0</v>
      </c>
      <c r="AG156" s="55" t="s">
        <v>7</v>
      </c>
      <c r="AM156" s="59">
        <f>F156*AE156</f>
        <v>0</v>
      </c>
      <c r="AN156" s="59">
        <f>F156*AF156</f>
        <v>0</v>
      </c>
      <c r="AO156" s="60" t="s">
        <v>1134</v>
      </c>
      <c r="AP156" s="60" t="s">
        <v>1172</v>
      </c>
      <c r="AQ156" s="49" t="s">
        <v>1182</v>
      </c>
      <c r="AS156" s="59">
        <f>AM156+AN156</f>
        <v>0</v>
      </c>
      <c r="AT156" s="59">
        <f>G156/(100-AU156)*100</f>
        <v>0</v>
      </c>
      <c r="AU156" s="59">
        <v>0</v>
      </c>
      <c r="AV156" s="59">
        <f>L156</f>
        <v>1.04646</v>
      </c>
    </row>
    <row r="157" spans="4:6" ht="12.75">
      <c r="D157" s="28" t="s">
        <v>627</v>
      </c>
      <c r="F157" s="34">
        <v>16.4</v>
      </c>
    </row>
    <row r="158" spans="4:6" ht="12.75">
      <c r="D158" s="28" t="s">
        <v>628</v>
      </c>
      <c r="F158" s="34">
        <v>13.8</v>
      </c>
    </row>
    <row r="159" spans="4:6" ht="12.75">
      <c r="D159" s="28" t="s">
        <v>629</v>
      </c>
      <c r="F159" s="34">
        <v>18.7</v>
      </c>
    </row>
    <row r="160" spans="1:48" ht="12.75">
      <c r="A160" s="10" t="s">
        <v>47</v>
      </c>
      <c r="B160" s="10"/>
      <c r="C160" s="10" t="s">
        <v>281</v>
      </c>
      <c r="D160" s="10" t="s">
        <v>630</v>
      </c>
      <c r="E160" s="10" t="s">
        <v>1086</v>
      </c>
      <c r="F160" s="33">
        <v>151.2</v>
      </c>
      <c r="G160" s="33">
        <v>0</v>
      </c>
      <c r="H160" s="33">
        <f>F160*AE160</f>
        <v>0</v>
      </c>
      <c r="I160" s="33">
        <f>J160-H160</f>
        <v>0</v>
      </c>
      <c r="J160" s="33">
        <f>F160*G160</f>
        <v>0</v>
      </c>
      <c r="K160" s="33">
        <v>0.00965</v>
      </c>
      <c r="L160" s="33">
        <f>F160*K160</f>
        <v>1.45908</v>
      </c>
      <c r="M160" s="55" t="s">
        <v>1115</v>
      </c>
      <c r="P160" s="59">
        <f>IF(AG160="5",J160,0)</f>
        <v>0</v>
      </c>
      <c r="R160" s="59">
        <f>IF(AG160="1",H160,0)</f>
        <v>0</v>
      </c>
      <c r="S160" s="59">
        <f>IF(AG160="1",I160,0)</f>
        <v>0</v>
      </c>
      <c r="T160" s="59">
        <f>IF(AG160="7",H160,0)</f>
        <v>0</v>
      </c>
      <c r="U160" s="59">
        <f>IF(AG160="7",I160,0)</f>
        <v>0</v>
      </c>
      <c r="V160" s="59">
        <f>IF(AG160="2",H160,0)</f>
        <v>0</v>
      </c>
      <c r="W160" s="59">
        <f>IF(AG160="2",I160,0)</f>
        <v>0</v>
      </c>
      <c r="X160" s="59">
        <f>IF(AG160="0",J160,0)</f>
        <v>0</v>
      </c>
      <c r="Y160" s="49"/>
      <c r="Z160" s="33">
        <f>IF(AD160=0,J160,0)</f>
        <v>0</v>
      </c>
      <c r="AA160" s="33">
        <f>IF(AD160=15,J160,0)</f>
        <v>0</v>
      </c>
      <c r="AB160" s="33">
        <f>IF(AD160=21,J160,0)</f>
        <v>0</v>
      </c>
      <c r="AD160" s="59">
        <v>21</v>
      </c>
      <c r="AE160" s="59">
        <f>G160*0.718021201413428</f>
        <v>0</v>
      </c>
      <c r="AF160" s="59">
        <f>G160*(1-0.718021201413428)</f>
        <v>0</v>
      </c>
      <c r="AG160" s="55" t="s">
        <v>7</v>
      </c>
      <c r="AM160" s="59">
        <f>F160*AE160</f>
        <v>0</v>
      </c>
      <c r="AN160" s="59">
        <f>F160*AF160</f>
        <v>0</v>
      </c>
      <c r="AO160" s="60" t="s">
        <v>1134</v>
      </c>
      <c r="AP160" s="60" t="s">
        <v>1172</v>
      </c>
      <c r="AQ160" s="49" t="s">
        <v>1182</v>
      </c>
      <c r="AS160" s="59">
        <f>AM160+AN160</f>
        <v>0</v>
      </c>
      <c r="AT160" s="59">
        <f>G160/(100-AU160)*100</f>
        <v>0</v>
      </c>
      <c r="AU160" s="59">
        <v>0</v>
      </c>
      <c r="AV160" s="59">
        <f>L160</f>
        <v>1.45908</v>
      </c>
    </row>
    <row r="161" spans="4:6" ht="12.75">
      <c r="D161" s="28" t="s">
        <v>631</v>
      </c>
      <c r="F161" s="34">
        <v>82.6</v>
      </c>
    </row>
    <row r="162" spans="4:6" ht="12.75">
      <c r="D162" s="28" t="s">
        <v>632</v>
      </c>
      <c r="F162" s="34">
        <v>44.9</v>
      </c>
    </row>
    <row r="163" spans="4:6" ht="12.75">
      <c r="D163" s="28" t="s">
        <v>633</v>
      </c>
      <c r="F163" s="34">
        <v>23.7</v>
      </c>
    </row>
    <row r="164" spans="1:48" ht="12.75">
      <c r="A164" s="10" t="s">
        <v>48</v>
      </c>
      <c r="B164" s="10"/>
      <c r="C164" s="10" t="s">
        <v>282</v>
      </c>
      <c r="D164" s="10" t="s">
        <v>634</v>
      </c>
      <c r="E164" s="10" t="s">
        <v>1086</v>
      </c>
      <c r="F164" s="33">
        <v>65.2</v>
      </c>
      <c r="G164" s="33">
        <v>0</v>
      </c>
      <c r="H164" s="33">
        <f>F164*AE164</f>
        <v>0</v>
      </c>
      <c r="I164" s="33">
        <f>J164-H164</f>
        <v>0</v>
      </c>
      <c r="J164" s="33">
        <f>F164*G164</f>
        <v>0</v>
      </c>
      <c r="K164" s="33">
        <v>0.0112</v>
      </c>
      <c r="L164" s="33">
        <f>F164*K164</f>
        <v>0.73024</v>
      </c>
      <c r="M164" s="55" t="s">
        <v>1115</v>
      </c>
      <c r="P164" s="59">
        <f>IF(AG164="5",J164,0)</f>
        <v>0</v>
      </c>
      <c r="R164" s="59">
        <f>IF(AG164="1",H164,0)</f>
        <v>0</v>
      </c>
      <c r="S164" s="59">
        <f>IF(AG164="1",I164,0)</f>
        <v>0</v>
      </c>
      <c r="T164" s="59">
        <f>IF(AG164="7",H164,0)</f>
        <v>0</v>
      </c>
      <c r="U164" s="59">
        <f>IF(AG164="7",I164,0)</f>
        <v>0</v>
      </c>
      <c r="V164" s="59">
        <f>IF(AG164="2",H164,0)</f>
        <v>0</v>
      </c>
      <c r="W164" s="59">
        <f>IF(AG164="2",I164,0)</f>
        <v>0</v>
      </c>
      <c r="X164" s="59">
        <f>IF(AG164="0",J164,0)</f>
        <v>0</v>
      </c>
      <c r="Y164" s="49"/>
      <c r="Z164" s="33">
        <f>IF(AD164=0,J164,0)</f>
        <v>0</v>
      </c>
      <c r="AA164" s="33">
        <f>IF(AD164=15,J164,0)</f>
        <v>0</v>
      </c>
      <c r="AB164" s="33">
        <f>IF(AD164=21,J164,0)</f>
        <v>0</v>
      </c>
      <c r="AD164" s="59">
        <v>21</v>
      </c>
      <c r="AE164" s="59">
        <f>G164*0.468606138107417</f>
        <v>0</v>
      </c>
      <c r="AF164" s="59">
        <f>G164*(1-0.468606138107417)</f>
        <v>0</v>
      </c>
      <c r="AG164" s="55" t="s">
        <v>7</v>
      </c>
      <c r="AM164" s="59">
        <f>F164*AE164</f>
        <v>0</v>
      </c>
      <c r="AN164" s="59">
        <f>F164*AF164</f>
        <v>0</v>
      </c>
      <c r="AO164" s="60" t="s">
        <v>1134</v>
      </c>
      <c r="AP164" s="60" t="s">
        <v>1172</v>
      </c>
      <c r="AQ164" s="49" t="s">
        <v>1182</v>
      </c>
      <c r="AS164" s="59">
        <f>AM164+AN164</f>
        <v>0</v>
      </c>
      <c r="AT164" s="59">
        <f>G164/(100-AU164)*100</f>
        <v>0</v>
      </c>
      <c r="AU164" s="59">
        <v>0</v>
      </c>
      <c r="AV164" s="59">
        <f>L164</f>
        <v>0.73024</v>
      </c>
    </row>
    <row r="165" spans="4:6" ht="12.75">
      <c r="D165" s="28" t="s">
        <v>635</v>
      </c>
      <c r="F165" s="34">
        <v>65.2</v>
      </c>
    </row>
    <row r="166" spans="1:37" ht="12.75">
      <c r="A166" s="11"/>
      <c r="B166" s="24"/>
      <c r="C166" s="24" t="s">
        <v>49</v>
      </c>
      <c r="D166" s="24" t="s">
        <v>636</v>
      </c>
      <c r="E166" s="11" t="s">
        <v>6</v>
      </c>
      <c r="F166" s="11" t="s">
        <v>6</v>
      </c>
      <c r="G166" s="11" t="s">
        <v>6</v>
      </c>
      <c r="H166" s="62">
        <f>SUM(H167:H167)</f>
        <v>0</v>
      </c>
      <c r="I166" s="62">
        <f>SUM(I167:I167)</f>
        <v>0</v>
      </c>
      <c r="J166" s="62">
        <f>H166+I166</f>
        <v>0</v>
      </c>
      <c r="K166" s="49"/>
      <c r="L166" s="62">
        <f>SUM(L167:L167)</f>
        <v>6.1010508</v>
      </c>
      <c r="M166" s="49"/>
      <c r="Y166" s="49"/>
      <c r="AI166" s="62">
        <f>SUM(Z167:Z167)</f>
        <v>0</v>
      </c>
      <c r="AJ166" s="62">
        <f>SUM(AA167:AA167)</f>
        <v>0</v>
      </c>
      <c r="AK166" s="62">
        <f>SUM(AB167:AB167)</f>
        <v>0</v>
      </c>
    </row>
    <row r="167" spans="1:48" ht="12.75">
      <c r="A167" s="10" t="s">
        <v>49</v>
      </c>
      <c r="B167" s="10"/>
      <c r="C167" s="10" t="s">
        <v>283</v>
      </c>
      <c r="D167" s="10" t="s">
        <v>637</v>
      </c>
      <c r="E167" s="10" t="s">
        <v>1084</v>
      </c>
      <c r="F167" s="33">
        <v>176.28</v>
      </c>
      <c r="G167" s="33">
        <v>0</v>
      </c>
      <c r="H167" s="33">
        <f>F167*AE167</f>
        <v>0</v>
      </c>
      <c r="I167" s="33">
        <f>J167-H167</f>
        <v>0</v>
      </c>
      <c r="J167" s="33">
        <f>F167*G167</f>
        <v>0</v>
      </c>
      <c r="K167" s="33">
        <v>0.03461</v>
      </c>
      <c r="L167" s="33">
        <f>F167*K167</f>
        <v>6.1010508</v>
      </c>
      <c r="M167" s="55" t="s">
        <v>1113</v>
      </c>
      <c r="P167" s="59">
        <f>IF(AG167="5",J167,0)</f>
        <v>0</v>
      </c>
      <c r="R167" s="59">
        <f>IF(AG167="1",H167,0)</f>
        <v>0</v>
      </c>
      <c r="S167" s="59">
        <f>IF(AG167="1",I167,0)</f>
        <v>0</v>
      </c>
      <c r="T167" s="59">
        <f>IF(AG167="7",H167,0)</f>
        <v>0</v>
      </c>
      <c r="U167" s="59">
        <f>IF(AG167="7",I167,0)</f>
        <v>0</v>
      </c>
      <c r="V167" s="59">
        <f>IF(AG167="2",H167,0)</f>
        <v>0</v>
      </c>
      <c r="W167" s="59">
        <f>IF(AG167="2",I167,0)</f>
        <v>0</v>
      </c>
      <c r="X167" s="59">
        <f>IF(AG167="0",J167,0)</f>
        <v>0</v>
      </c>
      <c r="Y167" s="49"/>
      <c r="Z167" s="33">
        <f>IF(AD167=0,J167,0)</f>
        <v>0</v>
      </c>
      <c r="AA167" s="33">
        <f>IF(AD167=15,J167,0)</f>
        <v>0</v>
      </c>
      <c r="AB167" s="33">
        <f>IF(AD167=21,J167,0)</f>
        <v>0</v>
      </c>
      <c r="AD167" s="59">
        <v>21</v>
      </c>
      <c r="AE167" s="59">
        <f>G167*0.222632696390658</f>
        <v>0</v>
      </c>
      <c r="AF167" s="59">
        <f>G167*(1-0.222632696390658)</f>
        <v>0</v>
      </c>
      <c r="AG167" s="55" t="s">
        <v>7</v>
      </c>
      <c r="AM167" s="59">
        <f>F167*AE167</f>
        <v>0</v>
      </c>
      <c r="AN167" s="59">
        <f>F167*AF167</f>
        <v>0</v>
      </c>
      <c r="AO167" s="60" t="s">
        <v>1135</v>
      </c>
      <c r="AP167" s="60" t="s">
        <v>1172</v>
      </c>
      <c r="AQ167" s="49" t="s">
        <v>1182</v>
      </c>
      <c r="AS167" s="59">
        <f>AM167+AN167</f>
        <v>0</v>
      </c>
      <c r="AT167" s="59">
        <f>G167/(100-AU167)*100</f>
        <v>0</v>
      </c>
      <c r="AU167" s="59">
        <v>0</v>
      </c>
      <c r="AV167" s="59">
        <f>L167</f>
        <v>6.1010508</v>
      </c>
    </row>
    <row r="168" spans="4:6" ht="12.75">
      <c r="D168" s="28" t="s">
        <v>638</v>
      </c>
      <c r="F168" s="34">
        <v>176.28</v>
      </c>
    </row>
    <row r="169" spans="1:37" ht="12.75">
      <c r="A169" s="11"/>
      <c r="B169" s="24"/>
      <c r="C169" s="24" t="s">
        <v>67</v>
      </c>
      <c r="D169" s="24" t="s">
        <v>639</v>
      </c>
      <c r="E169" s="11" t="s">
        <v>6</v>
      </c>
      <c r="F169" s="11" t="s">
        <v>6</v>
      </c>
      <c r="G169" s="11" t="s">
        <v>6</v>
      </c>
      <c r="H169" s="62">
        <f>SUM(H170:H189)</f>
        <v>0</v>
      </c>
      <c r="I169" s="62">
        <f>SUM(I170:I189)</f>
        <v>0</v>
      </c>
      <c r="J169" s="62">
        <f>H169+I169</f>
        <v>0</v>
      </c>
      <c r="K169" s="49"/>
      <c r="L169" s="62">
        <f>SUM(L170:L189)</f>
        <v>53.011048519999996</v>
      </c>
      <c r="M169" s="49"/>
      <c r="Y169" s="49"/>
      <c r="AI169" s="62">
        <f>SUM(Z170:Z189)</f>
        <v>0</v>
      </c>
      <c r="AJ169" s="62">
        <f>SUM(AA170:AA189)</f>
        <v>0</v>
      </c>
      <c r="AK169" s="62">
        <f>SUM(AB170:AB189)</f>
        <v>0</v>
      </c>
    </row>
    <row r="170" spans="1:48" ht="12.75">
      <c r="A170" s="10" t="s">
        <v>50</v>
      </c>
      <c r="B170" s="10"/>
      <c r="C170" s="10" t="s">
        <v>284</v>
      </c>
      <c r="D170" s="10" t="s">
        <v>640</v>
      </c>
      <c r="E170" s="10" t="s">
        <v>1086</v>
      </c>
      <c r="F170" s="33">
        <v>1183.66</v>
      </c>
      <c r="G170" s="33">
        <v>0</v>
      </c>
      <c r="H170" s="33">
        <f>F170*AE170</f>
        <v>0</v>
      </c>
      <c r="I170" s="33">
        <f>J170-H170</f>
        <v>0</v>
      </c>
      <c r="J170" s="33">
        <f>F170*G170</f>
        <v>0</v>
      </c>
      <c r="K170" s="33">
        <v>0.01646</v>
      </c>
      <c r="L170" s="33">
        <f>F170*K170</f>
        <v>19.4830436</v>
      </c>
      <c r="M170" s="55" t="s">
        <v>1113</v>
      </c>
      <c r="P170" s="59">
        <f>IF(AG170="5",J170,0)</f>
        <v>0</v>
      </c>
      <c r="R170" s="59">
        <f>IF(AG170="1",H170,0)</f>
        <v>0</v>
      </c>
      <c r="S170" s="59">
        <f>IF(AG170="1",I170,0)</f>
        <v>0</v>
      </c>
      <c r="T170" s="59">
        <f>IF(AG170="7",H170,0)</f>
        <v>0</v>
      </c>
      <c r="U170" s="59">
        <f>IF(AG170="7",I170,0)</f>
        <v>0</v>
      </c>
      <c r="V170" s="59">
        <f>IF(AG170="2",H170,0)</f>
        <v>0</v>
      </c>
      <c r="W170" s="59">
        <f>IF(AG170="2",I170,0)</f>
        <v>0</v>
      </c>
      <c r="X170" s="59">
        <f>IF(AG170="0",J170,0)</f>
        <v>0</v>
      </c>
      <c r="Y170" s="49"/>
      <c r="Z170" s="33">
        <f>IF(AD170=0,J170,0)</f>
        <v>0</v>
      </c>
      <c r="AA170" s="33">
        <f>IF(AD170=15,J170,0)</f>
        <v>0</v>
      </c>
      <c r="AB170" s="33">
        <f>IF(AD170=21,J170,0)</f>
        <v>0</v>
      </c>
      <c r="AD170" s="59">
        <v>21</v>
      </c>
      <c r="AE170" s="59">
        <f>G170*0.225457809694794</f>
        <v>0</v>
      </c>
      <c r="AF170" s="59">
        <f>G170*(1-0.225457809694794)</f>
        <v>0</v>
      </c>
      <c r="AG170" s="55" t="s">
        <v>7</v>
      </c>
      <c r="AM170" s="59">
        <f>F170*AE170</f>
        <v>0</v>
      </c>
      <c r="AN170" s="59">
        <f>F170*AF170</f>
        <v>0</v>
      </c>
      <c r="AO170" s="60" t="s">
        <v>1136</v>
      </c>
      <c r="AP170" s="60" t="s">
        <v>1173</v>
      </c>
      <c r="AQ170" s="49" t="s">
        <v>1182</v>
      </c>
      <c r="AS170" s="59">
        <f>AM170+AN170</f>
        <v>0</v>
      </c>
      <c r="AT170" s="59">
        <f>G170/(100-AU170)*100</f>
        <v>0</v>
      </c>
      <c r="AU170" s="59">
        <v>0</v>
      </c>
      <c r="AV170" s="59">
        <f>L170</f>
        <v>19.4830436</v>
      </c>
    </row>
    <row r="171" spans="4:6" ht="12.75">
      <c r="D171" s="28" t="s">
        <v>641</v>
      </c>
      <c r="F171" s="34">
        <v>208</v>
      </c>
    </row>
    <row r="172" spans="4:6" ht="12.75">
      <c r="D172" s="28" t="s">
        <v>642</v>
      </c>
      <c r="F172" s="34">
        <v>57.66</v>
      </c>
    </row>
    <row r="173" spans="4:6" ht="12.75">
      <c r="D173" s="28" t="s">
        <v>643</v>
      </c>
      <c r="F173" s="34">
        <v>918</v>
      </c>
    </row>
    <row r="174" spans="1:48" ht="12.75">
      <c r="A174" s="10" t="s">
        <v>51</v>
      </c>
      <c r="B174" s="10"/>
      <c r="C174" s="10" t="s">
        <v>285</v>
      </c>
      <c r="D174" s="10" t="s">
        <v>644</v>
      </c>
      <c r="E174" s="10" t="s">
        <v>1086</v>
      </c>
      <c r="F174" s="33">
        <v>544.986</v>
      </c>
      <c r="G174" s="33">
        <v>0</v>
      </c>
      <c r="H174" s="33">
        <f>F174*AE174</f>
        <v>0</v>
      </c>
      <c r="I174" s="33">
        <f>J174-H174</f>
        <v>0</v>
      </c>
      <c r="J174" s="33">
        <f>F174*G174</f>
        <v>0</v>
      </c>
      <c r="K174" s="33">
        <v>0.04766</v>
      </c>
      <c r="L174" s="33">
        <f>F174*K174</f>
        <v>25.97403276</v>
      </c>
      <c r="M174" s="55" t="s">
        <v>1113</v>
      </c>
      <c r="P174" s="59">
        <f>IF(AG174="5",J174,0)</f>
        <v>0</v>
      </c>
      <c r="R174" s="59">
        <f>IF(AG174="1",H174,0)</f>
        <v>0</v>
      </c>
      <c r="S174" s="59">
        <f>IF(AG174="1",I174,0)</f>
        <v>0</v>
      </c>
      <c r="T174" s="59">
        <f>IF(AG174="7",H174,0)</f>
        <v>0</v>
      </c>
      <c r="U174" s="59">
        <f>IF(AG174="7",I174,0)</f>
        <v>0</v>
      </c>
      <c r="V174" s="59">
        <f>IF(AG174="2",H174,0)</f>
        <v>0</v>
      </c>
      <c r="W174" s="59">
        <f>IF(AG174="2",I174,0)</f>
        <v>0</v>
      </c>
      <c r="X174" s="59">
        <f>IF(AG174="0",J174,0)</f>
        <v>0</v>
      </c>
      <c r="Y174" s="49"/>
      <c r="Z174" s="33">
        <f>IF(AD174=0,J174,0)</f>
        <v>0</v>
      </c>
      <c r="AA174" s="33">
        <f>IF(AD174=15,J174,0)</f>
        <v>0</v>
      </c>
      <c r="AB174" s="33">
        <f>IF(AD174=21,J174,0)</f>
        <v>0</v>
      </c>
      <c r="AD174" s="59">
        <v>21</v>
      </c>
      <c r="AE174" s="59">
        <f>G174*0.152385789640753</f>
        <v>0</v>
      </c>
      <c r="AF174" s="59">
        <f>G174*(1-0.152385789640753)</f>
        <v>0</v>
      </c>
      <c r="AG174" s="55" t="s">
        <v>7</v>
      </c>
      <c r="AM174" s="59">
        <f>F174*AE174</f>
        <v>0</v>
      </c>
      <c r="AN174" s="59">
        <f>F174*AF174</f>
        <v>0</v>
      </c>
      <c r="AO174" s="60" t="s">
        <v>1136</v>
      </c>
      <c r="AP174" s="60" t="s">
        <v>1173</v>
      </c>
      <c r="AQ174" s="49" t="s">
        <v>1182</v>
      </c>
      <c r="AS174" s="59">
        <f>AM174+AN174</f>
        <v>0</v>
      </c>
      <c r="AT174" s="59">
        <f>G174/(100-AU174)*100</f>
        <v>0</v>
      </c>
      <c r="AU174" s="59">
        <v>0</v>
      </c>
      <c r="AV174" s="59">
        <f>L174</f>
        <v>25.97403276</v>
      </c>
    </row>
    <row r="175" spans="4:6" ht="12.75">
      <c r="D175" s="28" t="s">
        <v>645</v>
      </c>
      <c r="F175" s="34">
        <v>259.89</v>
      </c>
    </row>
    <row r="176" spans="4:6" ht="12.75">
      <c r="D176" s="28" t="s">
        <v>646</v>
      </c>
      <c r="F176" s="34">
        <v>285.096</v>
      </c>
    </row>
    <row r="177" spans="1:48" ht="12.75">
      <c r="A177" s="10" t="s">
        <v>52</v>
      </c>
      <c r="B177" s="10"/>
      <c r="C177" s="10" t="s">
        <v>286</v>
      </c>
      <c r="D177" s="10" t="s">
        <v>647</v>
      </c>
      <c r="E177" s="10" t="s">
        <v>1086</v>
      </c>
      <c r="F177" s="33">
        <v>92.184</v>
      </c>
      <c r="G177" s="33">
        <v>0</v>
      </c>
      <c r="H177" s="33">
        <f>F177*AE177</f>
        <v>0</v>
      </c>
      <c r="I177" s="33">
        <f>J177-H177</f>
        <v>0</v>
      </c>
      <c r="J177" s="33">
        <f>F177*G177</f>
        <v>0</v>
      </c>
      <c r="K177" s="33">
        <v>0.04414</v>
      </c>
      <c r="L177" s="33">
        <f>F177*K177</f>
        <v>4.06900176</v>
      </c>
      <c r="M177" s="55" t="s">
        <v>1113</v>
      </c>
      <c r="P177" s="59">
        <f>IF(AG177="5",J177,0)</f>
        <v>0</v>
      </c>
      <c r="R177" s="59">
        <f>IF(AG177="1",H177,0)</f>
        <v>0</v>
      </c>
      <c r="S177" s="59">
        <f>IF(AG177="1",I177,0)</f>
        <v>0</v>
      </c>
      <c r="T177" s="59">
        <f>IF(AG177="7",H177,0)</f>
        <v>0</v>
      </c>
      <c r="U177" s="59">
        <f>IF(AG177="7",I177,0)</f>
        <v>0</v>
      </c>
      <c r="V177" s="59">
        <f>IF(AG177="2",H177,0)</f>
        <v>0</v>
      </c>
      <c r="W177" s="59">
        <f>IF(AG177="2",I177,0)</f>
        <v>0</v>
      </c>
      <c r="X177" s="59">
        <f>IF(AG177="0",J177,0)</f>
        <v>0</v>
      </c>
      <c r="Y177" s="49"/>
      <c r="Z177" s="33">
        <f>IF(AD177=0,J177,0)</f>
        <v>0</v>
      </c>
      <c r="AA177" s="33">
        <f>IF(AD177=15,J177,0)</f>
        <v>0</v>
      </c>
      <c r="AB177" s="33">
        <f>IF(AD177=21,J177,0)</f>
        <v>0</v>
      </c>
      <c r="AD177" s="59">
        <v>21</v>
      </c>
      <c r="AE177" s="59">
        <f>G177*0.192298725776117</f>
        <v>0</v>
      </c>
      <c r="AF177" s="59">
        <f>G177*(1-0.192298725776117)</f>
        <v>0</v>
      </c>
      <c r="AG177" s="55" t="s">
        <v>7</v>
      </c>
      <c r="AM177" s="59">
        <f>F177*AE177</f>
        <v>0</v>
      </c>
      <c r="AN177" s="59">
        <f>F177*AF177</f>
        <v>0</v>
      </c>
      <c r="AO177" s="60" t="s">
        <v>1136</v>
      </c>
      <c r="AP177" s="60" t="s">
        <v>1173</v>
      </c>
      <c r="AQ177" s="49" t="s">
        <v>1182</v>
      </c>
      <c r="AS177" s="59">
        <f>AM177+AN177</f>
        <v>0</v>
      </c>
      <c r="AT177" s="59">
        <f>G177/(100-AU177)*100</f>
        <v>0</v>
      </c>
      <c r="AU177" s="59">
        <v>0</v>
      </c>
      <c r="AV177" s="59">
        <f>L177</f>
        <v>4.06900176</v>
      </c>
    </row>
    <row r="178" spans="4:6" ht="12.75">
      <c r="D178" s="28" t="s">
        <v>648</v>
      </c>
      <c r="F178" s="34">
        <v>92.184</v>
      </c>
    </row>
    <row r="179" spans="1:48" ht="12.75">
      <c r="A179" s="10" t="s">
        <v>53</v>
      </c>
      <c r="B179" s="10"/>
      <c r="C179" s="10" t="s">
        <v>287</v>
      </c>
      <c r="D179" s="10" t="s">
        <v>649</v>
      </c>
      <c r="E179" s="10" t="s">
        <v>1084</v>
      </c>
      <c r="F179" s="33">
        <v>216.2</v>
      </c>
      <c r="G179" s="33">
        <v>0</v>
      </c>
      <c r="H179" s="33">
        <f>F179*AE179</f>
        <v>0</v>
      </c>
      <c r="I179" s="33">
        <f>J179-H179</f>
        <v>0</v>
      </c>
      <c r="J179" s="33">
        <f>F179*G179</f>
        <v>0</v>
      </c>
      <c r="K179" s="33">
        <v>0.00371</v>
      </c>
      <c r="L179" s="33">
        <f>F179*K179</f>
        <v>0.802102</v>
      </c>
      <c r="M179" s="55" t="s">
        <v>1113</v>
      </c>
      <c r="P179" s="59">
        <f>IF(AG179="5",J179,0)</f>
        <v>0</v>
      </c>
      <c r="R179" s="59">
        <f>IF(AG179="1",H179,0)</f>
        <v>0</v>
      </c>
      <c r="S179" s="59">
        <f>IF(AG179="1",I179,0)</f>
        <v>0</v>
      </c>
      <c r="T179" s="59">
        <f>IF(AG179="7",H179,0)</f>
        <v>0</v>
      </c>
      <c r="U179" s="59">
        <f>IF(AG179="7",I179,0)</f>
        <v>0</v>
      </c>
      <c r="V179" s="59">
        <f>IF(AG179="2",H179,0)</f>
        <v>0</v>
      </c>
      <c r="W179" s="59">
        <f>IF(AG179="2",I179,0)</f>
        <v>0</v>
      </c>
      <c r="X179" s="59">
        <f>IF(AG179="0",J179,0)</f>
        <v>0</v>
      </c>
      <c r="Y179" s="49"/>
      <c r="Z179" s="33">
        <f>IF(AD179=0,J179,0)</f>
        <v>0</v>
      </c>
      <c r="AA179" s="33">
        <f>IF(AD179=15,J179,0)</f>
        <v>0</v>
      </c>
      <c r="AB179" s="33">
        <f>IF(AD179=21,J179,0)</f>
        <v>0</v>
      </c>
      <c r="AD179" s="59">
        <v>21</v>
      </c>
      <c r="AE179" s="59">
        <f>G179*0.0605657237936772</f>
        <v>0</v>
      </c>
      <c r="AF179" s="59">
        <f>G179*(1-0.0605657237936772)</f>
        <v>0</v>
      </c>
      <c r="AG179" s="55" t="s">
        <v>7</v>
      </c>
      <c r="AM179" s="59">
        <f>F179*AE179</f>
        <v>0</v>
      </c>
      <c r="AN179" s="59">
        <f>F179*AF179</f>
        <v>0</v>
      </c>
      <c r="AO179" s="60" t="s">
        <v>1136</v>
      </c>
      <c r="AP179" s="60" t="s">
        <v>1173</v>
      </c>
      <c r="AQ179" s="49" t="s">
        <v>1182</v>
      </c>
      <c r="AS179" s="59">
        <f>AM179+AN179</f>
        <v>0</v>
      </c>
      <c r="AT179" s="59">
        <f>G179/(100-AU179)*100</f>
        <v>0</v>
      </c>
      <c r="AU179" s="59">
        <v>0</v>
      </c>
      <c r="AV179" s="59">
        <f>L179</f>
        <v>0.802102</v>
      </c>
    </row>
    <row r="180" spans="4:6" ht="12.75">
      <c r="D180" s="28" t="s">
        <v>650</v>
      </c>
      <c r="F180" s="34">
        <v>216.2</v>
      </c>
    </row>
    <row r="181" spans="1:48" ht="12.75">
      <c r="A181" s="10" t="s">
        <v>54</v>
      </c>
      <c r="B181" s="10"/>
      <c r="C181" s="10" t="s">
        <v>288</v>
      </c>
      <c r="D181" s="10" t="s">
        <v>651</v>
      </c>
      <c r="E181" s="10" t="s">
        <v>1088</v>
      </c>
      <c r="F181" s="33">
        <v>85</v>
      </c>
      <c r="G181" s="33">
        <v>0</v>
      </c>
      <c r="H181" s="33">
        <f>F181*AE181</f>
        <v>0</v>
      </c>
      <c r="I181" s="33">
        <f>J181-H181</f>
        <v>0</v>
      </c>
      <c r="J181" s="33">
        <f>F181*G181</f>
        <v>0</v>
      </c>
      <c r="K181" s="33">
        <v>0.00494</v>
      </c>
      <c r="L181" s="33">
        <f>F181*K181</f>
        <v>0.4199</v>
      </c>
      <c r="M181" s="55" t="s">
        <v>1113</v>
      </c>
      <c r="P181" s="59">
        <f>IF(AG181="5",J181,0)</f>
        <v>0</v>
      </c>
      <c r="R181" s="59">
        <f>IF(AG181="1",H181,0)</f>
        <v>0</v>
      </c>
      <c r="S181" s="59">
        <f>IF(AG181="1",I181,0)</f>
        <v>0</v>
      </c>
      <c r="T181" s="59">
        <f>IF(AG181="7",H181,0)</f>
        <v>0</v>
      </c>
      <c r="U181" s="59">
        <f>IF(AG181="7",I181,0)</f>
        <v>0</v>
      </c>
      <c r="V181" s="59">
        <f>IF(AG181="2",H181,0)</f>
        <v>0</v>
      </c>
      <c r="W181" s="59">
        <f>IF(AG181="2",I181,0)</f>
        <v>0</v>
      </c>
      <c r="X181" s="59">
        <f>IF(AG181="0",J181,0)</f>
        <v>0</v>
      </c>
      <c r="Y181" s="49"/>
      <c r="Z181" s="33">
        <f>IF(AD181=0,J181,0)</f>
        <v>0</v>
      </c>
      <c r="AA181" s="33">
        <f>IF(AD181=15,J181,0)</f>
        <v>0</v>
      </c>
      <c r="AB181" s="33">
        <f>IF(AD181=21,J181,0)</f>
        <v>0</v>
      </c>
      <c r="AD181" s="59">
        <v>21</v>
      </c>
      <c r="AE181" s="59">
        <f>G181*0.146541501976285</f>
        <v>0</v>
      </c>
      <c r="AF181" s="59">
        <f>G181*(1-0.146541501976285)</f>
        <v>0</v>
      </c>
      <c r="AG181" s="55" t="s">
        <v>7</v>
      </c>
      <c r="AM181" s="59">
        <f>F181*AE181</f>
        <v>0</v>
      </c>
      <c r="AN181" s="59">
        <f>F181*AF181</f>
        <v>0</v>
      </c>
      <c r="AO181" s="60" t="s">
        <v>1136</v>
      </c>
      <c r="AP181" s="60" t="s">
        <v>1173</v>
      </c>
      <c r="AQ181" s="49" t="s">
        <v>1182</v>
      </c>
      <c r="AS181" s="59">
        <f>AM181+AN181</f>
        <v>0</v>
      </c>
      <c r="AT181" s="59">
        <f>G181/(100-AU181)*100</f>
        <v>0</v>
      </c>
      <c r="AU181" s="59">
        <v>0</v>
      </c>
      <c r="AV181" s="59">
        <f>L181</f>
        <v>0.4199</v>
      </c>
    </row>
    <row r="182" spans="4:6" ht="12.75">
      <c r="D182" s="28" t="s">
        <v>91</v>
      </c>
      <c r="F182" s="34">
        <v>85</v>
      </c>
    </row>
    <row r="183" spans="1:48" ht="12.75">
      <c r="A183" s="10" t="s">
        <v>55</v>
      </c>
      <c r="B183" s="10"/>
      <c r="C183" s="10" t="s">
        <v>289</v>
      </c>
      <c r="D183" s="10" t="s">
        <v>652</v>
      </c>
      <c r="E183" s="10" t="s">
        <v>1088</v>
      </c>
      <c r="F183" s="33">
        <v>42</v>
      </c>
      <c r="G183" s="33">
        <v>0</v>
      </c>
      <c r="H183" s="33">
        <f>F183*AE183</f>
        <v>0</v>
      </c>
      <c r="I183" s="33">
        <f>J183-H183</f>
        <v>0</v>
      </c>
      <c r="J183" s="33">
        <f>F183*G183</f>
        <v>0</v>
      </c>
      <c r="K183" s="33">
        <v>0.01278</v>
      </c>
      <c r="L183" s="33">
        <f>F183*K183</f>
        <v>0.53676</v>
      </c>
      <c r="M183" s="55" t="s">
        <v>1113</v>
      </c>
      <c r="P183" s="59">
        <f>IF(AG183="5",J183,0)</f>
        <v>0</v>
      </c>
      <c r="R183" s="59">
        <f>IF(AG183="1",H183,0)</f>
        <v>0</v>
      </c>
      <c r="S183" s="59">
        <f>IF(AG183="1",I183,0)</f>
        <v>0</v>
      </c>
      <c r="T183" s="59">
        <f>IF(AG183="7",H183,0)</f>
        <v>0</v>
      </c>
      <c r="U183" s="59">
        <f>IF(AG183="7",I183,0)</f>
        <v>0</v>
      </c>
      <c r="V183" s="59">
        <f>IF(AG183="2",H183,0)</f>
        <v>0</v>
      </c>
      <c r="W183" s="59">
        <f>IF(AG183="2",I183,0)</f>
        <v>0</v>
      </c>
      <c r="X183" s="59">
        <f>IF(AG183="0",J183,0)</f>
        <v>0</v>
      </c>
      <c r="Y183" s="49"/>
      <c r="Z183" s="33">
        <f>IF(AD183=0,J183,0)</f>
        <v>0</v>
      </c>
      <c r="AA183" s="33">
        <f>IF(AD183=15,J183,0)</f>
        <v>0</v>
      </c>
      <c r="AB183" s="33">
        <f>IF(AD183=21,J183,0)</f>
        <v>0</v>
      </c>
      <c r="AD183" s="59">
        <v>21</v>
      </c>
      <c r="AE183" s="59">
        <f>G183*0.210243902439024</f>
        <v>0</v>
      </c>
      <c r="AF183" s="59">
        <f>G183*(1-0.210243902439024)</f>
        <v>0</v>
      </c>
      <c r="AG183" s="55" t="s">
        <v>7</v>
      </c>
      <c r="AM183" s="59">
        <f>F183*AE183</f>
        <v>0</v>
      </c>
      <c r="AN183" s="59">
        <f>F183*AF183</f>
        <v>0</v>
      </c>
      <c r="AO183" s="60" t="s">
        <v>1136</v>
      </c>
      <c r="AP183" s="60" t="s">
        <v>1173</v>
      </c>
      <c r="AQ183" s="49" t="s">
        <v>1182</v>
      </c>
      <c r="AS183" s="59">
        <f>AM183+AN183</f>
        <v>0</v>
      </c>
      <c r="AT183" s="59">
        <f>G183/(100-AU183)*100</f>
        <v>0</v>
      </c>
      <c r="AU183" s="59">
        <v>0</v>
      </c>
      <c r="AV183" s="59">
        <f>L183</f>
        <v>0.53676</v>
      </c>
    </row>
    <row r="184" spans="4:6" ht="12.75">
      <c r="D184" s="28" t="s">
        <v>48</v>
      </c>
      <c r="F184" s="34">
        <v>42</v>
      </c>
    </row>
    <row r="185" spans="1:48" ht="12.75">
      <c r="A185" s="10" t="s">
        <v>56</v>
      </c>
      <c r="B185" s="10"/>
      <c r="C185" s="10" t="s">
        <v>290</v>
      </c>
      <c r="D185" s="10" t="s">
        <v>653</v>
      </c>
      <c r="E185" s="10" t="s">
        <v>1088</v>
      </c>
      <c r="F185" s="33">
        <v>12</v>
      </c>
      <c r="G185" s="33">
        <v>0</v>
      </c>
      <c r="H185" s="33">
        <f>F185*AE185</f>
        <v>0</v>
      </c>
      <c r="I185" s="33">
        <f>J185-H185</f>
        <v>0</v>
      </c>
      <c r="J185" s="33">
        <f>F185*G185</f>
        <v>0</v>
      </c>
      <c r="K185" s="33">
        <v>0.04305</v>
      </c>
      <c r="L185" s="33">
        <f>F185*K185</f>
        <v>0.5166</v>
      </c>
      <c r="M185" s="55" t="s">
        <v>1113</v>
      </c>
      <c r="P185" s="59">
        <f>IF(AG185="5",J185,0)</f>
        <v>0</v>
      </c>
      <c r="R185" s="59">
        <f>IF(AG185="1",H185,0)</f>
        <v>0</v>
      </c>
      <c r="S185" s="59">
        <f>IF(AG185="1",I185,0)</f>
        <v>0</v>
      </c>
      <c r="T185" s="59">
        <f>IF(AG185="7",H185,0)</f>
        <v>0</v>
      </c>
      <c r="U185" s="59">
        <f>IF(AG185="7",I185,0)</f>
        <v>0</v>
      </c>
      <c r="V185" s="59">
        <f>IF(AG185="2",H185,0)</f>
        <v>0</v>
      </c>
      <c r="W185" s="59">
        <f>IF(AG185="2",I185,0)</f>
        <v>0</v>
      </c>
      <c r="X185" s="59">
        <f>IF(AG185="0",J185,0)</f>
        <v>0</v>
      </c>
      <c r="Y185" s="49"/>
      <c r="Z185" s="33">
        <f>IF(AD185=0,J185,0)</f>
        <v>0</v>
      </c>
      <c r="AA185" s="33">
        <f>IF(AD185=15,J185,0)</f>
        <v>0</v>
      </c>
      <c r="AB185" s="33">
        <f>IF(AD185=21,J185,0)</f>
        <v>0</v>
      </c>
      <c r="AD185" s="59">
        <v>21</v>
      </c>
      <c r="AE185" s="59">
        <f>G185*0.186624685138539</f>
        <v>0</v>
      </c>
      <c r="AF185" s="59">
        <f>G185*(1-0.186624685138539)</f>
        <v>0</v>
      </c>
      <c r="AG185" s="55" t="s">
        <v>7</v>
      </c>
      <c r="AM185" s="59">
        <f>F185*AE185</f>
        <v>0</v>
      </c>
      <c r="AN185" s="59">
        <f>F185*AF185</f>
        <v>0</v>
      </c>
      <c r="AO185" s="60" t="s">
        <v>1136</v>
      </c>
      <c r="AP185" s="60" t="s">
        <v>1173</v>
      </c>
      <c r="AQ185" s="49" t="s">
        <v>1182</v>
      </c>
      <c r="AS185" s="59">
        <f>AM185+AN185</f>
        <v>0</v>
      </c>
      <c r="AT185" s="59">
        <f>G185/(100-AU185)*100</f>
        <v>0</v>
      </c>
      <c r="AU185" s="59">
        <v>0</v>
      </c>
      <c r="AV185" s="59">
        <f>L185</f>
        <v>0.5166</v>
      </c>
    </row>
    <row r="186" spans="4:6" ht="12.75">
      <c r="D186" s="28" t="s">
        <v>18</v>
      </c>
      <c r="F186" s="34">
        <v>12</v>
      </c>
    </row>
    <row r="187" spans="1:48" ht="12.75">
      <c r="A187" s="10" t="s">
        <v>57</v>
      </c>
      <c r="B187" s="10"/>
      <c r="C187" s="10" t="s">
        <v>291</v>
      </c>
      <c r="D187" s="10" t="s">
        <v>654</v>
      </c>
      <c r="E187" s="10" t="s">
        <v>1084</v>
      </c>
      <c r="F187" s="33">
        <v>60</v>
      </c>
      <c r="G187" s="33">
        <v>0</v>
      </c>
      <c r="H187" s="33">
        <f>F187*AE187</f>
        <v>0</v>
      </c>
      <c r="I187" s="33">
        <f>J187-H187</f>
        <v>0</v>
      </c>
      <c r="J187" s="33">
        <f>F187*G187</f>
        <v>0</v>
      </c>
      <c r="K187" s="33">
        <v>0</v>
      </c>
      <c r="L187" s="33">
        <f>F187*K187</f>
        <v>0</v>
      </c>
      <c r="M187" s="55" t="s">
        <v>1115</v>
      </c>
      <c r="P187" s="59">
        <f>IF(AG187="5",J187,0)</f>
        <v>0</v>
      </c>
      <c r="R187" s="59">
        <f>IF(AG187="1",H187,0)</f>
        <v>0</v>
      </c>
      <c r="S187" s="59">
        <f>IF(AG187="1",I187,0)</f>
        <v>0</v>
      </c>
      <c r="T187" s="59">
        <f>IF(AG187="7",H187,0)</f>
        <v>0</v>
      </c>
      <c r="U187" s="59">
        <f>IF(AG187="7",I187,0)</f>
        <v>0</v>
      </c>
      <c r="V187" s="59">
        <f>IF(AG187="2",H187,0)</f>
        <v>0</v>
      </c>
      <c r="W187" s="59">
        <f>IF(AG187="2",I187,0)</f>
        <v>0</v>
      </c>
      <c r="X187" s="59">
        <f>IF(AG187="0",J187,0)</f>
        <v>0</v>
      </c>
      <c r="Y187" s="49"/>
      <c r="Z187" s="33">
        <f>IF(AD187=0,J187,0)</f>
        <v>0</v>
      </c>
      <c r="AA187" s="33">
        <f>IF(AD187=15,J187,0)</f>
        <v>0</v>
      </c>
      <c r="AB187" s="33">
        <f>IF(AD187=21,J187,0)</f>
        <v>0</v>
      </c>
      <c r="AD187" s="59">
        <v>21</v>
      </c>
      <c r="AE187" s="59">
        <f>G187*0</f>
        <v>0</v>
      </c>
      <c r="AF187" s="59">
        <f>G187*(1-0)</f>
        <v>0</v>
      </c>
      <c r="AG187" s="55" t="s">
        <v>7</v>
      </c>
      <c r="AM187" s="59">
        <f>F187*AE187</f>
        <v>0</v>
      </c>
      <c r="AN187" s="59">
        <f>F187*AF187</f>
        <v>0</v>
      </c>
      <c r="AO187" s="60" t="s">
        <v>1136</v>
      </c>
      <c r="AP187" s="60" t="s">
        <v>1173</v>
      </c>
      <c r="AQ187" s="49" t="s">
        <v>1182</v>
      </c>
      <c r="AS187" s="59">
        <f>AM187+AN187</f>
        <v>0</v>
      </c>
      <c r="AT187" s="59">
        <f>G187/(100-AU187)*100</f>
        <v>0</v>
      </c>
      <c r="AU187" s="59">
        <v>0</v>
      </c>
      <c r="AV187" s="59">
        <f>L187</f>
        <v>0</v>
      </c>
    </row>
    <row r="188" spans="4:6" ht="12.75">
      <c r="D188" s="28" t="s">
        <v>66</v>
      </c>
      <c r="F188" s="34">
        <v>60</v>
      </c>
    </row>
    <row r="189" spans="1:48" ht="12.75">
      <c r="A189" s="10" t="s">
        <v>58</v>
      </c>
      <c r="B189" s="10"/>
      <c r="C189" s="10" t="s">
        <v>292</v>
      </c>
      <c r="D189" s="10" t="s">
        <v>655</v>
      </c>
      <c r="E189" s="10" t="s">
        <v>1086</v>
      </c>
      <c r="F189" s="33">
        <v>151.58</v>
      </c>
      <c r="G189" s="33">
        <v>0</v>
      </c>
      <c r="H189" s="33">
        <f>F189*AE189</f>
        <v>0</v>
      </c>
      <c r="I189" s="33">
        <f>J189-H189</f>
        <v>0</v>
      </c>
      <c r="J189" s="33">
        <f>F189*G189</f>
        <v>0</v>
      </c>
      <c r="K189" s="33">
        <v>0.00798</v>
      </c>
      <c r="L189" s="33">
        <f>F189*K189</f>
        <v>1.2096084</v>
      </c>
      <c r="M189" s="55" t="s">
        <v>1115</v>
      </c>
      <c r="P189" s="59">
        <f>IF(AG189="5",J189,0)</f>
        <v>0</v>
      </c>
      <c r="R189" s="59">
        <f>IF(AG189="1",H189,0)</f>
        <v>0</v>
      </c>
      <c r="S189" s="59">
        <f>IF(AG189="1",I189,0)</f>
        <v>0</v>
      </c>
      <c r="T189" s="59">
        <f>IF(AG189="7",H189,0)</f>
        <v>0</v>
      </c>
      <c r="U189" s="59">
        <f>IF(AG189="7",I189,0)</f>
        <v>0</v>
      </c>
      <c r="V189" s="59">
        <f>IF(AG189="2",H189,0)</f>
        <v>0</v>
      </c>
      <c r="W189" s="59">
        <f>IF(AG189="2",I189,0)</f>
        <v>0</v>
      </c>
      <c r="X189" s="59">
        <f>IF(AG189="0",J189,0)</f>
        <v>0</v>
      </c>
      <c r="Y189" s="49"/>
      <c r="Z189" s="33">
        <f>IF(AD189=0,J189,0)</f>
        <v>0</v>
      </c>
      <c r="AA189" s="33">
        <f>IF(AD189=15,J189,0)</f>
        <v>0</v>
      </c>
      <c r="AB189" s="33">
        <f>IF(AD189=21,J189,0)</f>
        <v>0</v>
      </c>
      <c r="AD189" s="59">
        <v>21</v>
      </c>
      <c r="AE189" s="59">
        <f>G189*0.225954504740157</f>
        <v>0</v>
      </c>
      <c r="AF189" s="59">
        <f>G189*(1-0.225954504740157)</f>
        <v>0</v>
      </c>
      <c r="AG189" s="55" t="s">
        <v>7</v>
      </c>
      <c r="AM189" s="59">
        <f>F189*AE189</f>
        <v>0</v>
      </c>
      <c r="AN189" s="59">
        <f>F189*AF189</f>
        <v>0</v>
      </c>
      <c r="AO189" s="60" t="s">
        <v>1136</v>
      </c>
      <c r="AP189" s="60" t="s">
        <v>1173</v>
      </c>
      <c r="AQ189" s="49" t="s">
        <v>1182</v>
      </c>
      <c r="AS189" s="59">
        <f>AM189+AN189</f>
        <v>0</v>
      </c>
      <c r="AT189" s="59">
        <f>G189/(100-AU189)*100</f>
        <v>0</v>
      </c>
      <c r="AU189" s="59">
        <v>0</v>
      </c>
      <c r="AV189" s="59">
        <f>L189</f>
        <v>1.2096084</v>
      </c>
    </row>
    <row r="190" spans="4:6" ht="12.75">
      <c r="D190" s="28" t="s">
        <v>656</v>
      </c>
      <c r="F190" s="34">
        <v>116.18</v>
      </c>
    </row>
    <row r="191" spans="4:6" ht="12.75">
      <c r="D191" s="28" t="s">
        <v>657</v>
      </c>
      <c r="F191" s="34">
        <v>35.4</v>
      </c>
    </row>
    <row r="192" spans="1:37" ht="12.75">
      <c r="A192" s="11"/>
      <c r="B192" s="24"/>
      <c r="C192" s="24" t="s">
        <v>68</v>
      </c>
      <c r="D192" s="24" t="s">
        <v>658</v>
      </c>
      <c r="E192" s="11" t="s">
        <v>6</v>
      </c>
      <c r="F192" s="11" t="s">
        <v>6</v>
      </c>
      <c r="G192" s="11" t="s">
        <v>6</v>
      </c>
      <c r="H192" s="62">
        <f>SUM(H193:H195)</f>
        <v>0</v>
      </c>
      <c r="I192" s="62">
        <f>SUM(I193:I195)</f>
        <v>0</v>
      </c>
      <c r="J192" s="62">
        <f>H192+I192</f>
        <v>0</v>
      </c>
      <c r="K192" s="49"/>
      <c r="L192" s="62">
        <f>SUM(L193:L195)</f>
        <v>1.8847955999999997</v>
      </c>
      <c r="M192" s="49"/>
      <c r="Y192" s="49"/>
      <c r="AI192" s="62">
        <f>SUM(Z193:Z195)</f>
        <v>0</v>
      </c>
      <c r="AJ192" s="62">
        <f>SUM(AA193:AA195)</f>
        <v>0</v>
      </c>
      <c r="AK192" s="62">
        <f>SUM(AB193:AB195)</f>
        <v>0</v>
      </c>
    </row>
    <row r="193" spans="1:48" ht="12.75">
      <c r="A193" s="10" t="s">
        <v>59</v>
      </c>
      <c r="B193" s="10"/>
      <c r="C193" s="10" t="s">
        <v>293</v>
      </c>
      <c r="D193" s="10" t="s">
        <v>659</v>
      </c>
      <c r="E193" s="10" t="s">
        <v>1089</v>
      </c>
      <c r="F193" s="33">
        <v>1</v>
      </c>
      <c r="G193" s="33">
        <v>0</v>
      </c>
      <c r="H193" s="33">
        <f>F193*AE193</f>
        <v>0</v>
      </c>
      <c r="I193" s="33">
        <f>J193-H193</f>
        <v>0</v>
      </c>
      <c r="J193" s="33">
        <f>F193*G193</f>
        <v>0</v>
      </c>
      <c r="K193" s="33">
        <v>0.02493</v>
      </c>
      <c r="L193" s="33">
        <f>F193*K193</f>
        <v>0.02493</v>
      </c>
      <c r="M193" s="55" t="s">
        <v>1113</v>
      </c>
      <c r="P193" s="59">
        <f>IF(AG193="5",J193,0)</f>
        <v>0</v>
      </c>
      <c r="R193" s="59">
        <f>IF(AG193="1",H193,0)</f>
        <v>0</v>
      </c>
      <c r="S193" s="59">
        <f>IF(AG193="1",I193,0)</f>
        <v>0</v>
      </c>
      <c r="T193" s="59">
        <f>IF(AG193="7",H193,0)</f>
        <v>0</v>
      </c>
      <c r="U193" s="59">
        <f>IF(AG193="7",I193,0)</f>
        <v>0</v>
      </c>
      <c r="V193" s="59">
        <f>IF(AG193="2",H193,0)</f>
        <v>0</v>
      </c>
      <c r="W193" s="59">
        <f>IF(AG193="2",I193,0)</f>
        <v>0</v>
      </c>
      <c r="X193" s="59">
        <f>IF(AG193="0",J193,0)</f>
        <v>0</v>
      </c>
      <c r="Y193" s="49"/>
      <c r="Z193" s="33">
        <f>IF(AD193=0,J193,0)</f>
        <v>0</v>
      </c>
      <c r="AA193" s="33">
        <f>IF(AD193=15,J193,0)</f>
        <v>0</v>
      </c>
      <c r="AB193" s="33">
        <f>IF(AD193=21,J193,0)</f>
        <v>0</v>
      </c>
      <c r="AD193" s="59">
        <v>21</v>
      </c>
      <c r="AE193" s="59">
        <f>G193*0.565366337742596</f>
        <v>0</v>
      </c>
      <c r="AF193" s="59">
        <f>G193*(1-0.565366337742596)</f>
        <v>0</v>
      </c>
      <c r="AG193" s="55" t="s">
        <v>7</v>
      </c>
      <c r="AM193" s="59">
        <f>F193*AE193</f>
        <v>0</v>
      </c>
      <c r="AN193" s="59">
        <f>F193*AF193</f>
        <v>0</v>
      </c>
      <c r="AO193" s="60" t="s">
        <v>1137</v>
      </c>
      <c r="AP193" s="60" t="s">
        <v>1173</v>
      </c>
      <c r="AQ193" s="49" t="s">
        <v>1182</v>
      </c>
      <c r="AS193" s="59">
        <f>AM193+AN193</f>
        <v>0</v>
      </c>
      <c r="AT193" s="59">
        <f>G193/(100-AU193)*100</f>
        <v>0</v>
      </c>
      <c r="AU193" s="59">
        <v>0</v>
      </c>
      <c r="AV193" s="59">
        <f>L193</f>
        <v>0.02493</v>
      </c>
    </row>
    <row r="194" spans="4:6" ht="12.75">
      <c r="D194" s="28" t="s">
        <v>7</v>
      </c>
      <c r="F194" s="34">
        <v>1</v>
      </c>
    </row>
    <row r="195" spans="1:48" ht="12.75">
      <c r="A195" s="10" t="s">
        <v>60</v>
      </c>
      <c r="B195" s="10"/>
      <c r="C195" s="10" t="s">
        <v>294</v>
      </c>
      <c r="D195" s="10" t="s">
        <v>660</v>
      </c>
      <c r="E195" s="10" t="s">
        <v>1086</v>
      </c>
      <c r="F195" s="33">
        <v>117.12</v>
      </c>
      <c r="G195" s="33">
        <v>0</v>
      </c>
      <c r="H195" s="33">
        <f>F195*AE195</f>
        <v>0</v>
      </c>
      <c r="I195" s="33">
        <f>J195-H195</f>
        <v>0</v>
      </c>
      <c r="J195" s="33">
        <f>F195*G195</f>
        <v>0</v>
      </c>
      <c r="K195" s="33">
        <v>0.01588</v>
      </c>
      <c r="L195" s="33">
        <f>F195*K195</f>
        <v>1.8598655999999998</v>
      </c>
      <c r="M195" s="55" t="s">
        <v>1113</v>
      </c>
      <c r="P195" s="59">
        <f>IF(AG195="5",J195,0)</f>
        <v>0</v>
      </c>
      <c r="R195" s="59">
        <f>IF(AG195="1",H195,0)</f>
        <v>0</v>
      </c>
      <c r="S195" s="59">
        <f>IF(AG195="1",I195,0)</f>
        <v>0</v>
      </c>
      <c r="T195" s="59">
        <f>IF(AG195="7",H195,0)</f>
        <v>0</v>
      </c>
      <c r="U195" s="59">
        <f>IF(AG195="7",I195,0)</f>
        <v>0</v>
      </c>
      <c r="V195" s="59">
        <f>IF(AG195="2",H195,0)</f>
        <v>0</v>
      </c>
      <c r="W195" s="59">
        <f>IF(AG195="2",I195,0)</f>
        <v>0</v>
      </c>
      <c r="X195" s="59">
        <f>IF(AG195="0",J195,0)</f>
        <v>0</v>
      </c>
      <c r="Y195" s="49"/>
      <c r="Z195" s="33">
        <f>IF(AD195=0,J195,0)</f>
        <v>0</v>
      </c>
      <c r="AA195" s="33">
        <f>IF(AD195=15,J195,0)</f>
        <v>0</v>
      </c>
      <c r="AB195" s="33">
        <f>IF(AD195=21,J195,0)</f>
        <v>0</v>
      </c>
      <c r="AD195" s="59">
        <v>21</v>
      </c>
      <c r="AE195" s="59">
        <f>G195*0.626691542288557</f>
        <v>0</v>
      </c>
      <c r="AF195" s="59">
        <f>G195*(1-0.626691542288557)</f>
        <v>0</v>
      </c>
      <c r="AG195" s="55" t="s">
        <v>7</v>
      </c>
      <c r="AM195" s="59">
        <f>F195*AE195</f>
        <v>0</v>
      </c>
      <c r="AN195" s="59">
        <f>F195*AF195</f>
        <v>0</v>
      </c>
      <c r="AO195" s="60" t="s">
        <v>1137</v>
      </c>
      <c r="AP195" s="60" t="s">
        <v>1173</v>
      </c>
      <c r="AQ195" s="49" t="s">
        <v>1182</v>
      </c>
      <c r="AS195" s="59">
        <f>AM195+AN195</f>
        <v>0</v>
      </c>
      <c r="AT195" s="59">
        <f>G195/(100-AU195)*100</f>
        <v>0</v>
      </c>
      <c r="AU195" s="59">
        <v>0</v>
      </c>
      <c r="AV195" s="59">
        <f>L195</f>
        <v>1.8598655999999998</v>
      </c>
    </row>
    <row r="196" spans="4:6" ht="12.75">
      <c r="D196" s="28" t="s">
        <v>661</v>
      </c>
      <c r="F196" s="34">
        <v>58.56</v>
      </c>
    </row>
    <row r="197" spans="4:6" ht="12.75">
      <c r="D197" s="28" t="s">
        <v>662</v>
      </c>
      <c r="F197" s="34">
        <v>58.56</v>
      </c>
    </row>
    <row r="198" spans="1:37" ht="12.75">
      <c r="A198" s="11"/>
      <c r="B198" s="24"/>
      <c r="C198" s="24" t="s">
        <v>69</v>
      </c>
      <c r="D198" s="24" t="s">
        <v>663</v>
      </c>
      <c r="E198" s="11" t="s">
        <v>6</v>
      </c>
      <c r="F198" s="11" t="s">
        <v>6</v>
      </c>
      <c r="G198" s="11" t="s">
        <v>6</v>
      </c>
      <c r="H198" s="62">
        <f>SUM(H199:H227)</f>
        <v>0</v>
      </c>
      <c r="I198" s="62">
        <f>SUM(I199:I227)</f>
        <v>0</v>
      </c>
      <c r="J198" s="62">
        <f>H198+I198</f>
        <v>0</v>
      </c>
      <c r="K198" s="49"/>
      <c r="L198" s="62">
        <f>SUM(L199:L227)</f>
        <v>494.05096808880006</v>
      </c>
      <c r="M198" s="49"/>
      <c r="Y198" s="49"/>
      <c r="AI198" s="62">
        <f>SUM(Z199:Z227)</f>
        <v>0</v>
      </c>
      <c r="AJ198" s="62">
        <f>SUM(AA199:AA227)</f>
        <v>0</v>
      </c>
      <c r="AK198" s="62">
        <f>SUM(AB199:AB227)</f>
        <v>0</v>
      </c>
    </row>
    <row r="199" spans="1:48" ht="12.75">
      <c r="A199" s="10" t="s">
        <v>61</v>
      </c>
      <c r="B199" s="10"/>
      <c r="C199" s="10" t="s">
        <v>295</v>
      </c>
      <c r="D199" s="10" t="s">
        <v>664</v>
      </c>
      <c r="E199" s="10" t="s">
        <v>1083</v>
      </c>
      <c r="F199" s="33">
        <v>1.672</v>
      </c>
      <c r="G199" s="33">
        <v>0</v>
      </c>
      <c r="H199" s="33">
        <f>F199*AE199</f>
        <v>0</v>
      </c>
      <c r="I199" s="33">
        <f>J199-H199</f>
        <v>0</v>
      </c>
      <c r="J199" s="33">
        <f>F199*G199</f>
        <v>0</v>
      </c>
      <c r="K199" s="33">
        <v>2.525</v>
      </c>
      <c r="L199" s="33">
        <f>F199*K199</f>
        <v>4.2218</v>
      </c>
      <c r="M199" s="55" t="s">
        <v>1113</v>
      </c>
      <c r="P199" s="59">
        <f>IF(AG199="5",J199,0)</f>
        <v>0</v>
      </c>
      <c r="R199" s="59">
        <f>IF(AG199="1",H199,0)</f>
        <v>0</v>
      </c>
      <c r="S199" s="59">
        <f>IF(AG199="1",I199,0)</f>
        <v>0</v>
      </c>
      <c r="T199" s="59">
        <f>IF(AG199="7",H199,0)</f>
        <v>0</v>
      </c>
      <c r="U199" s="59">
        <f>IF(AG199="7",I199,0)</f>
        <v>0</v>
      </c>
      <c r="V199" s="59">
        <f>IF(AG199="2",H199,0)</f>
        <v>0</v>
      </c>
      <c r="W199" s="59">
        <f>IF(AG199="2",I199,0)</f>
        <v>0</v>
      </c>
      <c r="X199" s="59">
        <f>IF(AG199="0",J199,0)</f>
        <v>0</v>
      </c>
      <c r="Y199" s="49"/>
      <c r="Z199" s="33">
        <f>IF(AD199=0,J199,0)</f>
        <v>0</v>
      </c>
      <c r="AA199" s="33">
        <f>IF(AD199=15,J199,0)</f>
        <v>0</v>
      </c>
      <c r="AB199" s="33">
        <f>IF(AD199=21,J199,0)</f>
        <v>0</v>
      </c>
      <c r="AD199" s="59">
        <v>21</v>
      </c>
      <c r="AE199" s="59">
        <f>G199*0.767381944444445</f>
        <v>0</v>
      </c>
      <c r="AF199" s="59">
        <f>G199*(1-0.767381944444445)</f>
        <v>0</v>
      </c>
      <c r="AG199" s="55" t="s">
        <v>7</v>
      </c>
      <c r="AM199" s="59">
        <f>F199*AE199</f>
        <v>0</v>
      </c>
      <c r="AN199" s="59">
        <f>F199*AF199</f>
        <v>0</v>
      </c>
      <c r="AO199" s="60" t="s">
        <v>1138</v>
      </c>
      <c r="AP199" s="60" t="s">
        <v>1173</v>
      </c>
      <c r="AQ199" s="49" t="s">
        <v>1182</v>
      </c>
      <c r="AS199" s="59">
        <f>AM199+AN199</f>
        <v>0</v>
      </c>
      <c r="AT199" s="59">
        <f>G199/(100-AU199)*100</f>
        <v>0</v>
      </c>
      <c r="AU199" s="59">
        <v>0</v>
      </c>
      <c r="AV199" s="59">
        <f>L199</f>
        <v>4.2218</v>
      </c>
    </row>
    <row r="200" spans="4:6" ht="12.75">
      <c r="D200" s="28" t="s">
        <v>665</v>
      </c>
      <c r="F200" s="34">
        <v>1.672</v>
      </c>
    </row>
    <row r="201" spans="1:48" ht="12.75">
      <c r="A201" s="10" t="s">
        <v>62</v>
      </c>
      <c r="B201" s="10"/>
      <c r="C201" s="10" t="s">
        <v>296</v>
      </c>
      <c r="D201" s="10" t="s">
        <v>666</v>
      </c>
      <c r="E201" s="10" t="s">
        <v>1085</v>
      </c>
      <c r="F201" s="33">
        <v>0.13376</v>
      </c>
      <c r="G201" s="33">
        <v>0</v>
      </c>
      <c r="H201" s="33">
        <f>F201*AE201</f>
        <v>0</v>
      </c>
      <c r="I201" s="33">
        <f>J201-H201</f>
        <v>0</v>
      </c>
      <c r="J201" s="33">
        <f>F201*G201</f>
        <v>0</v>
      </c>
      <c r="K201" s="33">
        <v>1.06363</v>
      </c>
      <c r="L201" s="33">
        <f>F201*K201</f>
        <v>0.1422711488</v>
      </c>
      <c r="M201" s="55" t="s">
        <v>1113</v>
      </c>
      <c r="P201" s="59">
        <f>IF(AG201="5",J201,0)</f>
        <v>0</v>
      </c>
      <c r="R201" s="59">
        <f>IF(AG201="1",H201,0)</f>
        <v>0</v>
      </c>
      <c r="S201" s="59">
        <f>IF(AG201="1",I201,0)</f>
        <v>0</v>
      </c>
      <c r="T201" s="59">
        <f>IF(AG201="7",H201,0)</f>
        <v>0</v>
      </c>
      <c r="U201" s="59">
        <f>IF(AG201="7",I201,0)</f>
        <v>0</v>
      </c>
      <c r="V201" s="59">
        <f>IF(AG201="2",H201,0)</f>
        <v>0</v>
      </c>
      <c r="W201" s="59">
        <f>IF(AG201="2",I201,0)</f>
        <v>0</v>
      </c>
      <c r="X201" s="59">
        <f>IF(AG201="0",J201,0)</f>
        <v>0</v>
      </c>
      <c r="Y201" s="49"/>
      <c r="Z201" s="33">
        <f>IF(AD201=0,J201,0)</f>
        <v>0</v>
      </c>
      <c r="AA201" s="33">
        <f>IF(AD201=15,J201,0)</f>
        <v>0</v>
      </c>
      <c r="AB201" s="33">
        <f>IF(AD201=21,J201,0)</f>
        <v>0</v>
      </c>
      <c r="AD201" s="59">
        <v>21</v>
      </c>
      <c r="AE201" s="59">
        <f>G201*0.802048546924085</f>
        <v>0</v>
      </c>
      <c r="AF201" s="59">
        <f>G201*(1-0.802048546924085)</f>
        <v>0</v>
      </c>
      <c r="AG201" s="55" t="s">
        <v>7</v>
      </c>
      <c r="AM201" s="59">
        <f>F201*AE201</f>
        <v>0</v>
      </c>
      <c r="AN201" s="59">
        <f>F201*AF201</f>
        <v>0</v>
      </c>
      <c r="AO201" s="60" t="s">
        <v>1138</v>
      </c>
      <c r="AP201" s="60" t="s">
        <v>1173</v>
      </c>
      <c r="AQ201" s="49" t="s">
        <v>1182</v>
      </c>
      <c r="AS201" s="59">
        <f>AM201+AN201</f>
        <v>0</v>
      </c>
      <c r="AT201" s="59">
        <f>G201/(100-AU201)*100</f>
        <v>0</v>
      </c>
      <c r="AU201" s="59">
        <v>0</v>
      </c>
      <c r="AV201" s="59">
        <f>L201</f>
        <v>0.1422711488</v>
      </c>
    </row>
    <row r="202" spans="4:6" ht="12.75">
      <c r="D202" s="28" t="s">
        <v>667</v>
      </c>
      <c r="F202" s="34">
        <v>0.13376</v>
      </c>
    </row>
    <row r="203" spans="1:48" ht="12.75">
      <c r="A203" s="10" t="s">
        <v>63</v>
      </c>
      <c r="B203" s="10"/>
      <c r="C203" s="10" t="s">
        <v>297</v>
      </c>
      <c r="D203" s="10" t="s">
        <v>668</v>
      </c>
      <c r="E203" s="10" t="s">
        <v>1086</v>
      </c>
      <c r="F203" s="33">
        <v>479.45</v>
      </c>
      <c r="G203" s="33">
        <v>0</v>
      </c>
      <c r="H203" s="33">
        <f>F203*AE203</f>
        <v>0</v>
      </c>
      <c r="I203" s="33">
        <f>J203-H203</f>
        <v>0</v>
      </c>
      <c r="J203" s="33">
        <f>F203*G203</f>
        <v>0</v>
      </c>
      <c r="K203" s="33">
        <v>0.2525</v>
      </c>
      <c r="L203" s="33">
        <f>F203*K203</f>
        <v>121.061125</v>
      </c>
      <c r="M203" s="55" t="s">
        <v>1113</v>
      </c>
      <c r="P203" s="59">
        <f>IF(AG203="5",J203,0)</f>
        <v>0</v>
      </c>
      <c r="R203" s="59">
        <f>IF(AG203="1",H203,0)</f>
        <v>0</v>
      </c>
      <c r="S203" s="59">
        <f>IF(AG203="1",I203,0)</f>
        <v>0</v>
      </c>
      <c r="T203" s="59">
        <f>IF(AG203="7",H203,0)</f>
        <v>0</v>
      </c>
      <c r="U203" s="59">
        <f>IF(AG203="7",I203,0)</f>
        <v>0</v>
      </c>
      <c r="V203" s="59">
        <f>IF(AG203="2",H203,0)</f>
        <v>0</v>
      </c>
      <c r="W203" s="59">
        <f>IF(AG203="2",I203,0)</f>
        <v>0</v>
      </c>
      <c r="X203" s="59">
        <f>IF(AG203="0",J203,0)</f>
        <v>0</v>
      </c>
      <c r="Y203" s="49"/>
      <c r="Z203" s="33">
        <f>IF(AD203=0,J203,0)</f>
        <v>0</v>
      </c>
      <c r="AA203" s="33">
        <f>IF(AD203=15,J203,0)</f>
        <v>0</v>
      </c>
      <c r="AB203" s="33">
        <f>IF(AD203=21,J203,0)</f>
        <v>0</v>
      </c>
      <c r="AD203" s="59">
        <v>21</v>
      </c>
      <c r="AE203" s="59">
        <f>G203*0.606705017763759</f>
        <v>0</v>
      </c>
      <c r="AF203" s="59">
        <f>G203*(1-0.606705017763759)</f>
        <v>0</v>
      </c>
      <c r="AG203" s="55" t="s">
        <v>7</v>
      </c>
      <c r="AM203" s="59">
        <f>F203*AE203</f>
        <v>0</v>
      </c>
      <c r="AN203" s="59">
        <f>F203*AF203</f>
        <v>0</v>
      </c>
      <c r="AO203" s="60" t="s">
        <v>1138</v>
      </c>
      <c r="AP203" s="60" t="s">
        <v>1173</v>
      </c>
      <c r="AQ203" s="49" t="s">
        <v>1182</v>
      </c>
      <c r="AS203" s="59">
        <f>AM203+AN203</f>
        <v>0</v>
      </c>
      <c r="AT203" s="59">
        <f>G203/(100-AU203)*100</f>
        <v>0</v>
      </c>
      <c r="AU203" s="59">
        <v>0</v>
      </c>
      <c r="AV203" s="59">
        <f>L203</f>
        <v>121.061125</v>
      </c>
    </row>
    <row r="204" spans="4:6" ht="12.75">
      <c r="D204" s="28" t="s">
        <v>669</v>
      </c>
      <c r="F204" s="34">
        <v>479.45</v>
      </c>
    </row>
    <row r="205" spans="1:48" ht="12.75">
      <c r="A205" s="10" t="s">
        <v>64</v>
      </c>
      <c r="B205" s="10"/>
      <c r="C205" s="10" t="s">
        <v>298</v>
      </c>
      <c r="D205" s="10" t="s">
        <v>670</v>
      </c>
      <c r="E205" s="10" t="s">
        <v>1086</v>
      </c>
      <c r="F205" s="33">
        <v>479.45</v>
      </c>
      <c r="G205" s="33">
        <v>0</v>
      </c>
      <c r="H205" s="33">
        <f>F205*AE205</f>
        <v>0</v>
      </c>
      <c r="I205" s="33">
        <f>J205-H205</f>
        <v>0</v>
      </c>
      <c r="J205" s="33">
        <f>F205*G205</f>
        <v>0</v>
      </c>
      <c r="K205" s="33">
        <v>0.2112</v>
      </c>
      <c r="L205" s="33">
        <f>F205*K205</f>
        <v>101.25984</v>
      </c>
      <c r="M205" s="55" t="s">
        <v>1113</v>
      </c>
      <c r="P205" s="59">
        <f>IF(AG205="5",J205,0)</f>
        <v>0</v>
      </c>
      <c r="R205" s="59">
        <f>IF(AG205="1",H205,0)</f>
        <v>0</v>
      </c>
      <c r="S205" s="59">
        <f>IF(AG205="1",I205,0)</f>
        <v>0</v>
      </c>
      <c r="T205" s="59">
        <f>IF(AG205="7",H205,0)</f>
        <v>0</v>
      </c>
      <c r="U205" s="59">
        <f>IF(AG205="7",I205,0)</f>
        <v>0</v>
      </c>
      <c r="V205" s="59">
        <f>IF(AG205="2",H205,0)</f>
        <v>0</v>
      </c>
      <c r="W205" s="59">
        <f>IF(AG205="2",I205,0)</f>
        <v>0</v>
      </c>
      <c r="X205" s="59">
        <f>IF(AG205="0",J205,0)</f>
        <v>0</v>
      </c>
      <c r="Y205" s="49"/>
      <c r="Z205" s="33">
        <f>IF(AD205=0,J205,0)</f>
        <v>0</v>
      </c>
      <c r="AA205" s="33">
        <f>IF(AD205=15,J205,0)</f>
        <v>0</v>
      </c>
      <c r="AB205" s="33">
        <f>IF(AD205=21,J205,0)</f>
        <v>0</v>
      </c>
      <c r="AD205" s="59">
        <v>21</v>
      </c>
      <c r="AE205" s="59">
        <f>G205*0.560490667256592</f>
        <v>0</v>
      </c>
      <c r="AF205" s="59">
        <f>G205*(1-0.560490667256592)</f>
        <v>0</v>
      </c>
      <c r="AG205" s="55" t="s">
        <v>7</v>
      </c>
      <c r="AM205" s="59">
        <f>F205*AE205</f>
        <v>0</v>
      </c>
      <c r="AN205" s="59">
        <f>F205*AF205</f>
        <v>0</v>
      </c>
      <c r="AO205" s="60" t="s">
        <v>1138</v>
      </c>
      <c r="AP205" s="60" t="s">
        <v>1173</v>
      </c>
      <c r="AQ205" s="49" t="s">
        <v>1182</v>
      </c>
      <c r="AS205" s="59">
        <f>AM205+AN205</f>
        <v>0</v>
      </c>
      <c r="AT205" s="59">
        <f>G205/(100-AU205)*100</f>
        <v>0</v>
      </c>
      <c r="AU205" s="59">
        <v>0</v>
      </c>
      <c r="AV205" s="59">
        <f>L205</f>
        <v>101.25984</v>
      </c>
    </row>
    <row r="206" spans="4:6" ht="12.75">
      <c r="D206" s="28" t="s">
        <v>671</v>
      </c>
      <c r="F206" s="34">
        <v>479.45</v>
      </c>
    </row>
    <row r="207" spans="1:48" ht="12.75">
      <c r="A207" s="10" t="s">
        <v>65</v>
      </c>
      <c r="B207" s="10"/>
      <c r="C207" s="10" t="s">
        <v>299</v>
      </c>
      <c r="D207" s="10" t="s">
        <v>672</v>
      </c>
      <c r="E207" s="10" t="s">
        <v>1083</v>
      </c>
      <c r="F207" s="33">
        <v>57.534</v>
      </c>
      <c r="G207" s="33">
        <v>0</v>
      </c>
      <c r="H207" s="33">
        <f>F207*AE207</f>
        <v>0</v>
      </c>
      <c r="I207" s="33">
        <f>J207-H207</f>
        <v>0</v>
      </c>
      <c r="J207" s="33">
        <f>F207*G207</f>
        <v>0</v>
      </c>
      <c r="K207" s="33">
        <v>2.525</v>
      </c>
      <c r="L207" s="33">
        <f>F207*K207</f>
        <v>145.27335</v>
      </c>
      <c r="M207" s="55" t="s">
        <v>1113</v>
      </c>
      <c r="P207" s="59">
        <f>IF(AG207="5",J207,0)</f>
        <v>0</v>
      </c>
      <c r="R207" s="59">
        <f>IF(AG207="1",H207,0)</f>
        <v>0</v>
      </c>
      <c r="S207" s="59">
        <f>IF(AG207="1",I207,0)</f>
        <v>0</v>
      </c>
      <c r="T207" s="59">
        <f>IF(AG207="7",H207,0)</f>
        <v>0</v>
      </c>
      <c r="U207" s="59">
        <f>IF(AG207="7",I207,0)</f>
        <v>0</v>
      </c>
      <c r="V207" s="59">
        <f>IF(AG207="2",H207,0)</f>
        <v>0</v>
      </c>
      <c r="W207" s="59">
        <f>IF(AG207="2",I207,0)</f>
        <v>0</v>
      </c>
      <c r="X207" s="59">
        <f>IF(AG207="0",J207,0)</f>
        <v>0</v>
      </c>
      <c r="Y207" s="49"/>
      <c r="Z207" s="33">
        <f>IF(AD207=0,J207,0)</f>
        <v>0</v>
      </c>
      <c r="AA207" s="33">
        <f>IF(AD207=15,J207,0)</f>
        <v>0</v>
      </c>
      <c r="AB207" s="33">
        <f>IF(AD207=21,J207,0)</f>
        <v>0</v>
      </c>
      <c r="AD207" s="59">
        <v>21</v>
      </c>
      <c r="AE207" s="59">
        <f>G207*0.746497461928934</f>
        <v>0</v>
      </c>
      <c r="AF207" s="59">
        <f>G207*(1-0.746497461928934)</f>
        <v>0</v>
      </c>
      <c r="AG207" s="55" t="s">
        <v>7</v>
      </c>
      <c r="AM207" s="59">
        <f>F207*AE207</f>
        <v>0</v>
      </c>
      <c r="AN207" s="59">
        <f>F207*AF207</f>
        <v>0</v>
      </c>
      <c r="AO207" s="60" t="s">
        <v>1138</v>
      </c>
      <c r="AP207" s="60" t="s">
        <v>1173</v>
      </c>
      <c r="AQ207" s="49" t="s">
        <v>1182</v>
      </c>
      <c r="AS207" s="59">
        <f>AM207+AN207</f>
        <v>0</v>
      </c>
      <c r="AT207" s="59">
        <f>G207/(100-AU207)*100</f>
        <v>0</v>
      </c>
      <c r="AU207" s="59">
        <v>0</v>
      </c>
      <c r="AV207" s="59">
        <f>L207</f>
        <v>145.27335</v>
      </c>
    </row>
    <row r="208" spans="4:6" ht="12.75">
      <c r="D208" s="28" t="s">
        <v>673</v>
      </c>
      <c r="F208" s="34">
        <v>57.534</v>
      </c>
    </row>
    <row r="209" spans="1:48" ht="12.75">
      <c r="A209" s="10" t="s">
        <v>66</v>
      </c>
      <c r="B209" s="10"/>
      <c r="C209" s="10" t="s">
        <v>300</v>
      </c>
      <c r="D209" s="10" t="s">
        <v>674</v>
      </c>
      <c r="E209" s="10" t="s">
        <v>1085</v>
      </c>
      <c r="F209" s="33">
        <v>3.8356</v>
      </c>
      <c r="G209" s="33">
        <v>0</v>
      </c>
      <c r="H209" s="33">
        <f>F209*AE209</f>
        <v>0</v>
      </c>
      <c r="I209" s="33">
        <f>J209-H209</f>
        <v>0</v>
      </c>
      <c r="J209" s="33">
        <f>F209*G209</f>
        <v>0</v>
      </c>
      <c r="K209" s="33">
        <v>1.06625</v>
      </c>
      <c r="L209" s="33">
        <f>F209*K209</f>
        <v>4.0897084999999995</v>
      </c>
      <c r="M209" s="55" t="s">
        <v>1113</v>
      </c>
      <c r="P209" s="59">
        <f>IF(AG209="5",J209,0)</f>
        <v>0</v>
      </c>
      <c r="R209" s="59">
        <f>IF(AG209="1",H209,0)</f>
        <v>0</v>
      </c>
      <c r="S209" s="59">
        <f>IF(AG209="1",I209,0)</f>
        <v>0</v>
      </c>
      <c r="T209" s="59">
        <f>IF(AG209="7",H209,0)</f>
        <v>0</v>
      </c>
      <c r="U209" s="59">
        <f>IF(AG209="7",I209,0)</f>
        <v>0</v>
      </c>
      <c r="V209" s="59">
        <f>IF(AG209="2",H209,0)</f>
        <v>0</v>
      </c>
      <c r="W209" s="59">
        <f>IF(AG209="2",I209,0)</f>
        <v>0</v>
      </c>
      <c r="X209" s="59">
        <f>IF(AG209="0",J209,0)</f>
        <v>0</v>
      </c>
      <c r="Y209" s="49"/>
      <c r="Z209" s="33">
        <f>IF(AD209=0,J209,0)</f>
        <v>0</v>
      </c>
      <c r="AA209" s="33">
        <f>IF(AD209=15,J209,0)</f>
        <v>0</v>
      </c>
      <c r="AB209" s="33">
        <f>IF(AD209=21,J209,0)</f>
        <v>0</v>
      </c>
      <c r="AD209" s="59">
        <v>21</v>
      </c>
      <c r="AE209" s="59">
        <f>G209*0.815490389402234</f>
        <v>0</v>
      </c>
      <c r="AF209" s="59">
        <f>G209*(1-0.815490389402234)</f>
        <v>0</v>
      </c>
      <c r="AG209" s="55" t="s">
        <v>7</v>
      </c>
      <c r="AM209" s="59">
        <f>F209*AE209</f>
        <v>0</v>
      </c>
      <c r="AN209" s="59">
        <f>F209*AF209</f>
        <v>0</v>
      </c>
      <c r="AO209" s="60" t="s">
        <v>1138</v>
      </c>
      <c r="AP209" s="60" t="s">
        <v>1173</v>
      </c>
      <c r="AQ209" s="49" t="s">
        <v>1182</v>
      </c>
      <c r="AS209" s="59">
        <f>AM209+AN209</f>
        <v>0</v>
      </c>
      <c r="AT209" s="59">
        <f>G209/(100-AU209)*100</f>
        <v>0</v>
      </c>
      <c r="AU209" s="59">
        <v>0</v>
      </c>
      <c r="AV209" s="59">
        <f>L209</f>
        <v>4.0897084999999995</v>
      </c>
    </row>
    <row r="210" spans="4:6" ht="12.75">
      <c r="D210" s="28" t="s">
        <v>675</v>
      </c>
      <c r="F210" s="34">
        <v>3.8356</v>
      </c>
    </row>
    <row r="211" spans="1:48" ht="12.75">
      <c r="A211" s="10" t="s">
        <v>67</v>
      </c>
      <c r="B211" s="10"/>
      <c r="C211" s="10" t="s">
        <v>301</v>
      </c>
      <c r="D211" s="10" t="s">
        <v>676</v>
      </c>
      <c r="E211" s="10" t="s">
        <v>1086</v>
      </c>
      <c r="F211" s="33">
        <v>40.5</v>
      </c>
      <c r="G211" s="33">
        <v>0</v>
      </c>
      <c r="H211" s="33">
        <f>F211*AE211</f>
        <v>0</v>
      </c>
      <c r="I211" s="33">
        <f>J211-H211</f>
        <v>0</v>
      </c>
      <c r="J211" s="33">
        <f>F211*G211</f>
        <v>0</v>
      </c>
      <c r="K211" s="33">
        <v>0.5142</v>
      </c>
      <c r="L211" s="33">
        <f>F211*K211</f>
        <v>20.8251</v>
      </c>
      <c r="M211" s="55" t="s">
        <v>1113</v>
      </c>
      <c r="P211" s="59">
        <f>IF(AG211="5",J211,0)</f>
        <v>0</v>
      </c>
      <c r="R211" s="59">
        <f>IF(AG211="1",H211,0)</f>
        <v>0</v>
      </c>
      <c r="S211" s="59">
        <f>IF(AG211="1",I211,0)</f>
        <v>0</v>
      </c>
      <c r="T211" s="59">
        <f>IF(AG211="7",H211,0)</f>
        <v>0</v>
      </c>
      <c r="U211" s="59">
        <f>IF(AG211="7",I211,0)</f>
        <v>0</v>
      </c>
      <c r="V211" s="59">
        <f>IF(AG211="2",H211,0)</f>
        <v>0</v>
      </c>
      <c r="W211" s="59">
        <f>IF(AG211="2",I211,0)</f>
        <v>0</v>
      </c>
      <c r="X211" s="59">
        <f>IF(AG211="0",J211,0)</f>
        <v>0</v>
      </c>
      <c r="Y211" s="49"/>
      <c r="Z211" s="33">
        <f>IF(AD211=0,J211,0)</f>
        <v>0</v>
      </c>
      <c r="AA211" s="33">
        <f>IF(AD211=15,J211,0)</f>
        <v>0</v>
      </c>
      <c r="AB211" s="33">
        <f>IF(AD211=21,J211,0)</f>
        <v>0</v>
      </c>
      <c r="AD211" s="59">
        <v>21</v>
      </c>
      <c r="AE211" s="59">
        <f>G211*0.794432616225492</f>
        <v>0</v>
      </c>
      <c r="AF211" s="59">
        <f>G211*(1-0.794432616225492)</f>
        <v>0</v>
      </c>
      <c r="AG211" s="55" t="s">
        <v>7</v>
      </c>
      <c r="AM211" s="59">
        <f>F211*AE211</f>
        <v>0</v>
      </c>
      <c r="AN211" s="59">
        <f>F211*AF211</f>
        <v>0</v>
      </c>
      <c r="AO211" s="60" t="s">
        <v>1138</v>
      </c>
      <c r="AP211" s="60" t="s">
        <v>1173</v>
      </c>
      <c r="AQ211" s="49" t="s">
        <v>1182</v>
      </c>
      <c r="AS211" s="59">
        <f>AM211+AN211</f>
        <v>0</v>
      </c>
      <c r="AT211" s="59">
        <f>G211/(100-AU211)*100</f>
        <v>0</v>
      </c>
      <c r="AU211" s="59">
        <v>0</v>
      </c>
      <c r="AV211" s="59">
        <f>L211</f>
        <v>20.8251</v>
      </c>
    </row>
    <row r="212" spans="4:6" ht="12.75">
      <c r="D212" s="28" t="s">
        <v>677</v>
      </c>
      <c r="F212" s="34">
        <v>40.5</v>
      </c>
    </row>
    <row r="213" spans="1:48" ht="12.75">
      <c r="A213" s="10" t="s">
        <v>68</v>
      </c>
      <c r="B213" s="10"/>
      <c r="C213" s="10" t="s">
        <v>302</v>
      </c>
      <c r="D213" s="10" t="s">
        <v>678</v>
      </c>
      <c r="E213" s="10" t="s">
        <v>1083</v>
      </c>
      <c r="F213" s="33">
        <v>47.945</v>
      </c>
      <c r="G213" s="33">
        <v>0</v>
      </c>
      <c r="H213" s="33">
        <f>F213*AE213</f>
        <v>0</v>
      </c>
      <c r="I213" s="33">
        <f>J213-H213</f>
        <v>0</v>
      </c>
      <c r="J213" s="33">
        <f>F213*G213</f>
        <v>0</v>
      </c>
      <c r="K213" s="33">
        <v>1.837</v>
      </c>
      <c r="L213" s="33">
        <f>F213*K213</f>
        <v>88.074965</v>
      </c>
      <c r="M213" s="55" t="s">
        <v>1113</v>
      </c>
      <c r="P213" s="59">
        <f>IF(AG213="5",J213,0)</f>
        <v>0</v>
      </c>
      <c r="R213" s="59">
        <f>IF(AG213="1",H213,0)</f>
        <v>0</v>
      </c>
      <c r="S213" s="59">
        <f>IF(AG213="1",I213,0)</f>
        <v>0</v>
      </c>
      <c r="T213" s="59">
        <f>IF(AG213="7",H213,0)</f>
        <v>0</v>
      </c>
      <c r="U213" s="59">
        <f>IF(AG213="7",I213,0)</f>
        <v>0</v>
      </c>
      <c r="V213" s="59">
        <f>IF(AG213="2",H213,0)</f>
        <v>0</v>
      </c>
      <c r="W213" s="59">
        <f>IF(AG213="2",I213,0)</f>
        <v>0</v>
      </c>
      <c r="X213" s="59">
        <f>IF(AG213="0",J213,0)</f>
        <v>0</v>
      </c>
      <c r="Y213" s="49"/>
      <c r="Z213" s="33">
        <f>IF(AD213=0,J213,0)</f>
        <v>0</v>
      </c>
      <c r="AA213" s="33">
        <f>IF(AD213=15,J213,0)</f>
        <v>0</v>
      </c>
      <c r="AB213" s="33">
        <f>IF(AD213=21,J213,0)</f>
        <v>0</v>
      </c>
      <c r="AD213" s="59">
        <v>21</v>
      </c>
      <c r="AE213" s="59">
        <f>G213*0.504477186311787</f>
        <v>0</v>
      </c>
      <c r="AF213" s="59">
        <f>G213*(1-0.504477186311787)</f>
        <v>0</v>
      </c>
      <c r="AG213" s="55" t="s">
        <v>7</v>
      </c>
      <c r="AM213" s="59">
        <f>F213*AE213</f>
        <v>0</v>
      </c>
      <c r="AN213" s="59">
        <f>F213*AF213</f>
        <v>0</v>
      </c>
      <c r="AO213" s="60" t="s">
        <v>1138</v>
      </c>
      <c r="AP213" s="60" t="s">
        <v>1173</v>
      </c>
      <c r="AQ213" s="49" t="s">
        <v>1182</v>
      </c>
      <c r="AS213" s="59">
        <f>AM213+AN213</f>
        <v>0</v>
      </c>
      <c r="AT213" s="59">
        <f>G213/(100-AU213)*100</f>
        <v>0</v>
      </c>
      <c r="AU213" s="59">
        <v>0</v>
      </c>
      <c r="AV213" s="59">
        <f>L213</f>
        <v>88.074965</v>
      </c>
    </row>
    <row r="214" spans="4:6" ht="12.75">
      <c r="D214" s="28" t="s">
        <v>679</v>
      </c>
      <c r="F214" s="34">
        <v>47.945</v>
      </c>
    </row>
    <row r="215" spans="1:48" ht="12.75">
      <c r="A215" s="10" t="s">
        <v>69</v>
      </c>
      <c r="B215" s="10"/>
      <c r="C215" s="10" t="s">
        <v>303</v>
      </c>
      <c r="D215" s="10" t="s">
        <v>680</v>
      </c>
      <c r="E215" s="10" t="s">
        <v>1083</v>
      </c>
      <c r="F215" s="33">
        <v>3.5</v>
      </c>
      <c r="G215" s="33">
        <v>0</v>
      </c>
      <c r="H215" s="33">
        <f>F215*AE215</f>
        <v>0</v>
      </c>
      <c r="I215" s="33">
        <f>J215-H215</f>
        <v>0</v>
      </c>
      <c r="J215" s="33">
        <f>F215*G215</f>
        <v>0</v>
      </c>
      <c r="K215" s="33">
        <v>2.52508</v>
      </c>
      <c r="L215" s="33">
        <f>F215*K215</f>
        <v>8.83778</v>
      </c>
      <c r="M215" s="55" t="s">
        <v>1116</v>
      </c>
      <c r="P215" s="59">
        <f>IF(AG215="5",J215,0)</f>
        <v>0</v>
      </c>
      <c r="R215" s="59">
        <f>IF(AG215="1",H215,0)</f>
        <v>0</v>
      </c>
      <c r="S215" s="59">
        <f>IF(AG215="1",I215,0)</f>
        <v>0</v>
      </c>
      <c r="T215" s="59">
        <f>IF(AG215="7",H215,0)</f>
        <v>0</v>
      </c>
      <c r="U215" s="59">
        <f>IF(AG215="7",I215,0)</f>
        <v>0</v>
      </c>
      <c r="V215" s="59">
        <f>IF(AG215="2",H215,0)</f>
        <v>0</v>
      </c>
      <c r="W215" s="59">
        <f>IF(AG215="2",I215,0)</f>
        <v>0</v>
      </c>
      <c r="X215" s="59">
        <f>IF(AG215="0",J215,0)</f>
        <v>0</v>
      </c>
      <c r="Y215" s="49"/>
      <c r="Z215" s="33">
        <f>IF(AD215=0,J215,0)</f>
        <v>0</v>
      </c>
      <c r="AA215" s="33">
        <f>IF(AD215=15,J215,0)</f>
        <v>0</v>
      </c>
      <c r="AB215" s="33">
        <f>IF(AD215=21,J215,0)</f>
        <v>0</v>
      </c>
      <c r="AD215" s="59">
        <v>21</v>
      </c>
      <c r="AE215" s="59">
        <f>G215*0.594904225352113</f>
        <v>0</v>
      </c>
      <c r="AF215" s="59">
        <f>G215*(1-0.594904225352113)</f>
        <v>0</v>
      </c>
      <c r="AG215" s="55" t="s">
        <v>7</v>
      </c>
      <c r="AM215" s="59">
        <f>F215*AE215</f>
        <v>0</v>
      </c>
      <c r="AN215" s="59">
        <f>F215*AF215</f>
        <v>0</v>
      </c>
      <c r="AO215" s="60" t="s">
        <v>1138</v>
      </c>
      <c r="AP215" s="60" t="s">
        <v>1173</v>
      </c>
      <c r="AQ215" s="49" t="s">
        <v>1182</v>
      </c>
      <c r="AS215" s="59">
        <f>AM215+AN215</f>
        <v>0</v>
      </c>
      <c r="AT215" s="59">
        <f>G215/(100-AU215)*100</f>
        <v>0</v>
      </c>
      <c r="AU215" s="59">
        <v>0</v>
      </c>
      <c r="AV215" s="59">
        <f>L215</f>
        <v>8.83778</v>
      </c>
    </row>
    <row r="216" spans="4:6" ht="12.75">
      <c r="D216" s="28" t="s">
        <v>681</v>
      </c>
      <c r="F216" s="34">
        <v>3.5</v>
      </c>
    </row>
    <row r="217" spans="1:48" ht="12.75">
      <c r="A217" s="10" t="s">
        <v>70</v>
      </c>
      <c r="B217" s="10"/>
      <c r="C217" s="10" t="s">
        <v>304</v>
      </c>
      <c r="D217" s="10" t="s">
        <v>682</v>
      </c>
      <c r="E217" s="10" t="s">
        <v>1085</v>
      </c>
      <c r="F217" s="33">
        <v>0.026</v>
      </c>
      <c r="G217" s="33">
        <v>0</v>
      </c>
      <c r="H217" s="33">
        <f>F217*AE217</f>
        <v>0</v>
      </c>
      <c r="I217" s="33">
        <f>J217-H217</f>
        <v>0</v>
      </c>
      <c r="J217" s="33">
        <f>F217*G217</f>
        <v>0</v>
      </c>
      <c r="K217" s="33">
        <v>1.05794</v>
      </c>
      <c r="L217" s="33">
        <f>F217*K217</f>
        <v>0.02750644</v>
      </c>
      <c r="M217" s="55" t="s">
        <v>1116</v>
      </c>
      <c r="P217" s="59">
        <f>IF(AG217="5",J217,0)</f>
        <v>0</v>
      </c>
      <c r="R217" s="59">
        <f>IF(AG217="1",H217,0)</f>
        <v>0</v>
      </c>
      <c r="S217" s="59">
        <f>IF(AG217="1",I217,0)</f>
        <v>0</v>
      </c>
      <c r="T217" s="59">
        <f>IF(AG217="7",H217,0)</f>
        <v>0</v>
      </c>
      <c r="U217" s="59">
        <f>IF(AG217="7",I217,0)</f>
        <v>0</v>
      </c>
      <c r="V217" s="59">
        <f>IF(AG217="2",H217,0)</f>
        <v>0</v>
      </c>
      <c r="W217" s="59">
        <f>IF(AG217="2",I217,0)</f>
        <v>0</v>
      </c>
      <c r="X217" s="59">
        <f>IF(AG217="0",J217,0)</f>
        <v>0</v>
      </c>
      <c r="Y217" s="49"/>
      <c r="Z217" s="33">
        <f>IF(AD217=0,J217,0)</f>
        <v>0</v>
      </c>
      <c r="AA217" s="33">
        <f>IF(AD217=15,J217,0)</f>
        <v>0</v>
      </c>
      <c r="AB217" s="33">
        <f>IF(AD217=21,J217,0)</f>
        <v>0</v>
      </c>
      <c r="AD217" s="59">
        <v>21</v>
      </c>
      <c r="AE217" s="59">
        <f>G217*0.754012754409769</f>
        <v>0</v>
      </c>
      <c r="AF217" s="59">
        <f>G217*(1-0.754012754409769)</f>
        <v>0</v>
      </c>
      <c r="AG217" s="55" t="s">
        <v>7</v>
      </c>
      <c r="AM217" s="59">
        <f>F217*AE217</f>
        <v>0</v>
      </c>
      <c r="AN217" s="59">
        <f>F217*AF217</f>
        <v>0</v>
      </c>
      <c r="AO217" s="60" t="s">
        <v>1138</v>
      </c>
      <c r="AP217" s="60" t="s">
        <v>1173</v>
      </c>
      <c r="AQ217" s="49" t="s">
        <v>1182</v>
      </c>
      <c r="AS217" s="59">
        <f>AM217+AN217</f>
        <v>0</v>
      </c>
      <c r="AT217" s="59">
        <f>G217/(100-AU217)*100</f>
        <v>0</v>
      </c>
      <c r="AU217" s="59">
        <v>0</v>
      </c>
      <c r="AV217" s="59">
        <f>L217</f>
        <v>0.02750644</v>
      </c>
    </row>
    <row r="218" spans="4:6" ht="12.75">
      <c r="D218" s="28" t="s">
        <v>683</v>
      </c>
      <c r="F218" s="34">
        <v>0.026</v>
      </c>
    </row>
    <row r="219" spans="1:48" ht="12.75">
      <c r="A219" s="10" t="s">
        <v>71</v>
      </c>
      <c r="B219" s="10"/>
      <c r="C219" s="10" t="s">
        <v>305</v>
      </c>
      <c r="D219" s="10" t="s">
        <v>684</v>
      </c>
      <c r="E219" s="10" t="s">
        <v>1086</v>
      </c>
      <c r="F219" s="33">
        <v>2.1</v>
      </c>
      <c r="G219" s="33">
        <v>0</v>
      </c>
      <c r="H219" s="33">
        <f>F219*AE219</f>
        <v>0</v>
      </c>
      <c r="I219" s="33">
        <f>J219-H219</f>
        <v>0</v>
      </c>
      <c r="J219" s="33">
        <f>F219*G219</f>
        <v>0</v>
      </c>
      <c r="K219" s="33">
        <v>0.04597</v>
      </c>
      <c r="L219" s="33">
        <f>F219*K219</f>
        <v>0.096537</v>
      </c>
      <c r="M219" s="55" t="s">
        <v>1116</v>
      </c>
      <c r="P219" s="59">
        <f>IF(AG219="5",J219,0)</f>
        <v>0</v>
      </c>
      <c r="R219" s="59">
        <f>IF(AG219="1",H219,0)</f>
        <v>0</v>
      </c>
      <c r="S219" s="59">
        <f>IF(AG219="1",I219,0)</f>
        <v>0</v>
      </c>
      <c r="T219" s="59">
        <f>IF(AG219="7",H219,0)</f>
        <v>0</v>
      </c>
      <c r="U219" s="59">
        <f>IF(AG219="7",I219,0)</f>
        <v>0</v>
      </c>
      <c r="V219" s="59">
        <f>IF(AG219="2",H219,0)</f>
        <v>0</v>
      </c>
      <c r="W219" s="59">
        <f>IF(AG219="2",I219,0)</f>
        <v>0</v>
      </c>
      <c r="X219" s="59">
        <f>IF(AG219="0",J219,0)</f>
        <v>0</v>
      </c>
      <c r="Y219" s="49"/>
      <c r="Z219" s="33">
        <f>IF(AD219=0,J219,0)</f>
        <v>0</v>
      </c>
      <c r="AA219" s="33">
        <f>IF(AD219=15,J219,0)</f>
        <v>0</v>
      </c>
      <c r="AB219" s="33">
        <f>IF(AD219=21,J219,0)</f>
        <v>0</v>
      </c>
      <c r="AD219" s="59">
        <v>21</v>
      </c>
      <c r="AE219" s="59">
        <f>G219*0.544801565120179</f>
        <v>0</v>
      </c>
      <c r="AF219" s="59">
        <f>G219*(1-0.544801565120179)</f>
        <v>0</v>
      </c>
      <c r="AG219" s="55" t="s">
        <v>7</v>
      </c>
      <c r="AM219" s="59">
        <f>F219*AE219</f>
        <v>0</v>
      </c>
      <c r="AN219" s="59">
        <f>F219*AF219</f>
        <v>0</v>
      </c>
      <c r="AO219" s="60" t="s">
        <v>1138</v>
      </c>
      <c r="AP219" s="60" t="s">
        <v>1173</v>
      </c>
      <c r="AQ219" s="49" t="s">
        <v>1182</v>
      </c>
      <c r="AS219" s="59">
        <f>AM219+AN219</f>
        <v>0</v>
      </c>
      <c r="AT219" s="59">
        <f>G219/(100-AU219)*100</f>
        <v>0</v>
      </c>
      <c r="AU219" s="59">
        <v>0</v>
      </c>
      <c r="AV219" s="59">
        <f>L219</f>
        <v>0.096537</v>
      </c>
    </row>
    <row r="220" spans="4:6" ht="12.75">
      <c r="D220" s="28" t="s">
        <v>685</v>
      </c>
      <c r="F220" s="34">
        <v>2.1</v>
      </c>
    </row>
    <row r="221" spans="1:48" ht="12.75">
      <c r="A221" s="10" t="s">
        <v>72</v>
      </c>
      <c r="B221" s="10"/>
      <c r="C221" s="10" t="s">
        <v>306</v>
      </c>
      <c r="D221" s="10" t="s">
        <v>686</v>
      </c>
      <c r="E221" s="10" t="s">
        <v>1086</v>
      </c>
      <c r="F221" s="33">
        <v>2.1</v>
      </c>
      <c r="G221" s="33">
        <v>0</v>
      </c>
      <c r="H221" s="33">
        <f>F221*AE221</f>
        <v>0</v>
      </c>
      <c r="I221" s="33">
        <f>J221-H221</f>
        <v>0</v>
      </c>
      <c r="J221" s="33">
        <f>F221*G221</f>
        <v>0</v>
      </c>
      <c r="K221" s="33">
        <v>0</v>
      </c>
      <c r="L221" s="33">
        <f>F221*K221</f>
        <v>0</v>
      </c>
      <c r="M221" s="55" t="s">
        <v>1116</v>
      </c>
      <c r="P221" s="59">
        <f>IF(AG221="5",J221,0)</f>
        <v>0</v>
      </c>
      <c r="R221" s="59">
        <f>IF(AG221="1",H221,0)</f>
        <v>0</v>
      </c>
      <c r="S221" s="59">
        <f>IF(AG221="1",I221,0)</f>
        <v>0</v>
      </c>
      <c r="T221" s="59">
        <f>IF(AG221="7",H221,0)</f>
        <v>0</v>
      </c>
      <c r="U221" s="59">
        <f>IF(AG221="7",I221,0)</f>
        <v>0</v>
      </c>
      <c r="V221" s="59">
        <f>IF(AG221="2",H221,0)</f>
        <v>0</v>
      </c>
      <c r="W221" s="59">
        <f>IF(AG221="2",I221,0)</f>
        <v>0</v>
      </c>
      <c r="X221" s="59">
        <f>IF(AG221="0",J221,0)</f>
        <v>0</v>
      </c>
      <c r="Y221" s="49"/>
      <c r="Z221" s="33">
        <f>IF(AD221=0,J221,0)</f>
        <v>0</v>
      </c>
      <c r="AA221" s="33">
        <f>IF(AD221=15,J221,0)</f>
        <v>0</v>
      </c>
      <c r="AB221" s="33">
        <f>IF(AD221=21,J221,0)</f>
        <v>0</v>
      </c>
      <c r="AD221" s="59">
        <v>21</v>
      </c>
      <c r="AE221" s="59">
        <f>G221*0</f>
        <v>0</v>
      </c>
      <c r="AF221" s="59">
        <f>G221*(1-0)</f>
        <v>0</v>
      </c>
      <c r="AG221" s="55" t="s">
        <v>7</v>
      </c>
      <c r="AM221" s="59">
        <f>F221*AE221</f>
        <v>0</v>
      </c>
      <c r="AN221" s="59">
        <f>F221*AF221</f>
        <v>0</v>
      </c>
      <c r="AO221" s="60" t="s">
        <v>1138</v>
      </c>
      <c r="AP221" s="60" t="s">
        <v>1173</v>
      </c>
      <c r="AQ221" s="49" t="s">
        <v>1182</v>
      </c>
      <c r="AS221" s="59">
        <f>AM221+AN221</f>
        <v>0</v>
      </c>
      <c r="AT221" s="59">
        <f>G221/(100-AU221)*100</f>
        <v>0</v>
      </c>
      <c r="AU221" s="59">
        <v>0</v>
      </c>
      <c r="AV221" s="59">
        <f>L221</f>
        <v>0</v>
      </c>
    </row>
    <row r="222" spans="4:6" ht="12.75">
      <c r="D222" s="28" t="s">
        <v>687</v>
      </c>
      <c r="F222" s="34">
        <v>2.1</v>
      </c>
    </row>
    <row r="223" spans="1:48" ht="12.75">
      <c r="A223" s="10" t="s">
        <v>73</v>
      </c>
      <c r="B223" s="10"/>
      <c r="C223" s="10" t="s">
        <v>307</v>
      </c>
      <c r="D223" s="10" t="s">
        <v>688</v>
      </c>
      <c r="E223" s="10" t="s">
        <v>1084</v>
      </c>
      <c r="F223" s="33">
        <v>6.5</v>
      </c>
      <c r="G223" s="33">
        <v>0</v>
      </c>
      <c r="H223" s="33">
        <f>F223*AE223</f>
        <v>0</v>
      </c>
      <c r="I223" s="33">
        <f>J223-H223</f>
        <v>0</v>
      </c>
      <c r="J223" s="33">
        <f>F223*G223</f>
        <v>0</v>
      </c>
      <c r="K223" s="33">
        <v>0</v>
      </c>
      <c r="L223" s="33">
        <f>F223*K223</f>
        <v>0</v>
      </c>
      <c r="M223" s="55" t="s">
        <v>1116</v>
      </c>
      <c r="P223" s="59">
        <f>IF(AG223="5",J223,0)</f>
        <v>0</v>
      </c>
      <c r="R223" s="59">
        <f>IF(AG223="1",H223,0)</f>
        <v>0</v>
      </c>
      <c r="S223" s="59">
        <f>IF(AG223="1",I223,0)</f>
        <v>0</v>
      </c>
      <c r="T223" s="59">
        <f>IF(AG223="7",H223,0)</f>
        <v>0</v>
      </c>
      <c r="U223" s="59">
        <f>IF(AG223="7",I223,0)</f>
        <v>0</v>
      </c>
      <c r="V223" s="59">
        <f>IF(AG223="2",H223,0)</f>
        <v>0</v>
      </c>
      <c r="W223" s="59">
        <f>IF(AG223="2",I223,0)</f>
        <v>0</v>
      </c>
      <c r="X223" s="59">
        <f>IF(AG223="0",J223,0)</f>
        <v>0</v>
      </c>
      <c r="Y223" s="49"/>
      <c r="Z223" s="33">
        <f>IF(AD223=0,J223,0)</f>
        <v>0</v>
      </c>
      <c r="AA223" s="33">
        <f>IF(AD223=15,J223,0)</f>
        <v>0</v>
      </c>
      <c r="AB223" s="33">
        <f>IF(AD223=21,J223,0)</f>
        <v>0</v>
      </c>
      <c r="AD223" s="59">
        <v>21</v>
      </c>
      <c r="AE223" s="59">
        <f>G223*0.0107564102564103</f>
        <v>0</v>
      </c>
      <c r="AF223" s="59">
        <f>G223*(1-0.0107564102564103)</f>
        <v>0</v>
      </c>
      <c r="AG223" s="55" t="s">
        <v>7</v>
      </c>
      <c r="AM223" s="59">
        <f>F223*AE223</f>
        <v>0</v>
      </c>
      <c r="AN223" s="59">
        <f>F223*AF223</f>
        <v>0</v>
      </c>
      <c r="AO223" s="60" t="s">
        <v>1138</v>
      </c>
      <c r="AP223" s="60" t="s">
        <v>1173</v>
      </c>
      <c r="AQ223" s="49" t="s">
        <v>1182</v>
      </c>
      <c r="AS223" s="59">
        <f>AM223+AN223</f>
        <v>0</v>
      </c>
      <c r="AT223" s="59">
        <f>G223/(100-AU223)*100</f>
        <v>0</v>
      </c>
      <c r="AU223" s="59">
        <v>0</v>
      </c>
      <c r="AV223" s="59">
        <f>L223</f>
        <v>0</v>
      </c>
    </row>
    <row r="224" spans="4:6" ht="12.75">
      <c r="D224" s="28" t="s">
        <v>689</v>
      </c>
      <c r="F224" s="34">
        <v>6.5</v>
      </c>
    </row>
    <row r="225" spans="1:48" ht="12.75">
      <c r="A225" s="10" t="s">
        <v>74</v>
      </c>
      <c r="B225" s="10"/>
      <c r="C225" s="10" t="s">
        <v>308</v>
      </c>
      <c r="D225" s="10" t="s">
        <v>690</v>
      </c>
      <c r="E225" s="10" t="s">
        <v>1084</v>
      </c>
      <c r="F225" s="33">
        <v>6.5</v>
      </c>
      <c r="G225" s="33">
        <v>0</v>
      </c>
      <c r="H225" s="33">
        <f>F225*AE225</f>
        <v>0</v>
      </c>
      <c r="I225" s="33">
        <f>J225-H225</f>
        <v>0</v>
      </c>
      <c r="J225" s="33">
        <f>F225*G225</f>
        <v>0</v>
      </c>
      <c r="K225" s="33">
        <v>0</v>
      </c>
      <c r="L225" s="33">
        <f>F225*K225</f>
        <v>0</v>
      </c>
      <c r="M225" s="55" t="s">
        <v>1116</v>
      </c>
      <c r="P225" s="59">
        <f>IF(AG225="5",J225,0)</f>
        <v>0</v>
      </c>
      <c r="R225" s="59">
        <f>IF(AG225="1",H225,0)</f>
        <v>0</v>
      </c>
      <c r="S225" s="59">
        <f>IF(AG225="1",I225,0)</f>
        <v>0</v>
      </c>
      <c r="T225" s="59">
        <f>IF(AG225="7",H225,0)</f>
        <v>0</v>
      </c>
      <c r="U225" s="59">
        <f>IF(AG225="7",I225,0)</f>
        <v>0</v>
      </c>
      <c r="V225" s="59">
        <f>IF(AG225="2",H225,0)</f>
        <v>0</v>
      </c>
      <c r="W225" s="59">
        <f>IF(AG225="2",I225,0)</f>
        <v>0</v>
      </c>
      <c r="X225" s="59">
        <f>IF(AG225="0",J225,0)</f>
        <v>0</v>
      </c>
      <c r="Y225" s="49"/>
      <c r="Z225" s="33">
        <f>IF(AD225=0,J225,0)</f>
        <v>0</v>
      </c>
      <c r="AA225" s="33">
        <f>IF(AD225=15,J225,0)</f>
        <v>0</v>
      </c>
      <c r="AB225" s="33">
        <f>IF(AD225=21,J225,0)</f>
        <v>0</v>
      </c>
      <c r="AD225" s="59">
        <v>21</v>
      </c>
      <c r="AE225" s="59">
        <f>G225*0.01075</f>
        <v>0</v>
      </c>
      <c r="AF225" s="59">
        <f>G225*(1-0.01075)</f>
        <v>0</v>
      </c>
      <c r="AG225" s="55" t="s">
        <v>7</v>
      </c>
      <c r="AM225" s="59">
        <f>F225*AE225</f>
        <v>0</v>
      </c>
      <c r="AN225" s="59">
        <f>F225*AF225</f>
        <v>0</v>
      </c>
      <c r="AO225" s="60" t="s">
        <v>1138</v>
      </c>
      <c r="AP225" s="60" t="s">
        <v>1173</v>
      </c>
      <c r="AQ225" s="49" t="s">
        <v>1182</v>
      </c>
      <c r="AS225" s="59">
        <f>AM225+AN225</f>
        <v>0</v>
      </c>
      <c r="AT225" s="59">
        <f>G225/(100-AU225)*100</f>
        <v>0</v>
      </c>
      <c r="AU225" s="59">
        <v>0</v>
      </c>
      <c r="AV225" s="59">
        <f>L225</f>
        <v>0</v>
      </c>
    </row>
    <row r="226" spans="4:6" ht="12.75">
      <c r="D226" s="28" t="s">
        <v>689</v>
      </c>
      <c r="F226" s="34">
        <v>6.5</v>
      </c>
    </row>
    <row r="227" spans="1:48" ht="12.75">
      <c r="A227" s="10" t="s">
        <v>75</v>
      </c>
      <c r="B227" s="10"/>
      <c r="C227" s="10" t="s">
        <v>309</v>
      </c>
      <c r="D227" s="10" t="s">
        <v>691</v>
      </c>
      <c r="E227" s="10" t="s">
        <v>1086</v>
      </c>
      <c r="F227" s="33">
        <v>6.5</v>
      </c>
      <c r="G227" s="33">
        <v>0</v>
      </c>
      <c r="H227" s="33">
        <f>F227*AE227</f>
        <v>0</v>
      </c>
      <c r="I227" s="33">
        <f>J227-H227</f>
        <v>0</v>
      </c>
      <c r="J227" s="33">
        <f>F227*G227</f>
        <v>0</v>
      </c>
      <c r="K227" s="33">
        <v>0.02169</v>
      </c>
      <c r="L227" s="33">
        <f>F227*K227</f>
        <v>0.140985</v>
      </c>
      <c r="M227" s="55" t="s">
        <v>1116</v>
      </c>
      <c r="P227" s="59">
        <f>IF(AG227="5",J227,0)</f>
        <v>0</v>
      </c>
      <c r="R227" s="59">
        <f>IF(AG227="1",H227,0)</f>
        <v>0</v>
      </c>
      <c r="S227" s="59">
        <f>IF(AG227="1",I227,0)</f>
        <v>0</v>
      </c>
      <c r="T227" s="59">
        <f>IF(AG227="7",H227,0)</f>
        <v>0</v>
      </c>
      <c r="U227" s="59">
        <f>IF(AG227="7",I227,0)</f>
        <v>0</v>
      </c>
      <c r="V227" s="59">
        <f>IF(AG227="2",H227,0)</f>
        <v>0</v>
      </c>
      <c r="W227" s="59">
        <f>IF(AG227="2",I227,0)</f>
        <v>0</v>
      </c>
      <c r="X227" s="59">
        <f>IF(AG227="0",J227,0)</f>
        <v>0</v>
      </c>
      <c r="Y227" s="49"/>
      <c r="Z227" s="33">
        <f>IF(AD227=0,J227,0)</f>
        <v>0</v>
      </c>
      <c r="AA227" s="33">
        <f>IF(AD227=15,J227,0)</f>
        <v>0</v>
      </c>
      <c r="AB227" s="33">
        <f>IF(AD227=21,J227,0)</f>
        <v>0</v>
      </c>
      <c r="AD227" s="59">
        <v>21</v>
      </c>
      <c r="AE227" s="59">
        <f>G227*0.568168016194332</f>
        <v>0</v>
      </c>
      <c r="AF227" s="59">
        <f>G227*(1-0.568168016194332)</f>
        <v>0</v>
      </c>
      <c r="AG227" s="55" t="s">
        <v>7</v>
      </c>
      <c r="AM227" s="59">
        <f>F227*AE227</f>
        <v>0</v>
      </c>
      <c r="AN227" s="59">
        <f>F227*AF227</f>
        <v>0</v>
      </c>
      <c r="AO227" s="60" t="s">
        <v>1138</v>
      </c>
      <c r="AP227" s="60" t="s">
        <v>1173</v>
      </c>
      <c r="AQ227" s="49" t="s">
        <v>1182</v>
      </c>
      <c r="AS227" s="59">
        <f>AM227+AN227</f>
        <v>0</v>
      </c>
      <c r="AT227" s="59">
        <f>G227/(100-AU227)*100</f>
        <v>0</v>
      </c>
      <c r="AU227" s="59">
        <v>0</v>
      </c>
      <c r="AV227" s="59">
        <f>L227</f>
        <v>0.140985</v>
      </c>
    </row>
    <row r="228" spans="4:6" ht="12.75">
      <c r="D228" s="28" t="s">
        <v>689</v>
      </c>
      <c r="F228" s="34">
        <v>6.5</v>
      </c>
    </row>
    <row r="229" spans="1:37" ht="12.75">
      <c r="A229" s="11"/>
      <c r="B229" s="24"/>
      <c r="C229" s="24" t="s">
        <v>310</v>
      </c>
      <c r="D229" s="24" t="s">
        <v>692</v>
      </c>
      <c r="E229" s="11" t="s">
        <v>6</v>
      </c>
      <c r="F229" s="11" t="s">
        <v>6</v>
      </c>
      <c r="G229" s="11" t="s">
        <v>6</v>
      </c>
      <c r="H229" s="62">
        <f>SUM(H230:H238)</f>
        <v>0</v>
      </c>
      <c r="I229" s="62">
        <f>SUM(I230:I238)</f>
        <v>0</v>
      </c>
      <c r="J229" s="62">
        <f>H229+I229</f>
        <v>0</v>
      </c>
      <c r="K229" s="49"/>
      <c r="L229" s="62">
        <f>SUM(L230:L238)</f>
        <v>1.4273513999999998</v>
      </c>
      <c r="M229" s="49"/>
      <c r="Y229" s="49"/>
      <c r="AI229" s="62">
        <f>SUM(Z230:Z238)</f>
        <v>0</v>
      </c>
      <c r="AJ229" s="62">
        <f>SUM(AA230:AA238)</f>
        <v>0</v>
      </c>
      <c r="AK229" s="62">
        <f>SUM(AB230:AB238)</f>
        <v>0</v>
      </c>
    </row>
    <row r="230" spans="1:48" ht="12.75">
      <c r="A230" s="10" t="s">
        <v>76</v>
      </c>
      <c r="B230" s="10"/>
      <c r="C230" s="10" t="s">
        <v>311</v>
      </c>
      <c r="D230" s="10" t="s">
        <v>693</v>
      </c>
      <c r="E230" s="10" t="s">
        <v>1086</v>
      </c>
      <c r="F230" s="33">
        <v>26.1</v>
      </c>
      <c r="G230" s="33">
        <v>0</v>
      </c>
      <c r="H230" s="33">
        <f>F230*AE230</f>
        <v>0</v>
      </c>
      <c r="I230" s="33">
        <f>J230-H230</f>
        <v>0</v>
      </c>
      <c r="J230" s="33">
        <f>F230*G230</f>
        <v>0</v>
      </c>
      <c r="K230" s="33">
        <v>0.0042</v>
      </c>
      <c r="L230" s="33">
        <f>F230*K230</f>
        <v>0.10962</v>
      </c>
      <c r="M230" s="55" t="s">
        <v>1113</v>
      </c>
      <c r="P230" s="59">
        <f>IF(AG230="5",J230,0)</f>
        <v>0</v>
      </c>
      <c r="R230" s="59">
        <f>IF(AG230="1",H230,0)</f>
        <v>0</v>
      </c>
      <c r="S230" s="59">
        <f>IF(AG230="1",I230,0)</f>
        <v>0</v>
      </c>
      <c r="T230" s="59">
        <f>IF(AG230="7",H230,0)</f>
        <v>0</v>
      </c>
      <c r="U230" s="59">
        <f>IF(AG230="7",I230,0)</f>
        <v>0</v>
      </c>
      <c r="V230" s="59">
        <f>IF(AG230="2",H230,0)</f>
        <v>0</v>
      </c>
      <c r="W230" s="59">
        <f>IF(AG230="2",I230,0)</f>
        <v>0</v>
      </c>
      <c r="X230" s="59">
        <f>IF(AG230="0",J230,0)</f>
        <v>0</v>
      </c>
      <c r="Y230" s="49"/>
      <c r="Z230" s="33">
        <f>IF(AD230=0,J230,0)</f>
        <v>0</v>
      </c>
      <c r="AA230" s="33">
        <f>IF(AD230=15,J230,0)</f>
        <v>0</v>
      </c>
      <c r="AB230" s="33">
        <f>IF(AD230=21,J230,0)</f>
        <v>0</v>
      </c>
      <c r="AD230" s="59">
        <v>21</v>
      </c>
      <c r="AE230" s="59">
        <f>G230*0.894148127431949</f>
        <v>0</v>
      </c>
      <c r="AF230" s="59">
        <f>G230*(1-0.894148127431949)</f>
        <v>0</v>
      </c>
      <c r="AG230" s="55" t="s">
        <v>13</v>
      </c>
      <c r="AM230" s="59">
        <f>F230*AE230</f>
        <v>0</v>
      </c>
      <c r="AN230" s="59">
        <f>F230*AF230</f>
        <v>0</v>
      </c>
      <c r="AO230" s="60" t="s">
        <v>1139</v>
      </c>
      <c r="AP230" s="60" t="s">
        <v>1174</v>
      </c>
      <c r="AQ230" s="49" t="s">
        <v>1182</v>
      </c>
      <c r="AS230" s="59">
        <f>AM230+AN230</f>
        <v>0</v>
      </c>
      <c r="AT230" s="59">
        <f>G230/(100-AU230)*100</f>
        <v>0</v>
      </c>
      <c r="AU230" s="59">
        <v>0</v>
      </c>
      <c r="AV230" s="59">
        <f>L230</f>
        <v>0.10962</v>
      </c>
    </row>
    <row r="231" spans="4:6" ht="12.75">
      <c r="D231" s="28" t="s">
        <v>694</v>
      </c>
      <c r="F231" s="34">
        <v>26.1</v>
      </c>
    </row>
    <row r="232" spans="1:48" ht="12.75">
      <c r="A232" s="10" t="s">
        <v>77</v>
      </c>
      <c r="B232" s="10"/>
      <c r="C232" s="10" t="s">
        <v>312</v>
      </c>
      <c r="D232" s="10" t="s">
        <v>695</v>
      </c>
      <c r="E232" s="10" t="s">
        <v>1086</v>
      </c>
      <c r="F232" s="33">
        <v>461.58</v>
      </c>
      <c r="G232" s="33">
        <v>0</v>
      </c>
      <c r="H232" s="33">
        <f>F232*AE232</f>
        <v>0</v>
      </c>
      <c r="I232" s="33">
        <f>J232-H232</f>
        <v>0</v>
      </c>
      <c r="J232" s="33">
        <f>F232*G232</f>
        <v>0</v>
      </c>
      <c r="K232" s="33">
        <v>0.00208</v>
      </c>
      <c r="L232" s="33">
        <f>F232*K232</f>
        <v>0.9600863999999999</v>
      </c>
      <c r="M232" s="55" t="s">
        <v>1113</v>
      </c>
      <c r="P232" s="59">
        <f>IF(AG232="5",J232,0)</f>
        <v>0</v>
      </c>
      <c r="R232" s="59">
        <f>IF(AG232="1",H232,0)</f>
        <v>0</v>
      </c>
      <c r="S232" s="59">
        <f>IF(AG232="1",I232,0)</f>
        <v>0</v>
      </c>
      <c r="T232" s="59">
        <f>IF(AG232="7",H232,0)</f>
        <v>0</v>
      </c>
      <c r="U232" s="59">
        <f>IF(AG232="7",I232,0)</f>
        <v>0</v>
      </c>
      <c r="V232" s="59">
        <f>IF(AG232="2",H232,0)</f>
        <v>0</v>
      </c>
      <c r="W232" s="59">
        <f>IF(AG232="2",I232,0)</f>
        <v>0</v>
      </c>
      <c r="X232" s="59">
        <f>IF(AG232="0",J232,0)</f>
        <v>0</v>
      </c>
      <c r="Y232" s="49"/>
      <c r="Z232" s="33">
        <f>IF(AD232=0,J232,0)</f>
        <v>0</v>
      </c>
      <c r="AA232" s="33">
        <f>IF(AD232=15,J232,0)</f>
        <v>0</v>
      </c>
      <c r="AB232" s="33">
        <f>IF(AD232=21,J232,0)</f>
        <v>0</v>
      </c>
      <c r="AD232" s="59">
        <v>21</v>
      </c>
      <c r="AE232" s="59">
        <f>G232*0.534451357340819</f>
        <v>0</v>
      </c>
      <c r="AF232" s="59">
        <f>G232*(1-0.534451357340819)</f>
        <v>0</v>
      </c>
      <c r="AG232" s="55" t="s">
        <v>13</v>
      </c>
      <c r="AM232" s="59">
        <f>F232*AE232</f>
        <v>0</v>
      </c>
      <c r="AN232" s="59">
        <f>F232*AF232</f>
        <v>0</v>
      </c>
      <c r="AO232" s="60" t="s">
        <v>1139</v>
      </c>
      <c r="AP232" s="60" t="s">
        <v>1174</v>
      </c>
      <c r="AQ232" s="49" t="s">
        <v>1182</v>
      </c>
      <c r="AS232" s="59">
        <f>AM232+AN232</f>
        <v>0</v>
      </c>
      <c r="AT232" s="59">
        <f>G232/(100-AU232)*100</f>
        <v>0</v>
      </c>
      <c r="AU232" s="59">
        <v>0</v>
      </c>
      <c r="AV232" s="59">
        <f>L232</f>
        <v>0.9600863999999999</v>
      </c>
    </row>
    <row r="233" spans="4:6" ht="12.75">
      <c r="D233" s="28" t="s">
        <v>696</v>
      </c>
      <c r="F233" s="34">
        <v>461.58</v>
      </c>
    </row>
    <row r="234" spans="1:48" ht="12.75">
      <c r="A234" s="10" t="s">
        <v>78</v>
      </c>
      <c r="B234" s="10"/>
      <c r="C234" s="10" t="s">
        <v>313</v>
      </c>
      <c r="D234" s="10" t="s">
        <v>697</v>
      </c>
      <c r="E234" s="10" t="s">
        <v>1086</v>
      </c>
      <c r="F234" s="33">
        <v>9.51</v>
      </c>
      <c r="G234" s="33">
        <v>0</v>
      </c>
      <c r="H234" s="33">
        <f>F234*AE234</f>
        <v>0</v>
      </c>
      <c r="I234" s="33">
        <f>J234-H234</f>
        <v>0</v>
      </c>
      <c r="J234" s="33">
        <f>F234*G234</f>
        <v>0</v>
      </c>
      <c r="K234" s="33">
        <v>0.0073</v>
      </c>
      <c r="L234" s="33">
        <f>F234*K234</f>
        <v>0.069423</v>
      </c>
      <c r="M234" s="55" t="s">
        <v>1113</v>
      </c>
      <c r="P234" s="59">
        <f>IF(AG234="5",J234,0)</f>
        <v>0</v>
      </c>
      <c r="R234" s="59">
        <f>IF(AG234="1",H234,0)</f>
        <v>0</v>
      </c>
      <c r="S234" s="59">
        <f>IF(AG234="1",I234,0)</f>
        <v>0</v>
      </c>
      <c r="T234" s="59">
        <f>IF(AG234="7",H234,0)</f>
        <v>0</v>
      </c>
      <c r="U234" s="59">
        <f>IF(AG234="7",I234,0)</f>
        <v>0</v>
      </c>
      <c r="V234" s="59">
        <f>IF(AG234="2",H234,0)</f>
        <v>0</v>
      </c>
      <c r="W234" s="59">
        <f>IF(AG234="2",I234,0)</f>
        <v>0</v>
      </c>
      <c r="X234" s="59">
        <f>IF(AG234="0",J234,0)</f>
        <v>0</v>
      </c>
      <c r="Y234" s="49"/>
      <c r="Z234" s="33">
        <f>IF(AD234=0,J234,0)</f>
        <v>0</v>
      </c>
      <c r="AA234" s="33">
        <f>IF(AD234=15,J234,0)</f>
        <v>0</v>
      </c>
      <c r="AB234" s="33">
        <f>IF(AD234=21,J234,0)</f>
        <v>0</v>
      </c>
      <c r="AD234" s="59">
        <v>21</v>
      </c>
      <c r="AE234" s="59">
        <f>G234*0.714161672874583</f>
        <v>0</v>
      </c>
      <c r="AF234" s="59">
        <f>G234*(1-0.714161672874583)</f>
        <v>0</v>
      </c>
      <c r="AG234" s="55" t="s">
        <v>13</v>
      </c>
      <c r="AM234" s="59">
        <f>F234*AE234</f>
        <v>0</v>
      </c>
      <c r="AN234" s="59">
        <f>F234*AF234</f>
        <v>0</v>
      </c>
      <c r="AO234" s="60" t="s">
        <v>1139</v>
      </c>
      <c r="AP234" s="60" t="s">
        <v>1174</v>
      </c>
      <c r="AQ234" s="49" t="s">
        <v>1182</v>
      </c>
      <c r="AS234" s="59">
        <f>AM234+AN234</f>
        <v>0</v>
      </c>
      <c r="AT234" s="59">
        <f>G234/(100-AU234)*100</f>
        <v>0</v>
      </c>
      <c r="AU234" s="59">
        <v>0</v>
      </c>
      <c r="AV234" s="59">
        <f>L234</f>
        <v>0.069423</v>
      </c>
    </row>
    <row r="235" spans="4:6" ht="12.75">
      <c r="D235" s="28" t="s">
        <v>698</v>
      </c>
      <c r="F235" s="34">
        <v>9.51</v>
      </c>
    </row>
    <row r="236" spans="1:48" ht="12.75">
      <c r="A236" s="10" t="s">
        <v>79</v>
      </c>
      <c r="B236" s="10"/>
      <c r="C236" s="10" t="s">
        <v>314</v>
      </c>
      <c r="D236" s="10" t="s">
        <v>699</v>
      </c>
      <c r="E236" s="10" t="s">
        <v>1086</v>
      </c>
      <c r="F236" s="33">
        <v>36.3</v>
      </c>
      <c r="G236" s="33">
        <v>0</v>
      </c>
      <c r="H236" s="33">
        <f>F236*AE236</f>
        <v>0</v>
      </c>
      <c r="I236" s="33">
        <f>J236-H236</f>
        <v>0</v>
      </c>
      <c r="J236" s="33">
        <f>F236*G236</f>
        <v>0</v>
      </c>
      <c r="K236" s="33">
        <v>0.00794</v>
      </c>
      <c r="L236" s="33">
        <f>F236*K236</f>
        <v>0.2882219999999999</v>
      </c>
      <c r="M236" s="55" t="s">
        <v>1113</v>
      </c>
      <c r="P236" s="59">
        <f>IF(AG236="5",J236,0)</f>
        <v>0</v>
      </c>
      <c r="R236" s="59">
        <f>IF(AG236="1",H236,0)</f>
        <v>0</v>
      </c>
      <c r="S236" s="59">
        <f>IF(AG236="1",I236,0)</f>
        <v>0</v>
      </c>
      <c r="T236" s="59">
        <f>IF(AG236="7",H236,0)</f>
        <v>0</v>
      </c>
      <c r="U236" s="59">
        <f>IF(AG236="7",I236,0)</f>
        <v>0</v>
      </c>
      <c r="V236" s="59">
        <f>IF(AG236="2",H236,0)</f>
        <v>0</v>
      </c>
      <c r="W236" s="59">
        <f>IF(AG236="2",I236,0)</f>
        <v>0</v>
      </c>
      <c r="X236" s="59">
        <f>IF(AG236="0",J236,0)</f>
        <v>0</v>
      </c>
      <c r="Y236" s="49"/>
      <c r="Z236" s="33">
        <f>IF(AD236=0,J236,0)</f>
        <v>0</v>
      </c>
      <c r="AA236" s="33">
        <f>IF(AD236=15,J236,0)</f>
        <v>0</v>
      </c>
      <c r="AB236" s="33">
        <f>IF(AD236=21,J236,0)</f>
        <v>0</v>
      </c>
      <c r="AD236" s="59">
        <v>21</v>
      </c>
      <c r="AE236" s="59">
        <f>G236*0.689760769689602</f>
        <v>0</v>
      </c>
      <c r="AF236" s="59">
        <f>G236*(1-0.689760769689602)</f>
        <v>0</v>
      </c>
      <c r="AG236" s="55" t="s">
        <v>13</v>
      </c>
      <c r="AM236" s="59">
        <f>F236*AE236</f>
        <v>0</v>
      </c>
      <c r="AN236" s="59">
        <f>F236*AF236</f>
        <v>0</v>
      </c>
      <c r="AO236" s="60" t="s">
        <v>1139</v>
      </c>
      <c r="AP236" s="60" t="s">
        <v>1174</v>
      </c>
      <c r="AQ236" s="49" t="s">
        <v>1182</v>
      </c>
      <c r="AS236" s="59">
        <f>AM236+AN236</f>
        <v>0</v>
      </c>
      <c r="AT236" s="59">
        <f>G236/(100-AU236)*100</f>
        <v>0</v>
      </c>
      <c r="AU236" s="59">
        <v>0</v>
      </c>
      <c r="AV236" s="59">
        <f>L236</f>
        <v>0.2882219999999999</v>
      </c>
    </row>
    <row r="237" spans="4:6" ht="12.75">
      <c r="D237" s="28" t="s">
        <v>700</v>
      </c>
      <c r="F237" s="34">
        <v>36.3</v>
      </c>
    </row>
    <row r="238" spans="1:48" ht="12.75">
      <c r="A238" s="10" t="s">
        <v>80</v>
      </c>
      <c r="B238" s="10"/>
      <c r="C238" s="10" t="s">
        <v>315</v>
      </c>
      <c r="D238" s="10" t="s">
        <v>701</v>
      </c>
      <c r="E238" s="10" t="s">
        <v>1085</v>
      </c>
      <c r="F238" s="33">
        <v>1.427</v>
      </c>
      <c r="G238" s="33">
        <v>0</v>
      </c>
      <c r="H238" s="33">
        <f>F238*AE238</f>
        <v>0</v>
      </c>
      <c r="I238" s="33">
        <f>J238-H238</f>
        <v>0</v>
      </c>
      <c r="J238" s="33">
        <f>F238*G238</f>
        <v>0</v>
      </c>
      <c r="K238" s="33">
        <v>0</v>
      </c>
      <c r="L238" s="33">
        <f>F238*K238</f>
        <v>0</v>
      </c>
      <c r="M238" s="55" t="s">
        <v>1113</v>
      </c>
      <c r="P238" s="59">
        <f>IF(AG238="5",J238,0)</f>
        <v>0</v>
      </c>
      <c r="R238" s="59">
        <f>IF(AG238="1",H238,0)</f>
        <v>0</v>
      </c>
      <c r="S238" s="59">
        <f>IF(AG238="1",I238,0)</f>
        <v>0</v>
      </c>
      <c r="T238" s="59">
        <f>IF(AG238="7",H238,0)</f>
        <v>0</v>
      </c>
      <c r="U238" s="59">
        <f>IF(AG238="7",I238,0)</f>
        <v>0</v>
      </c>
      <c r="V238" s="59">
        <f>IF(AG238="2",H238,0)</f>
        <v>0</v>
      </c>
      <c r="W238" s="59">
        <f>IF(AG238="2",I238,0)</f>
        <v>0</v>
      </c>
      <c r="X238" s="59">
        <f>IF(AG238="0",J238,0)</f>
        <v>0</v>
      </c>
      <c r="Y238" s="49"/>
      <c r="Z238" s="33">
        <f>IF(AD238=0,J238,0)</f>
        <v>0</v>
      </c>
      <c r="AA238" s="33">
        <f>IF(AD238=15,J238,0)</f>
        <v>0</v>
      </c>
      <c r="AB238" s="33">
        <f>IF(AD238=21,J238,0)</f>
        <v>0</v>
      </c>
      <c r="AD238" s="59">
        <v>21</v>
      </c>
      <c r="AE238" s="59">
        <f>G238*0</f>
        <v>0</v>
      </c>
      <c r="AF238" s="59">
        <f>G238*(1-0)</f>
        <v>0</v>
      </c>
      <c r="AG238" s="55" t="s">
        <v>11</v>
      </c>
      <c r="AM238" s="59">
        <f>F238*AE238</f>
        <v>0</v>
      </c>
      <c r="AN238" s="59">
        <f>F238*AF238</f>
        <v>0</v>
      </c>
      <c r="AO238" s="60" t="s">
        <v>1139</v>
      </c>
      <c r="AP238" s="60" t="s">
        <v>1174</v>
      </c>
      <c r="AQ238" s="49" t="s">
        <v>1182</v>
      </c>
      <c r="AS238" s="59">
        <f>AM238+AN238</f>
        <v>0</v>
      </c>
      <c r="AT238" s="59">
        <f>G238/(100-AU238)*100</f>
        <v>0</v>
      </c>
      <c r="AU238" s="59">
        <v>0</v>
      </c>
      <c r="AV238" s="59">
        <f>L238</f>
        <v>0</v>
      </c>
    </row>
    <row r="239" spans="4:6" ht="12.75">
      <c r="D239" s="28" t="s">
        <v>702</v>
      </c>
      <c r="F239" s="34">
        <v>1.427</v>
      </c>
    </row>
    <row r="240" spans="1:37" ht="12.75">
      <c r="A240" s="11"/>
      <c r="B240" s="24"/>
      <c r="C240" s="24" t="s">
        <v>316</v>
      </c>
      <c r="D240" s="24" t="s">
        <v>703</v>
      </c>
      <c r="E240" s="11" t="s">
        <v>6</v>
      </c>
      <c r="F240" s="11" t="s">
        <v>6</v>
      </c>
      <c r="G240" s="11" t="s">
        <v>6</v>
      </c>
      <c r="H240" s="62">
        <f>SUM(H241:H247)</f>
        <v>0</v>
      </c>
      <c r="I240" s="62">
        <f>SUM(I241:I247)</f>
        <v>0</v>
      </c>
      <c r="J240" s="62">
        <f>H240+I240</f>
        <v>0</v>
      </c>
      <c r="K240" s="49"/>
      <c r="L240" s="62">
        <f>SUM(L241:L247)</f>
        <v>0.3264744</v>
      </c>
      <c r="M240" s="49"/>
      <c r="Y240" s="49"/>
      <c r="AI240" s="62">
        <f>SUM(Z241:Z247)</f>
        <v>0</v>
      </c>
      <c r="AJ240" s="62">
        <f>SUM(AA241:AA247)</f>
        <v>0</v>
      </c>
      <c r="AK240" s="62">
        <f>SUM(AB241:AB247)</f>
        <v>0</v>
      </c>
    </row>
    <row r="241" spans="1:48" ht="12.75">
      <c r="A241" s="10" t="s">
        <v>81</v>
      </c>
      <c r="B241" s="10"/>
      <c r="C241" s="10" t="s">
        <v>317</v>
      </c>
      <c r="D241" s="10" t="s">
        <v>704</v>
      </c>
      <c r="E241" s="10" t="s">
        <v>1086</v>
      </c>
      <c r="F241" s="33">
        <v>18.48</v>
      </c>
      <c r="G241" s="33">
        <v>0</v>
      </c>
      <c r="H241" s="33">
        <f>F241*AE241</f>
        <v>0</v>
      </c>
      <c r="I241" s="33">
        <f>J241-H241</f>
        <v>0</v>
      </c>
      <c r="J241" s="33">
        <f>F241*G241</f>
        <v>0</v>
      </c>
      <c r="K241" s="33">
        <v>0.00653</v>
      </c>
      <c r="L241" s="33">
        <f>F241*K241</f>
        <v>0.1206744</v>
      </c>
      <c r="M241" s="55" t="s">
        <v>1113</v>
      </c>
      <c r="P241" s="59">
        <f>IF(AG241="5",J241,0)</f>
        <v>0</v>
      </c>
      <c r="R241" s="59">
        <f>IF(AG241="1",H241,0)</f>
        <v>0</v>
      </c>
      <c r="S241" s="59">
        <f>IF(AG241="1",I241,0)</f>
        <v>0</v>
      </c>
      <c r="T241" s="59">
        <f>IF(AG241="7",H241,0)</f>
        <v>0</v>
      </c>
      <c r="U241" s="59">
        <f>IF(AG241="7",I241,0)</f>
        <v>0</v>
      </c>
      <c r="V241" s="59">
        <f>IF(AG241="2",H241,0)</f>
        <v>0</v>
      </c>
      <c r="W241" s="59">
        <f>IF(AG241="2",I241,0)</f>
        <v>0</v>
      </c>
      <c r="X241" s="59">
        <f>IF(AG241="0",J241,0)</f>
        <v>0</v>
      </c>
      <c r="Y241" s="49"/>
      <c r="Z241" s="33">
        <f>IF(AD241=0,J241,0)</f>
        <v>0</v>
      </c>
      <c r="AA241" s="33">
        <f>IF(AD241=15,J241,0)</f>
        <v>0</v>
      </c>
      <c r="AB241" s="33">
        <f>IF(AD241=21,J241,0)</f>
        <v>0</v>
      </c>
      <c r="AD241" s="59">
        <v>21</v>
      </c>
      <c r="AE241" s="59">
        <f>G241*0.891043165467626</f>
        <v>0</v>
      </c>
      <c r="AF241" s="59">
        <f>G241*(1-0.891043165467626)</f>
        <v>0</v>
      </c>
      <c r="AG241" s="55" t="s">
        <v>13</v>
      </c>
      <c r="AM241" s="59">
        <f>F241*AE241</f>
        <v>0</v>
      </c>
      <c r="AN241" s="59">
        <f>F241*AF241</f>
        <v>0</v>
      </c>
      <c r="AO241" s="60" t="s">
        <v>1140</v>
      </c>
      <c r="AP241" s="60" t="s">
        <v>1174</v>
      </c>
      <c r="AQ241" s="49" t="s">
        <v>1182</v>
      </c>
      <c r="AS241" s="59">
        <f>AM241+AN241</f>
        <v>0</v>
      </c>
      <c r="AT241" s="59">
        <f>G241/(100-AU241)*100</f>
        <v>0</v>
      </c>
      <c r="AU241" s="59">
        <v>0</v>
      </c>
      <c r="AV241" s="59">
        <f>L241</f>
        <v>0.1206744</v>
      </c>
    </row>
    <row r="242" spans="4:6" ht="12.75">
      <c r="D242" s="28" t="s">
        <v>705</v>
      </c>
      <c r="F242" s="34">
        <v>18.48</v>
      </c>
    </row>
    <row r="243" spans="1:48" ht="12.75">
      <c r="A243" s="10" t="s">
        <v>82</v>
      </c>
      <c r="B243" s="10"/>
      <c r="C243" s="10" t="s">
        <v>318</v>
      </c>
      <c r="D243" s="10" t="s">
        <v>706</v>
      </c>
      <c r="E243" s="10" t="s">
        <v>1086</v>
      </c>
      <c r="F243" s="33">
        <v>461.58</v>
      </c>
      <c r="G243" s="33">
        <v>0</v>
      </c>
      <c r="H243" s="33">
        <f>F243*AE243</f>
        <v>0</v>
      </c>
      <c r="I243" s="33">
        <f>J243-H243</f>
        <v>0</v>
      </c>
      <c r="J243" s="33">
        <f>F243*G243</f>
        <v>0</v>
      </c>
      <c r="K243" s="33">
        <v>0</v>
      </c>
      <c r="L243" s="33">
        <f>F243*K243</f>
        <v>0</v>
      </c>
      <c r="M243" s="55" t="s">
        <v>1113</v>
      </c>
      <c r="P243" s="59">
        <f>IF(AG243="5",J243,0)</f>
        <v>0</v>
      </c>
      <c r="R243" s="59">
        <f>IF(AG243="1",H243,0)</f>
        <v>0</v>
      </c>
      <c r="S243" s="59">
        <f>IF(AG243="1",I243,0)</f>
        <v>0</v>
      </c>
      <c r="T243" s="59">
        <f>IF(AG243="7",H243,0)</f>
        <v>0</v>
      </c>
      <c r="U243" s="59">
        <f>IF(AG243="7",I243,0)</f>
        <v>0</v>
      </c>
      <c r="V243" s="59">
        <f>IF(AG243="2",H243,0)</f>
        <v>0</v>
      </c>
      <c r="W243" s="59">
        <f>IF(AG243="2",I243,0)</f>
        <v>0</v>
      </c>
      <c r="X243" s="59">
        <f>IF(AG243="0",J243,0)</f>
        <v>0</v>
      </c>
      <c r="Y243" s="49"/>
      <c r="Z243" s="33">
        <f>IF(AD243=0,J243,0)</f>
        <v>0</v>
      </c>
      <c r="AA243" s="33">
        <f>IF(AD243=15,J243,0)</f>
        <v>0</v>
      </c>
      <c r="AB243" s="33">
        <f>IF(AD243=21,J243,0)</f>
        <v>0</v>
      </c>
      <c r="AD243" s="59">
        <v>21</v>
      </c>
      <c r="AE243" s="59">
        <f>G243*0.886449995107377</f>
        <v>0</v>
      </c>
      <c r="AF243" s="59">
        <f>G243*(1-0.886449995107377)</f>
        <v>0</v>
      </c>
      <c r="AG243" s="55" t="s">
        <v>13</v>
      </c>
      <c r="AM243" s="59">
        <f>F243*AE243</f>
        <v>0</v>
      </c>
      <c r="AN243" s="59">
        <f>F243*AF243</f>
        <v>0</v>
      </c>
      <c r="AO243" s="60" t="s">
        <v>1140</v>
      </c>
      <c r="AP243" s="60" t="s">
        <v>1174</v>
      </c>
      <c r="AQ243" s="49" t="s">
        <v>1182</v>
      </c>
      <c r="AS243" s="59">
        <f>AM243+AN243</f>
        <v>0</v>
      </c>
      <c r="AT243" s="59">
        <f>G243/(100-AU243)*100</f>
        <v>0</v>
      </c>
      <c r="AU243" s="59">
        <v>0</v>
      </c>
      <c r="AV243" s="59">
        <f>L243</f>
        <v>0</v>
      </c>
    </row>
    <row r="244" spans="4:6" ht="12.75">
      <c r="D244" s="28" t="s">
        <v>707</v>
      </c>
      <c r="F244" s="34">
        <v>461.58</v>
      </c>
    </row>
    <row r="245" spans="1:48" ht="12.75">
      <c r="A245" s="10" t="s">
        <v>83</v>
      </c>
      <c r="B245" s="10"/>
      <c r="C245" s="10" t="s">
        <v>319</v>
      </c>
      <c r="D245" s="10" t="s">
        <v>708</v>
      </c>
      <c r="E245" s="10" t="s">
        <v>1086</v>
      </c>
      <c r="F245" s="33">
        <v>70</v>
      </c>
      <c r="G245" s="33">
        <v>0</v>
      </c>
      <c r="H245" s="33">
        <f>F245*AE245</f>
        <v>0</v>
      </c>
      <c r="I245" s="33">
        <f>J245-H245</f>
        <v>0</v>
      </c>
      <c r="J245" s="33">
        <f>F245*G245</f>
        <v>0</v>
      </c>
      <c r="K245" s="33">
        <v>0.00294</v>
      </c>
      <c r="L245" s="33">
        <f>F245*K245</f>
        <v>0.20579999999999998</v>
      </c>
      <c r="M245" s="55" t="s">
        <v>1115</v>
      </c>
      <c r="P245" s="59">
        <f>IF(AG245="5",J245,0)</f>
        <v>0</v>
      </c>
      <c r="R245" s="59">
        <f>IF(AG245="1",H245,0)</f>
        <v>0</v>
      </c>
      <c r="S245" s="59">
        <f>IF(AG245="1",I245,0)</f>
        <v>0</v>
      </c>
      <c r="T245" s="59">
        <f>IF(AG245="7",H245,0)</f>
        <v>0</v>
      </c>
      <c r="U245" s="59">
        <f>IF(AG245="7",I245,0)</f>
        <v>0</v>
      </c>
      <c r="V245" s="59">
        <f>IF(AG245="2",H245,0)</f>
        <v>0</v>
      </c>
      <c r="W245" s="59">
        <f>IF(AG245="2",I245,0)</f>
        <v>0</v>
      </c>
      <c r="X245" s="59">
        <f>IF(AG245="0",J245,0)</f>
        <v>0</v>
      </c>
      <c r="Y245" s="49"/>
      <c r="Z245" s="33">
        <f>IF(AD245=0,J245,0)</f>
        <v>0</v>
      </c>
      <c r="AA245" s="33">
        <f>IF(AD245=15,J245,0)</f>
        <v>0</v>
      </c>
      <c r="AB245" s="33">
        <f>IF(AD245=21,J245,0)</f>
        <v>0</v>
      </c>
      <c r="AD245" s="59">
        <v>21</v>
      </c>
      <c r="AE245" s="59">
        <f>G245*0.74341129837514</f>
        <v>0</v>
      </c>
      <c r="AF245" s="59">
        <f>G245*(1-0.74341129837514)</f>
        <v>0</v>
      </c>
      <c r="AG245" s="55" t="s">
        <v>13</v>
      </c>
      <c r="AM245" s="59">
        <f>F245*AE245</f>
        <v>0</v>
      </c>
      <c r="AN245" s="59">
        <f>F245*AF245</f>
        <v>0</v>
      </c>
      <c r="AO245" s="60" t="s">
        <v>1140</v>
      </c>
      <c r="AP245" s="60" t="s">
        <v>1174</v>
      </c>
      <c r="AQ245" s="49" t="s">
        <v>1182</v>
      </c>
      <c r="AS245" s="59">
        <f>AM245+AN245</f>
        <v>0</v>
      </c>
      <c r="AT245" s="59">
        <f>G245/(100-AU245)*100</f>
        <v>0</v>
      </c>
      <c r="AU245" s="59">
        <v>0</v>
      </c>
      <c r="AV245" s="59">
        <f>L245</f>
        <v>0.20579999999999998</v>
      </c>
    </row>
    <row r="246" spans="4:6" ht="12.75">
      <c r="D246" s="28" t="s">
        <v>709</v>
      </c>
      <c r="F246" s="34">
        <v>70</v>
      </c>
    </row>
    <row r="247" spans="1:48" ht="12.75">
      <c r="A247" s="10" t="s">
        <v>84</v>
      </c>
      <c r="B247" s="10"/>
      <c r="C247" s="10" t="s">
        <v>320</v>
      </c>
      <c r="D247" s="10" t="s">
        <v>710</v>
      </c>
      <c r="E247" s="10" t="s">
        <v>1085</v>
      </c>
      <c r="F247" s="33">
        <v>0.326</v>
      </c>
      <c r="G247" s="33">
        <v>0</v>
      </c>
      <c r="H247" s="33">
        <f>F247*AE247</f>
        <v>0</v>
      </c>
      <c r="I247" s="33">
        <f>J247-H247</f>
        <v>0</v>
      </c>
      <c r="J247" s="33">
        <f>F247*G247</f>
        <v>0</v>
      </c>
      <c r="K247" s="33">
        <v>0</v>
      </c>
      <c r="L247" s="33">
        <f>F247*K247</f>
        <v>0</v>
      </c>
      <c r="M247" s="55" t="s">
        <v>1113</v>
      </c>
      <c r="P247" s="59">
        <f>IF(AG247="5",J247,0)</f>
        <v>0</v>
      </c>
      <c r="R247" s="59">
        <f>IF(AG247="1",H247,0)</f>
        <v>0</v>
      </c>
      <c r="S247" s="59">
        <f>IF(AG247="1",I247,0)</f>
        <v>0</v>
      </c>
      <c r="T247" s="59">
        <f>IF(AG247="7",H247,0)</f>
        <v>0</v>
      </c>
      <c r="U247" s="59">
        <f>IF(AG247="7",I247,0)</f>
        <v>0</v>
      </c>
      <c r="V247" s="59">
        <f>IF(AG247="2",H247,0)</f>
        <v>0</v>
      </c>
      <c r="W247" s="59">
        <f>IF(AG247="2",I247,0)</f>
        <v>0</v>
      </c>
      <c r="X247" s="59">
        <f>IF(AG247="0",J247,0)</f>
        <v>0</v>
      </c>
      <c r="Y247" s="49"/>
      <c r="Z247" s="33">
        <f>IF(AD247=0,J247,0)</f>
        <v>0</v>
      </c>
      <c r="AA247" s="33">
        <f>IF(AD247=15,J247,0)</f>
        <v>0</v>
      </c>
      <c r="AB247" s="33">
        <f>IF(AD247=21,J247,0)</f>
        <v>0</v>
      </c>
      <c r="AD247" s="59">
        <v>21</v>
      </c>
      <c r="AE247" s="59">
        <f>G247*0</f>
        <v>0</v>
      </c>
      <c r="AF247" s="59">
        <f>G247*(1-0)</f>
        <v>0</v>
      </c>
      <c r="AG247" s="55" t="s">
        <v>11</v>
      </c>
      <c r="AM247" s="59">
        <f>F247*AE247</f>
        <v>0</v>
      </c>
      <c r="AN247" s="59">
        <f>F247*AF247</f>
        <v>0</v>
      </c>
      <c r="AO247" s="60" t="s">
        <v>1140</v>
      </c>
      <c r="AP247" s="60" t="s">
        <v>1174</v>
      </c>
      <c r="AQ247" s="49" t="s">
        <v>1182</v>
      </c>
      <c r="AS247" s="59">
        <f>AM247+AN247</f>
        <v>0</v>
      </c>
      <c r="AT247" s="59">
        <f>G247/(100-AU247)*100</f>
        <v>0</v>
      </c>
      <c r="AU247" s="59">
        <v>0</v>
      </c>
      <c r="AV247" s="59">
        <f>L247</f>
        <v>0</v>
      </c>
    </row>
    <row r="248" spans="4:6" ht="12.75">
      <c r="D248" s="28" t="s">
        <v>711</v>
      </c>
      <c r="F248" s="34">
        <v>0.326</v>
      </c>
    </row>
    <row r="249" spans="1:37" ht="12.75">
      <c r="A249" s="11"/>
      <c r="B249" s="24"/>
      <c r="C249" s="24" t="s">
        <v>321</v>
      </c>
      <c r="D249" s="24" t="s">
        <v>712</v>
      </c>
      <c r="E249" s="11" t="s">
        <v>6</v>
      </c>
      <c r="F249" s="11" t="s">
        <v>6</v>
      </c>
      <c r="G249" s="11" t="s">
        <v>6</v>
      </c>
      <c r="H249" s="62">
        <f>SUM(H250:H302)</f>
        <v>0</v>
      </c>
      <c r="I249" s="62">
        <f>SUM(I250:I302)</f>
        <v>0</v>
      </c>
      <c r="J249" s="62">
        <f>H249+I249</f>
        <v>0</v>
      </c>
      <c r="K249" s="49"/>
      <c r="L249" s="62">
        <f>SUM(L250:L302)</f>
        <v>9.9650281</v>
      </c>
      <c r="M249" s="49"/>
      <c r="Y249" s="49"/>
      <c r="AI249" s="62">
        <f>SUM(Z250:Z302)</f>
        <v>0</v>
      </c>
      <c r="AJ249" s="62">
        <f>SUM(AA250:AA302)</f>
        <v>0</v>
      </c>
      <c r="AK249" s="62">
        <f>SUM(AB250:AB302)</f>
        <v>0</v>
      </c>
    </row>
    <row r="250" spans="1:48" ht="12.75">
      <c r="A250" s="10" t="s">
        <v>85</v>
      </c>
      <c r="B250" s="10"/>
      <c r="C250" s="10" t="s">
        <v>322</v>
      </c>
      <c r="D250" s="10" t="s">
        <v>713</v>
      </c>
      <c r="E250" s="10" t="s">
        <v>1084</v>
      </c>
      <c r="F250" s="33">
        <v>12</v>
      </c>
      <c r="G250" s="33">
        <v>0</v>
      </c>
      <c r="H250" s="33">
        <f>F250*AE250</f>
        <v>0</v>
      </c>
      <c r="I250" s="33">
        <f>J250-H250</f>
        <v>0</v>
      </c>
      <c r="J250" s="33">
        <f>F250*G250</f>
        <v>0</v>
      </c>
      <c r="K250" s="33">
        <v>0.00171</v>
      </c>
      <c r="L250" s="33">
        <f>F250*K250</f>
        <v>0.02052</v>
      </c>
      <c r="M250" s="55" t="s">
        <v>1113</v>
      </c>
      <c r="P250" s="59">
        <f>IF(AG250="5",J250,0)</f>
        <v>0</v>
      </c>
      <c r="R250" s="59">
        <f>IF(AG250="1",H250,0)</f>
        <v>0</v>
      </c>
      <c r="S250" s="59">
        <f>IF(AG250="1",I250,0)</f>
        <v>0</v>
      </c>
      <c r="T250" s="59">
        <f>IF(AG250="7",H250,0)</f>
        <v>0</v>
      </c>
      <c r="U250" s="59">
        <f>IF(AG250="7",I250,0)</f>
        <v>0</v>
      </c>
      <c r="V250" s="59">
        <f>IF(AG250="2",H250,0)</f>
        <v>0</v>
      </c>
      <c r="W250" s="59">
        <f>IF(AG250="2",I250,0)</f>
        <v>0</v>
      </c>
      <c r="X250" s="59">
        <f>IF(AG250="0",J250,0)</f>
        <v>0</v>
      </c>
      <c r="Y250" s="49"/>
      <c r="Z250" s="33">
        <f>IF(AD250=0,J250,0)</f>
        <v>0</v>
      </c>
      <c r="AA250" s="33">
        <f>IF(AD250=15,J250,0)</f>
        <v>0</v>
      </c>
      <c r="AB250" s="33">
        <f>IF(AD250=21,J250,0)</f>
        <v>0</v>
      </c>
      <c r="AD250" s="59">
        <v>21</v>
      </c>
      <c r="AE250" s="59">
        <f>G250*0.405</f>
        <v>0</v>
      </c>
      <c r="AF250" s="59">
        <f>G250*(1-0.405)</f>
        <v>0</v>
      </c>
      <c r="AG250" s="55" t="s">
        <v>13</v>
      </c>
      <c r="AM250" s="59">
        <f>F250*AE250</f>
        <v>0</v>
      </c>
      <c r="AN250" s="59">
        <f>F250*AF250</f>
        <v>0</v>
      </c>
      <c r="AO250" s="60" t="s">
        <v>1141</v>
      </c>
      <c r="AP250" s="60" t="s">
        <v>1175</v>
      </c>
      <c r="AQ250" s="49" t="s">
        <v>1182</v>
      </c>
      <c r="AS250" s="59">
        <f>AM250+AN250</f>
        <v>0</v>
      </c>
      <c r="AT250" s="59">
        <f>G250/(100-AU250)*100</f>
        <v>0</v>
      </c>
      <c r="AU250" s="59">
        <v>0</v>
      </c>
      <c r="AV250" s="59">
        <f>L250</f>
        <v>0.02052</v>
      </c>
    </row>
    <row r="251" spans="4:6" ht="12.75">
      <c r="D251" s="28" t="s">
        <v>714</v>
      </c>
      <c r="F251" s="34">
        <v>12</v>
      </c>
    </row>
    <row r="252" spans="1:48" ht="12.75">
      <c r="A252" s="10" t="s">
        <v>86</v>
      </c>
      <c r="B252" s="10"/>
      <c r="C252" s="10" t="s">
        <v>323</v>
      </c>
      <c r="D252" s="10" t="s">
        <v>715</v>
      </c>
      <c r="E252" s="10" t="s">
        <v>1084</v>
      </c>
      <c r="F252" s="33">
        <v>61.85</v>
      </c>
      <c r="G252" s="33">
        <v>0</v>
      </c>
      <c r="H252" s="33">
        <f>F252*AE252</f>
        <v>0</v>
      </c>
      <c r="I252" s="33">
        <f>J252-H252</f>
        <v>0</v>
      </c>
      <c r="J252" s="33">
        <f>F252*G252</f>
        <v>0</v>
      </c>
      <c r="K252" s="33">
        <v>0.0021</v>
      </c>
      <c r="L252" s="33">
        <f>F252*K252</f>
        <v>0.129885</v>
      </c>
      <c r="M252" s="55" t="s">
        <v>1113</v>
      </c>
      <c r="P252" s="59">
        <f>IF(AG252="5",J252,0)</f>
        <v>0</v>
      </c>
      <c r="R252" s="59">
        <f>IF(AG252="1",H252,0)</f>
        <v>0</v>
      </c>
      <c r="S252" s="59">
        <f>IF(AG252="1",I252,0)</f>
        <v>0</v>
      </c>
      <c r="T252" s="59">
        <f>IF(AG252="7",H252,0)</f>
        <v>0</v>
      </c>
      <c r="U252" s="59">
        <f>IF(AG252="7",I252,0)</f>
        <v>0</v>
      </c>
      <c r="V252" s="59">
        <f>IF(AG252="2",H252,0)</f>
        <v>0</v>
      </c>
      <c r="W252" s="59">
        <f>IF(AG252="2",I252,0)</f>
        <v>0</v>
      </c>
      <c r="X252" s="59">
        <f>IF(AG252="0",J252,0)</f>
        <v>0</v>
      </c>
      <c r="Y252" s="49"/>
      <c r="Z252" s="33">
        <f>IF(AD252=0,J252,0)</f>
        <v>0</v>
      </c>
      <c r="AA252" s="33">
        <f>IF(AD252=15,J252,0)</f>
        <v>0</v>
      </c>
      <c r="AB252" s="33">
        <f>IF(AD252=21,J252,0)</f>
        <v>0</v>
      </c>
      <c r="AD252" s="59">
        <v>21</v>
      </c>
      <c r="AE252" s="59">
        <f>G252*0.409998110091944</f>
        <v>0</v>
      </c>
      <c r="AF252" s="59">
        <f>G252*(1-0.409998110091944)</f>
        <v>0</v>
      </c>
      <c r="AG252" s="55" t="s">
        <v>13</v>
      </c>
      <c r="AM252" s="59">
        <f>F252*AE252</f>
        <v>0</v>
      </c>
      <c r="AN252" s="59">
        <f>F252*AF252</f>
        <v>0</v>
      </c>
      <c r="AO252" s="60" t="s">
        <v>1141</v>
      </c>
      <c r="AP252" s="60" t="s">
        <v>1175</v>
      </c>
      <c r="AQ252" s="49" t="s">
        <v>1182</v>
      </c>
      <c r="AS252" s="59">
        <f>AM252+AN252</f>
        <v>0</v>
      </c>
      <c r="AT252" s="59">
        <f>G252/(100-AU252)*100</f>
        <v>0</v>
      </c>
      <c r="AU252" s="59">
        <v>0</v>
      </c>
      <c r="AV252" s="59">
        <f>L252</f>
        <v>0.129885</v>
      </c>
    </row>
    <row r="253" spans="4:6" ht="12.75">
      <c r="D253" s="28" t="s">
        <v>716</v>
      </c>
      <c r="F253" s="34">
        <v>25.65</v>
      </c>
    </row>
    <row r="254" spans="4:6" ht="12.75">
      <c r="D254" s="28" t="s">
        <v>717</v>
      </c>
      <c r="F254" s="34">
        <v>36.2</v>
      </c>
    </row>
    <row r="255" spans="1:48" ht="12.75">
      <c r="A255" s="10" t="s">
        <v>87</v>
      </c>
      <c r="B255" s="10"/>
      <c r="C255" s="10" t="s">
        <v>324</v>
      </c>
      <c r="D255" s="10" t="s">
        <v>718</v>
      </c>
      <c r="E255" s="10" t="s">
        <v>1084</v>
      </c>
      <c r="F255" s="33">
        <v>40.5</v>
      </c>
      <c r="G255" s="33">
        <v>0</v>
      </c>
      <c r="H255" s="33">
        <f>F255*AE255</f>
        <v>0</v>
      </c>
      <c r="I255" s="33">
        <f>J255-H255</f>
        <v>0</v>
      </c>
      <c r="J255" s="33">
        <f>F255*G255</f>
        <v>0</v>
      </c>
      <c r="K255" s="33">
        <v>0.00252</v>
      </c>
      <c r="L255" s="33">
        <f>F255*K255</f>
        <v>0.10206</v>
      </c>
      <c r="M255" s="55" t="s">
        <v>1113</v>
      </c>
      <c r="P255" s="59">
        <f>IF(AG255="5",J255,0)</f>
        <v>0</v>
      </c>
      <c r="R255" s="59">
        <f>IF(AG255="1",H255,0)</f>
        <v>0</v>
      </c>
      <c r="S255" s="59">
        <f>IF(AG255="1",I255,0)</f>
        <v>0</v>
      </c>
      <c r="T255" s="59">
        <f>IF(AG255="7",H255,0)</f>
        <v>0</v>
      </c>
      <c r="U255" s="59">
        <f>IF(AG255="7",I255,0)</f>
        <v>0</v>
      </c>
      <c r="V255" s="59">
        <f>IF(AG255="2",H255,0)</f>
        <v>0</v>
      </c>
      <c r="W255" s="59">
        <f>IF(AG255="2",I255,0)</f>
        <v>0</v>
      </c>
      <c r="X255" s="59">
        <f>IF(AG255="0",J255,0)</f>
        <v>0</v>
      </c>
      <c r="Y255" s="49"/>
      <c r="Z255" s="33">
        <f>IF(AD255=0,J255,0)</f>
        <v>0</v>
      </c>
      <c r="AA255" s="33">
        <f>IF(AD255=15,J255,0)</f>
        <v>0</v>
      </c>
      <c r="AB255" s="33">
        <f>IF(AD255=21,J255,0)</f>
        <v>0</v>
      </c>
      <c r="AD255" s="59">
        <v>21</v>
      </c>
      <c r="AE255" s="59">
        <f>G255*0.504785198510008</f>
        <v>0</v>
      </c>
      <c r="AF255" s="59">
        <f>G255*(1-0.504785198510008)</f>
        <v>0</v>
      </c>
      <c r="AG255" s="55" t="s">
        <v>13</v>
      </c>
      <c r="AM255" s="59">
        <f>F255*AE255</f>
        <v>0</v>
      </c>
      <c r="AN255" s="59">
        <f>F255*AF255</f>
        <v>0</v>
      </c>
      <c r="AO255" s="60" t="s">
        <v>1141</v>
      </c>
      <c r="AP255" s="60" t="s">
        <v>1175</v>
      </c>
      <c r="AQ255" s="49" t="s">
        <v>1182</v>
      </c>
      <c r="AS255" s="59">
        <f>AM255+AN255</f>
        <v>0</v>
      </c>
      <c r="AT255" s="59">
        <f>G255/(100-AU255)*100</f>
        <v>0</v>
      </c>
      <c r="AU255" s="59">
        <v>0</v>
      </c>
      <c r="AV255" s="59">
        <f>L255</f>
        <v>0.10206</v>
      </c>
    </row>
    <row r="256" spans="4:6" ht="12.75">
      <c r="D256" s="28" t="s">
        <v>719</v>
      </c>
      <c r="F256" s="34">
        <v>35.5</v>
      </c>
    </row>
    <row r="257" spans="4:6" ht="12.75">
      <c r="D257" s="28" t="s">
        <v>720</v>
      </c>
      <c r="F257" s="34">
        <v>5</v>
      </c>
    </row>
    <row r="258" spans="1:48" ht="12.75">
      <c r="A258" s="10" t="s">
        <v>88</v>
      </c>
      <c r="B258" s="10"/>
      <c r="C258" s="10" t="s">
        <v>325</v>
      </c>
      <c r="D258" s="10" t="s">
        <v>721</v>
      </c>
      <c r="E258" s="10" t="s">
        <v>1084</v>
      </c>
      <c r="F258" s="33">
        <v>86.3</v>
      </c>
      <c r="G258" s="33">
        <v>0</v>
      </c>
      <c r="H258" s="33">
        <f>F258*AE258</f>
        <v>0</v>
      </c>
      <c r="I258" s="33">
        <f>J258-H258</f>
        <v>0</v>
      </c>
      <c r="J258" s="33">
        <f>F258*G258</f>
        <v>0</v>
      </c>
      <c r="K258" s="33">
        <v>0.00357</v>
      </c>
      <c r="L258" s="33">
        <f>F258*K258</f>
        <v>0.30809099999999995</v>
      </c>
      <c r="M258" s="55" t="s">
        <v>1113</v>
      </c>
      <c r="P258" s="59">
        <f>IF(AG258="5",J258,0)</f>
        <v>0</v>
      </c>
      <c r="R258" s="59">
        <f>IF(AG258="1",H258,0)</f>
        <v>0</v>
      </c>
      <c r="S258" s="59">
        <f>IF(AG258="1",I258,0)</f>
        <v>0</v>
      </c>
      <c r="T258" s="59">
        <f>IF(AG258="7",H258,0)</f>
        <v>0</v>
      </c>
      <c r="U258" s="59">
        <f>IF(AG258="7",I258,0)</f>
        <v>0</v>
      </c>
      <c r="V258" s="59">
        <f>IF(AG258="2",H258,0)</f>
        <v>0</v>
      </c>
      <c r="W258" s="59">
        <f>IF(AG258="2",I258,0)</f>
        <v>0</v>
      </c>
      <c r="X258" s="59">
        <f>IF(AG258="0",J258,0)</f>
        <v>0</v>
      </c>
      <c r="Y258" s="49"/>
      <c r="Z258" s="33">
        <f>IF(AD258=0,J258,0)</f>
        <v>0</v>
      </c>
      <c r="AA258" s="33">
        <f>IF(AD258=15,J258,0)</f>
        <v>0</v>
      </c>
      <c r="AB258" s="33">
        <f>IF(AD258=21,J258,0)</f>
        <v>0</v>
      </c>
      <c r="AD258" s="59">
        <v>21</v>
      </c>
      <c r="AE258" s="59">
        <f>G258*0.648057651951054</f>
        <v>0</v>
      </c>
      <c r="AF258" s="59">
        <f>G258*(1-0.648057651951054)</f>
        <v>0</v>
      </c>
      <c r="AG258" s="55" t="s">
        <v>13</v>
      </c>
      <c r="AM258" s="59">
        <f>F258*AE258</f>
        <v>0</v>
      </c>
      <c r="AN258" s="59">
        <f>F258*AF258</f>
        <v>0</v>
      </c>
      <c r="AO258" s="60" t="s">
        <v>1141</v>
      </c>
      <c r="AP258" s="60" t="s">
        <v>1175</v>
      </c>
      <c r="AQ258" s="49" t="s">
        <v>1182</v>
      </c>
      <c r="AS258" s="59">
        <f>AM258+AN258</f>
        <v>0</v>
      </c>
      <c r="AT258" s="59">
        <f>G258/(100-AU258)*100</f>
        <v>0</v>
      </c>
      <c r="AU258" s="59">
        <v>0</v>
      </c>
      <c r="AV258" s="59">
        <f>L258</f>
        <v>0.30809099999999995</v>
      </c>
    </row>
    <row r="259" spans="4:6" ht="12.75">
      <c r="D259" s="28" t="s">
        <v>722</v>
      </c>
      <c r="F259" s="34">
        <v>45.55</v>
      </c>
    </row>
    <row r="260" spans="4:6" ht="12.75">
      <c r="D260" s="28" t="s">
        <v>723</v>
      </c>
      <c r="F260" s="34">
        <v>40.75</v>
      </c>
    </row>
    <row r="261" spans="1:48" ht="12.75">
      <c r="A261" s="10" t="s">
        <v>89</v>
      </c>
      <c r="B261" s="10"/>
      <c r="C261" s="10" t="s">
        <v>326</v>
      </c>
      <c r="D261" s="10" t="s">
        <v>724</v>
      </c>
      <c r="E261" s="10" t="s">
        <v>1084</v>
      </c>
      <c r="F261" s="33">
        <v>42.37</v>
      </c>
      <c r="G261" s="33">
        <v>0</v>
      </c>
      <c r="H261" s="33">
        <f>F261*AE261</f>
        <v>0</v>
      </c>
      <c r="I261" s="33">
        <f>J261-H261</f>
        <v>0</v>
      </c>
      <c r="J261" s="33">
        <f>F261*G261</f>
        <v>0</v>
      </c>
      <c r="K261" s="33">
        <v>0.00403</v>
      </c>
      <c r="L261" s="33">
        <f>F261*K261</f>
        <v>0.1707511</v>
      </c>
      <c r="M261" s="55" t="s">
        <v>1113</v>
      </c>
      <c r="P261" s="59">
        <f>IF(AG261="5",J261,0)</f>
        <v>0</v>
      </c>
      <c r="R261" s="59">
        <f>IF(AG261="1",H261,0)</f>
        <v>0</v>
      </c>
      <c r="S261" s="59">
        <f>IF(AG261="1",I261,0)</f>
        <v>0</v>
      </c>
      <c r="T261" s="59">
        <f>IF(AG261="7",H261,0)</f>
        <v>0</v>
      </c>
      <c r="U261" s="59">
        <f>IF(AG261="7",I261,0)</f>
        <v>0</v>
      </c>
      <c r="V261" s="59">
        <f>IF(AG261="2",H261,0)</f>
        <v>0</v>
      </c>
      <c r="W261" s="59">
        <f>IF(AG261="2",I261,0)</f>
        <v>0</v>
      </c>
      <c r="X261" s="59">
        <f>IF(AG261="0",J261,0)</f>
        <v>0</v>
      </c>
      <c r="Y261" s="49"/>
      <c r="Z261" s="33">
        <f>IF(AD261=0,J261,0)</f>
        <v>0</v>
      </c>
      <c r="AA261" s="33">
        <f>IF(AD261=15,J261,0)</f>
        <v>0</v>
      </c>
      <c r="AB261" s="33">
        <f>IF(AD261=21,J261,0)</f>
        <v>0</v>
      </c>
      <c r="AD261" s="59">
        <v>21</v>
      </c>
      <c r="AE261" s="59">
        <f>G261*0.635480607082631</f>
        <v>0</v>
      </c>
      <c r="AF261" s="59">
        <f>G261*(1-0.635480607082631)</f>
        <v>0</v>
      </c>
      <c r="AG261" s="55" t="s">
        <v>13</v>
      </c>
      <c r="AM261" s="59">
        <f>F261*AE261</f>
        <v>0</v>
      </c>
      <c r="AN261" s="59">
        <f>F261*AF261</f>
        <v>0</v>
      </c>
      <c r="AO261" s="60" t="s">
        <v>1141</v>
      </c>
      <c r="AP261" s="60" t="s">
        <v>1175</v>
      </c>
      <c r="AQ261" s="49" t="s">
        <v>1182</v>
      </c>
      <c r="AS261" s="59">
        <f>AM261+AN261</f>
        <v>0</v>
      </c>
      <c r="AT261" s="59">
        <f>G261/(100-AU261)*100</f>
        <v>0</v>
      </c>
      <c r="AU261" s="59">
        <v>0</v>
      </c>
      <c r="AV261" s="59">
        <f>L261</f>
        <v>0.1707511</v>
      </c>
    </row>
    <row r="262" spans="4:6" ht="12.75">
      <c r="D262" s="28" t="s">
        <v>725</v>
      </c>
      <c r="F262" s="34">
        <v>12.37</v>
      </c>
    </row>
    <row r="263" spans="4:6" ht="12.75">
      <c r="D263" s="28" t="s">
        <v>726</v>
      </c>
      <c r="F263" s="34">
        <v>30</v>
      </c>
    </row>
    <row r="264" spans="1:48" ht="12.75">
      <c r="A264" s="10" t="s">
        <v>90</v>
      </c>
      <c r="B264" s="10"/>
      <c r="C264" s="10" t="s">
        <v>327</v>
      </c>
      <c r="D264" s="10" t="s">
        <v>727</v>
      </c>
      <c r="E264" s="10" t="s">
        <v>1084</v>
      </c>
      <c r="F264" s="33">
        <v>34.2</v>
      </c>
      <c r="G264" s="33">
        <v>0</v>
      </c>
      <c r="H264" s="33">
        <f>F264*AE264</f>
        <v>0</v>
      </c>
      <c r="I264" s="33">
        <f>J264-H264</f>
        <v>0</v>
      </c>
      <c r="J264" s="33">
        <f>F264*G264</f>
        <v>0</v>
      </c>
      <c r="K264" s="33">
        <v>0.00698</v>
      </c>
      <c r="L264" s="33">
        <f>F264*K264</f>
        <v>0.238716</v>
      </c>
      <c r="M264" s="55" t="s">
        <v>1113</v>
      </c>
      <c r="P264" s="59">
        <f>IF(AG264="5",J264,0)</f>
        <v>0</v>
      </c>
      <c r="R264" s="59">
        <f>IF(AG264="1",H264,0)</f>
        <v>0</v>
      </c>
      <c r="S264" s="59">
        <f>IF(AG264="1",I264,0)</f>
        <v>0</v>
      </c>
      <c r="T264" s="59">
        <f>IF(AG264="7",H264,0)</f>
        <v>0</v>
      </c>
      <c r="U264" s="59">
        <f>IF(AG264="7",I264,0)</f>
        <v>0</v>
      </c>
      <c r="V264" s="59">
        <f>IF(AG264="2",H264,0)</f>
        <v>0</v>
      </c>
      <c r="W264" s="59">
        <f>IF(AG264="2",I264,0)</f>
        <v>0</v>
      </c>
      <c r="X264" s="59">
        <f>IF(AG264="0",J264,0)</f>
        <v>0</v>
      </c>
      <c r="Y264" s="49"/>
      <c r="Z264" s="33">
        <f>IF(AD264=0,J264,0)</f>
        <v>0</v>
      </c>
      <c r="AA264" s="33">
        <f>IF(AD264=15,J264,0)</f>
        <v>0</v>
      </c>
      <c r="AB264" s="33">
        <f>IF(AD264=21,J264,0)</f>
        <v>0</v>
      </c>
      <c r="AD264" s="59">
        <v>21</v>
      </c>
      <c r="AE264" s="59">
        <f>G264*0.751813040585496</f>
        <v>0</v>
      </c>
      <c r="AF264" s="59">
        <f>G264*(1-0.751813040585496)</f>
        <v>0</v>
      </c>
      <c r="AG264" s="55" t="s">
        <v>13</v>
      </c>
      <c r="AM264" s="59">
        <f>F264*AE264</f>
        <v>0</v>
      </c>
      <c r="AN264" s="59">
        <f>F264*AF264</f>
        <v>0</v>
      </c>
      <c r="AO264" s="60" t="s">
        <v>1141</v>
      </c>
      <c r="AP264" s="60" t="s">
        <v>1175</v>
      </c>
      <c r="AQ264" s="49" t="s">
        <v>1182</v>
      </c>
      <c r="AS264" s="59">
        <f>AM264+AN264</f>
        <v>0</v>
      </c>
      <c r="AT264" s="59">
        <f>G264/(100-AU264)*100</f>
        <v>0</v>
      </c>
      <c r="AU264" s="59">
        <v>0</v>
      </c>
      <c r="AV264" s="59">
        <f>L264</f>
        <v>0.238716</v>
      </c>
    </row>
    <row r="265" spans="4:6" ht="12.75">
      <c r="D265" s="28" t="s">
        <v>728</v>
      </c>
      <c r="F265" s="34">
        <v>34.2</v>
      </c>
    </row>
    <row r="266" spans="1:48" ht="12.75">
      <c r="A266" s="10" t="s">
        <v>91</v>
      </c>
      <c r="B266" s="10"/>
      <c r="C266" s="10" t="s">
        <v>328</v>
      </c>
      <c r="D266" s="10" t="s">
        <v>729</v>
      </c>
      <c r="E266" s="10" t="s">
        <v>1088</v>
      </c>
      <c r="F266" s="33">
        <v>4</v>
      </c>
      <c r="G266" s="33">
        <v>0</v>
      </c>
      <c r="H266" s="33">
        <f>F266*AE266</f>
        <v>0</v>
      </c>
      <c r="I266" s="33">
        <f>J266-H266</f>
        <v>0</v>
      </c>
      <c r="J266" s="33">
        <f>F266*G266</f>
        <v>0</v>
      </c>
      <c r="K266" s="33">
        <v>0.00761</v>
      </c>
      <c r="L266" s="33">
        <f>F266*K266</f>
        <v>0.03044</v>
      </c>
      <c r="M266" s="55" t="s">
        <v>1113</v>
      </c>
      <c r="P266" s="59">
        <f>IF(AG266="5",J266,0)</f>
        <v>0</v>
      </c>
      <c r="R266" s="59">
        <f>IF(AG266="1",H266,0)</f>
        <v>0</v>
      </c>
      <c r="S266" s="59">
        <f>IF(AG266="1",I266,0)</f>
        <v>0</v>
      </c>
      <c r="T266" s="59">
        <f>IF(AG266="7",H266,0)</f>
        <v>0</v>
      </c>
      <c r="U266" s="59">
        <f>IF(AG266="7",I266,0)</f>
        <v>0</v>
      </c>
      <c r="V266" s="59">
        <f>IF(AG266="2",H266,0)</f>
        <v>0</v>
      </c>
      <c r="W266" s="59">
        <f>IF(AG266="2",I266,0)</f>
        <v>0</v>
      </c>
      <c r="X266" s="59">
        <f>IF(AG266="0",J266,0)</f>
        <v>0</v>
      </c>
      <c r="Y266" s="49"/>
      <c r="Z266" s="33">
        <f>IF(AD266=0,J266,0)</f>
        <v>0</v>
      </c>
      <c r="AA266" s="33">
        <f>IF(AD266=15,J266,0)</f>
        <v>0</v>
      </c>
      <c r="AB266" s="33">
        <f>IF(AD266=21,J266,0)</f>
        <v>0</v>
      </c>
      <c r="AD266" s="59">
        <v>21</v>
      </c>
      <c r="AE266" s="59">
        <f>G266*0.956579751564558</f>
        <v>0</v>
      </c>
      <c r="AF266" s="59">
        <f>G266*(1-0.956579751564558)</f>
        <v>0</v>
      </c>
      <c r="AG266" s="55" t="s">
        <v>13</v>
      </c>
      <c r="AM266" s="59">
        <f>F266*AE266</f>
        <v>0</v>
      </c>
      <c r="AN266" s="59">
        <f>F266*AF266</f>
        <v>0</v>
      </c>
      <c r="AO266" s="60" t="s">
        <v>1141</v>
      </c>
      <c r="AP266" s="60" t="s">
        <v>1175</v>
      </c>
      <c r="AQ266" s="49" t="s">
        <v>1182</v>
      </c>
      <c r="AS266" s="59">
        <f>AM266+AN266</f>
        <v>0</v>
      </c>
      <c r="AT266" s="59">
        <f>G266/(100-AU266)*100</f>
        <v>0</v>
      </c>
      <c r="AU266" s="59">
        <v>0</v>
      </c>
      <c r="AV266" s="59">
        <f>L266</f>
        <v>0.03044</v>
      </c>
    </row>
    <row r="267" spans="4:6" ht="12.75">
      <c r="D267" s="28" t="s">
        <v>730</v>
      </c>
      <c r="F267" s="34">
        <v>4</v>
      </c>
    </row>
    <row r="268" spans="1:48" ht="12.75">
      <c r="A268" s="10" t="s">
        <v>92</v>
      </c>
      <c r="B268" s="10"/>
      <c r="C268" s="10" t="s">
        <v>329</v>
      </c>
      <c r="D268" s="10" t="s">
        <v>731</v>
      </c>
      <c r="E268" s="10" t="s">
        <v>1084</v>
      </c>
      <c r="F268" s="33">
        <v>159.35</v>
      </c>
      <c r="G268" s="33">
        <v>0</v>
      </c>
      <c r="H268" s="33">
        <f>F268*AE268</f>
        <v>0</v>
      </c>
      <c r="I268" s="33">
        <f>J268-H268</f>
        <v>0</v>
      </c>
      <c r="J268" s="33">
        <f>F268*G268</f>
        <v>0</v>
      </c>
      <c r="K268" s="33">
        <v>0</v>
      </c>
      <c r="L268" s="33">
        <f>F268*K268</f>
        <v>0</v>
      </c>
      <c r="M268" s="55" t="s">
        <v>1113</v>
      </c>
      <c r="P268" s="59">
        <f>IF(AG268="5",J268,0)</f>
        <v>0</v>
      </c>
      <c r="R268" s="59">
        <f>IF(AG268="1",H268,0)</f>
        <v>0</v>
      </c>
      <c r="S268" s="59">
        <f>IF(AG268="1",I268,0)</f>
        <v>0</v>
      </c>
      <c r="T268" s="59">
        <f>IF(AG268="7",H268,0)</f>
        <v>0</v>
      </c>
      <c r="U268" s="59">
        <f>IF(AG268="7",I268,0)</f>
        <v>0</v>
      </c>
      <c r="V268" s="59">
        <f>IF(AG268="2",H268,0)</f>
        <v>0</v>
      </c>
      <c r="W268" s="59">
        <f>IF(AG268="2",I268,0)</f>
        <v>0</v>
      </c>
      <c r="X268" s="59">
        <f>IF(AG268="0",J268,0)</f>
        <v>0</v>
      </c>
      <c r="Y268" s="49"/>
      <c r="Z268" s="33">
        <f>IF(AD268=0,J268,0)</f>
        <v>0</v>
      </c>
      <c r="AA268" s="33">
        <f>IF(AD268=15,J268,0)</f>
        <v>0</v>
      </c>
      <c r="AB268" s="33">
        <f>IF(AD268=21,J268,0)</f>
        <v>0</v>
      </c>
      <c r="AD268" s="59">
        <v>21</v>
      </c>
      <c r="AE268" s="59">
        <f>G268*0.0312848613609034</f>
        <v>0</v>
      </c>
      <c r="AF268" s="59">
        <f>G268*(1-0.0312848613609034)</f>
        <v>0</v>
      </c>
      <c r="AG268" s="55" t="s">
        <v>13</v>
      </c>
      <c r="AM268" s="59">
        <f>F268*AE268</f>
        <v>0</v>
      </c>
      <c r="AN268" s="59">
        <f>F268*AF268</f>
        <v>0</v>
      </c>
      <c r="AO268" s="60" t="s">
        <v>1141</v>
      </c>
      <c r="AP268" s="60" t="s">
        <v>1175</v>
      </c>
      <c r="AQ268" s="49" t="s">
        <v>1182</v>
      </c>
      <c r="AS268" s="59">
        <f>AM268+AN268</f>
        <v>0</v>
      </c>
      <c r="AT268" s="59">
        <f>G268/(100-AU268)*100</f>
        <v>0</v>
      </c>
      <c r="AU268" s="59">
        <v>0</v>
      </c>
      <c r="AV268" s="59">
        <f>L268</f>
        <v>0</v>
      </c>
    </row>
    <row r="269" spans="4:6" ht="12.75">
      <c r="D269" s="28" t="s">
        <v>732</v>
      </c>
      <c r="F269" s="34">
        <v>118.15</v>
      </c>
    </row>
    <row r="270" spans="4:6" ht="12.75">
      <c r="D270" s="28" t="s">
        <v>733</v>
      </c>
      <c r="F270" s="34">
        <v>41.2</v>
      </c>
    </row>
    <row r="271" spans="1:48" ht="12.75">
      <c r="A271" s="10" t="s">
        <v>93</v>
      </c>
      <c r="B271" s="10"/>
      <c r="C271" s="10" t="s">
        <v>330</v>
      </c>
      <c r="D271" s="10" t="s">
        <v>734</v>
      </c>
      <c r="E271" s="10" t="s">
        <v>1084</v>
      </c>
      <c r="F271" s="33">
        <v>128.67</v>
      </c>
      <c r="G271" s="33">
        <v>0</v>
      </c>
      <c r="H271" s="33">
        <f>F271*AE271</f>
        <v>0</v>
      </c>
      <c r="I271" s="33">
        <f>J271-H271</f>
        <v>0</v>
      </c>
      <c r="J271" s="33">
        <f>F271*G271</f>
        <v>0</v>
      </c>
      <c r="K271" s="33">
        <v>0</v>
      </c>
      <c r="L271" s="33">
        <f>F271*K271</f>
        <v>0</v>
      </c>
      <c r="M271" s="55" t="s">
        <v>1113</v>
      </c>
      <c r="P271" s="59">
        <f>IF(AG271="5",J271,0)</f>
        <v>0</v>
      </c>
      <c r="R271" s="59">
        <f>IF(AG271="1",H271,0)</f>
        <v>0</v>
      </c>
      <c r="S271" s="59">
        <f>IF(AG271="1",I271,0)</f>
        <v>0</v>
      </c>
      <c r="T271" s="59">
        <f>IF(AG271="7",H271,0)</f>
        <v>0</v>
      </c>
      <c r="U271" s="59">
        <f>IF(AG271="7",I271,0)</f>
        <v>0</v>
      </c>
      <c r="V271" s="59">
        <f>IF(AG271="2",H271,0)</f>
        <v>0</v>
      </c>
      <c r="W271" s="59">
        <f>IF(AG271="2",I271,0)</f>
        <v>0</v>
      </c>
      <c r="X271" s="59">
        <f>IF(AG271="0",J271,0)</f>
        <v>0</v>
      </c>
      <c r="Y271" s="49"/>
      <c r="Z271" s="33">
        <f>IF(AD271=0,J271,0)</f>
        <v>0</v>
      </c>
      <c r="AA271" s="33">
        <f>IF(AD271=15,J271,0)</f>
        <v>0</v>
      </c>
      <c r="AB271" s="33">
        <f>IF(AD271=21,J271,0)</f>
        <v>0</v>
      </c>
      <c r="AD271" s="59">
        <v>21</v>
      </c>
      <c r="AE271" s="59">
        <f>G271*0.0948934601074824</f>
        <v>0</v>
      </c>
      <c r="AF271" s="59">
        <f>G271*(1-0.0948934601074824)</f>
        <v>0</v>
      </c>
      <c r="AG271" s="55" t="s">
        <v>13</v>
      </c>
      <c r="AM271" s="59">
        <f>F271*AE271</f>
        <v>0</v>
      </c>
      <c r="AN271" s="59">
        <f>F271*AF271</f>
        <v>0</v>
      </c>
      <c r="AO271" s="60" t="s">
        <v>1141</v>
      </c>
      <c r="AP271" s="60" t="s">
        <v>1175</v>
      </c>
      <c r="AQ271" s="49" t="s">
        <v>1182</v>
      </c>
      <c r="AS271" s="59">
        <f>AM271+AN271</f>
        <v>0</v>
      </c>
      <c r="AT271" s="59">
        <f>G271/(100-AU271)*100</f>
        <v>0</v>
      </c>
      <c r="AU271" s="59">
        <v>0</v>
      </c>
      <c r="AV271" s="59">
        <f>L271</f>
        <v>0</v>
      </c>
    </row>
    <row r="272" spans="4:6" ht="12.75">
      <c r="D272" s="28" t="s">
        <v>735</v>
      </c>
      <c r="F272" s="34">
        <v>57.92</v>
      </c>
    </row>
    <row r="273" spans="4:6" ht="12.75">
      <c r="D273" s="28" t="s">
        <v>736</v>
      </c>
      <c r="F273" s="34">
        <v>70.75</v>
      </c>
    </row>
    <row r="274" spans="1:48" ht="12.75">
      <c r="A274" s="10" t="s">
        <v>94</v>
      </c>
      <c r="B274" s="10"/>
      <c r="C274" s="10" t="s">
        <v>331</v>
      </c>
      <c r="D274" s="10" t="s">
        <v>737</v>
      </c>
      <c r="E274" s="10" t="s">
        <v>1084</v>
      </c>
      <c r="F274" s="33">
        <v>64.2</v>
      </c>
      <c r="G274" s="33">
        <v>0</v>
      </c>
      <c r="H274" s="33">
        <f>F274*AE274</f>
        <v>0</v>
      </c>
      <c r="I274" s="33">
        <f>J274-H274</f>
        <v>0</v>
      </c>
      <c r="J274" s="33">
        <f>F274*G274</f>
        <v>0</v>
      </c>
      <c r="K274" s="33">
        <v>0</v>
      </c>
      <c r="L274" s="33">
        <f>F274*K274</f>
        <v>0</v>
      </c>
      <c r="M274" s="55" t="s">
        <v>1113</v>
      </c>
      <c r="P274" s="59">
        <f>IF(AG274="5",J274,0)</f>
        <v>0</v>
      </c>
      <c r="R274" s="59">
        <f>IF(AG274="1",H274,0)</f>
        <v>0</v>
      </c>
      <c r="S274" s="59">
        <f>IF(AG274="1",I274,0)</f>
        <v>0</v>
      </c>
      <c r="T274" s="59">
        <f>IF(AG274="7",H274,0)</f>
        <v>0</v>
      </c>
      <c r="U274" s="59">
        <f>IF(AG274="7",I274,0)</f>
        <v>0</v>
      </c>
      <c r="V274" s="59">
        <f>IF(AG274="2",H274,0)</f>
        <v>0</v>
      </c>
      <c r="W274" s="59">
        <f>IF(AG274="2",I274,0)</f>
        <v>0</v>
      </c>
      <c r="X274" s="59">
        <f>IF(AG274="0",J274,0)</f>
        <v>0</v>
      </c>
      <c r="Y274" s="49"/>
      <c r="Z274" s="33">
        <f>IF(AD274=0,J274,0)</f>
        <v>0</v>
      </c>
      <c r="AA274" s="33">
        <f>IF(AD274=15,J274,0)</f>
        <v>0</v>
      </c>
      <c r="AB274" s="33">
        <f>IF(AD274=21,J274,0)</f>
        <v>0</v>
      </c>
      <c r="AD274" s="59">
        <v>21</v>
      </c>
      <c r="AE274" s="59">
        <f>G274*0.149895351757625</f>
        <v>0</v>
      </c>
      <c r="AF274" s="59">
        <f>G274*(1-0.149895351757625)</f>
        <v>0</v>
      </c>
      <c r="AG274" s="55" t="s">
        <v>13</v>
      </c>
      <c r="AM274" s="59">
        <f>F274*AE274</f>
        <v>0</v>
      </c>
      <c r="AN274" s="59">
        <f>F274*AF274</f>
        <v>0</v>
      </c>
      <c r="AO274" s="60" t="s">
        <v>1141</v>
      </c>
      <c r="AP274" s="60" t="s">
        <v>1175</v>
      </c>
      <c r="AQ274" s="49" t="s">
        <v>1182</v>
      </c>
      <c r="AS274" s="59">
        <f>AM274+AN274</f>
        <v>0</v>
      </c>
      <c r="AT274" s="59">
        <f>G274/(100-AU274)*100</f>
        <v>0</v>
      </c>
      <c r="AU274" s="59">
        <v>0</v>
      </c>
      <c r="AV274" s="59">
        <f>L274</f>
        <v>0</v>
      </c>
    </row>
    <row r="275" spans="4:6" ht="12.75">
      <c r="D275" s="28" t="s">
        <v>738</v>
      </c>
      <c r="F275" s="34">
        <v>64.2</v>
      </c>
    </row>
    <row r="276" spans="1:48" ht="12.75">
      <c r="A276" s="10" t="s">
        <v>95</v>
      </c>
      <c r="B276" s="10"/>
      <c r="C276" s="10" t="s">
        <v>332</v>
      </c>
      <c r="D276" s="10" t="s">
        <v>739</v>
      </c>
      <c r="E276" s="10" t="s">
        <v>1084</v>
      </c>
      <c r="F276" s="33">
        <v>12</v>
      </c>
      <c r="G276" s="33">
        <v>0</v>
      </c>
      <c r="H276" s="33">
        <f>F276*AE276</f>
        <v>0</v>
      </c>
      <c r="I276" s="33">
        <f>J276-H276</f>
        <v>0</v>
      </c>
      <c r="J276" s="33">
        <f>F276*G276</f>
        <v>0</v>
      </c>
      <c r="K276" s="33">
        <v>0.00049</v>
      </c>
      <c r="L276" s="33">
        <f>F276*K276</f>
        <v>0.00588</v>
      </c>
      <c r="M276" s="55" t="s">
        <v>1113</v>
      </c>
      <c r="P276" s="59">
        <f>IF(AG276="5",J276,0)</f>
        <v>0</v>
      </c>
      <c r="R276" s="59">
        <f>IF(AG276="1",H276,0)</f>
        <v>0</v>
      </c>
      <c r="S276" s="59">
        <f>IF(AG276="1",I276,0)</f>
        <v>0</v>
      </c>
      <c r="T276" s="59">
        <f>IF(AG276="7",H276,0)</f>
        <v>0</v>
      </c>
      <c r="U276" s="59">
        <f>IF(AG276="7",I276,0)</f>
        <v>0</v>
      </c>
      <c r="V276" s="59">
        <f>IF(AG276="2",H276,0)</f>
        <v>0</v>
      </c>
      <c r="W276" s="59">
        <f>IF(AG276="2",I276,0)</f>
        <v>0</v>
      </c>
      <c r="X276" s="59">
        <f>IF(AG276="0",J276,0)</f>
        <v>0</v>
      </c>
      <c r="Y276" s="49"/>
      <c r="Z276" s="33">
        <f>IF(AD276=0,J276,0)</f>
        <v>0</v>
      </c>
      <c r="AA276" s="33">
        <f>IF(AD276=15,J276,0)</f>
        <v>0</v>
      </c>
      <c r="AB276" s="33">
        <f>IF(AD276=21,J276,0)</f>
        <v>0</v>
      </c>
      <c r="AD276" s="59">
        <v>21</v>
      </c>
      <c r="AE276" s="59">
        <f>G276*0.649090909090909</f>
        <v>0</v>
      </c>
      <c r="AF276" s="59">
        <f>G276*(1-0.649090909090909)</f>
        <v>0</v>
      </c>
      <c r="AG276" s="55" t="s">
        <v>13</v>
      </c>
      <c r="AM276" s="59">
        <f>F276*AE276</f>
        <v>0</v>
      </c>
      <c r="AN276" s="59">
        <f>F276*AF276</f>
        <v>0</v>
      </c>
      <c r="AO276" s="60" t="s">
        <v>1141</v>
      </c>
      <c r="AP276" s="60" t="s">
        <v>1175</v>
      </c>
      <c r="AQ276" s="49" t="s">
        <v>1182</v>
      </c>
      <c r="AS276" s="59">
        <f>AM276+AN276</f>
        <v>0</v>
      </c>
      <c r="AT276" s="59">
        <f>G276/(100-AU276)*100</f>
        <v>0</v>
      </c>
      <c r="AU276" s="59">
        <v>0</v>
      </c>
      <c r="AV276" s="59">
        <f>L276</f>
        <v>0.00588</v>
      </c>
    </row>
    <row r="277" spans="4:6" ht="12.75">
      <c r="D277" s="28" t="s">
        <v>18</v>
      </c>
      <c r="F277" s="34">
        <v>12</v>
      </c>
    </row>
    <row r="278" spans="1:48" ht="12.75">
      <c r="A278" s="10" t="s">
        <v>96</v>
      </c>
      <c r="B278" s="10"/>
      <c r="C278" s="10" t="s">
        <v>333</v>
      </c>
      <c r="D278" s="10" t="s">
        <v>740</v>
      </c>
      <c r="E278" s="10" t="s">
        <v>1084</v>
      </c>
      <c r="F278" s="33">
        <v>12</v>
      </c>
      <c r="G278" s="33">
        <v>0</v>
      </c>
      <c r="H278" s="33">
        <f>F278*AE278</f>
        <v>0</v>
      </c>
      <c r="I278" s="33">
        <f>J278-H278</f>
        <v>0</v>
      </c>
      <c r="J278" s="33">
        <f>F278*G278</f>
        <v>0</v>
      </c>
      <c r="K278" s="33">
        <v>0.00066</v>
      </c>
      <c r="L278" s="33">
        <f>F278*K278</f>
        <v>0.00792</v>
      </c>
      <c r="M278" s="55" t="s">
        <v>1113</v>
      </c>
      <c r="P278" s="59">
        <f>IF(AG278="5",J278,0)</f>
        <v>0</v>
      </c>
      <c r="R278" s="59">
        <f>IF(AG278="1",H278,0)</f>
        <v>0</v>
      </c>
      <c r="S278" s="59">
        <f>IF(AG278="1",I278,0)</f>
        <v>0</v>
      </c>
      <c r="T278" s="59">
        <f>IF(AG278="7",H278,0)</f>
        <v>0</v>
      </c>
      <c r="U278" s="59">
        <f>IF(AG278="7",I278,0)</f>
        <v>0</v>
      </c>
      <c r="V278" s="59">
        <f>IF(AG278="2",H278,0)</f>
        <v>0</v>
      </c>
      <c r="W278" s="59">
        <f>IF(AG278="2",I278,0)</f>
        <v>0</v>
      </c>
      <c r="X278" s="59">
        <f>IF(AG278="0",J278,0)</f>
        <v>0</v>
      </c>
      <c r="Y278" s="49"/>
      <c r="Z278" s="33">
        <f>IF(AD278=0,J278,0)</f>
        <v>0</v>
      </c>
      <c r="AA278" s="33">
        <f>IF(AD278=15,J278,0)</f>
        <v>0</v>
      </c>
      <c r="AB278" s="33">
        <f>IF(AD278=21,J278,0)</f>
        <v>0</v>
      </c>
      <c r="AD278" s="59">
        <v>21</v>
      </c>
      <c r="AE278" s="59">
        <f>G278*0.606505441354293</f>
        <v>0</v>
      </c>
      <c r="AF278" s="59">
        <f>G278*(1-0.606505441354293)</f>
        <v>0</v>
      </c>
      <c r="AG278" s="55" t="s">
        <v>13</v>
      </c>
      <c r="AM278" s="59">
        <f>F278*AE278</f>
        <v>0</v>
      </c>
      <c r="AN278" s="59">
        <f>F278*AF278</f>
        <v>0</v>
      </c>
      <c r="AO278" s="60" t="s">
        <v>1141</v>
      </c>
      <c r="AP278" s="60" t="s">
        <v>1175</v>
      </c>
      <c r="AQ278" s="49" t="s">
        <v>1182</v>
      </c>
      <c r="AS278" s="59">
        <f>AM278+AN278</f>
        <v>0</v>
      </c>
      <c r="AT278" s="59">
        <f>G278/(100-AU278)*100</f>
        <v>0</v>
      </c>
      <c r="AU278" s="59">
        <v>0</v>
      </c>
      <c r="AV278" s="59">
        <f>L278</f>
        <v>0.00792</v>
      </c>
    </row>
    <row r="279" spans="4:6" ht="12.75">
      <c r="D279" s="28" t="s">
        <v>18</v>
      </c>
      <c r="F279" s="34">
        <v>12</v>
      </c>
    </row>
    <row r="280" spans="1:48" ht="12.75">
      <c r="A280" s="10" t="s">
        <v>97</v>
      </c>
      <c r="B280" s="10"/>
      <c r="C280" s="10" t="s">
        <v>334</v>
      </c>
      <c r="D280" s="10" t="s">
        <v>741</v>
      </c>
      <c r="E280" s="10" t="s">
        <v>1084</v>
      </c>
      <c r="F280" s="33">
        <v>21</v>
      </c>
      <c r="G280" s="33">
        <v>0</v>
      </c>
      <c r="H280" s="33">
        <f>F280*AE280</f>
        <v>0</v>
      </c>
      <c r="I280" s="33">
        <f>J280-H280</f>
        <v>0</v>
      </c>
      <c r="J280" s="33">
        <f>F280*G280</f>
        <v>0</v>
      </c>
      <c r="K280" s="33">
        <v>0.00081</v>
      </c>
      <c r="L280" s="33">
        <f>F280*K280</f>
        <v>0.017009999999999997</v>
      </c>
      <c r="M280" s="55" t="s">
        <v>1113</v>
      </c>
      <c r="P280" s="59">
        <f>IF(AG280="5",J280,0)</f>
        <v>0</v>
      </c>
      <c r="R280" s="59">
        <f>IF(AG280="1",H280,0)</f>
        <v>0</v>
      </c>
      <c r="S280" s="59">
        <f>IF(AG280="1",I280,0)</f>
        <v>0</v>
      </c>
      <c r="T280" s="59">
        <f>IF(AG280="7",H280,0)</f>
        <v>0</v>
      </c>
      <c r="U280" s="59">
        <f>IF(AG280="7",I280,0)</f>
        <v>0</v>
      </c>
      <c r="V280" s="59">
        <f>IF(AG280="2",H280,0)</f>
        <v>0</v>
      </c>
      <c r="W280" s="59">
        <f>IF(AG280="2",I280,0)</f>
        <v>0</v>
      </c>
      <c r="X280" s="59">
        <f>IF(AG280="0",J280,0)</f>
        <v>0</v>
      </c>
      <c r="Y280" s="49"/>
      <c r="Z280" s="33">
        <f>IF(AD280=0,J280,0)</f>
        <v>0</v>
      </c>
      <c r="AA280" s="33">
        <f>IF(AD280=15,J280,0)</f>
        <v>0</v>
      </c>
      <c r="AB280" s="33">
        <f>IF(AD280=21,J280,0)</f>
        <v>0</v>
      </c>
      <c r="AD280" s="59">
        <v>21</v>
      </c>
      <c r="AE280" s="59">
        <f>G280*0.614137542277339</f>
        <v>0</v>
      </c>
      <c r="AF280" s="59">
        <f>G280*(1-0.614137542277339)</f>
        <v>0</v>
      </c>
      <c r="AG280" s="55" t="s">
        <v>13</v>
      </c>
      <c r="AM280" s="59">
        <f>F280*AE280</f>
        <v>0</v>
      </c>
      <c r="AN280" s="59">
        <f>F280*AF280</f>
        <v>0</v>
      </c>
      <c r="AO280" s="60" t="s">
        <v>1141</v>
      </c>
      <c r="AP280" s="60" t="s">
        <v>1175</v>
      </c>
      <c r="AQ280" s="49" t="s">
        <v>1182</v>
      </c>
      <c r="AS280" s="59">
        <f>AM280+AN280</f>
        <v>0</v>
      </c>
      <c r="AT280" s="59">
        <f>G280/(100-AU280)*100</f>
        <v>0</v>
      </c>
      <c r="AU280" s="59">
        <v>0</v>
      </c>
      <c r="AV280" s="59">
        <f>L280</f>
        <v>0.017009999999999997</v>
      </c>
    </row>
    <row r="281" spans="4:6" ht="12.75">
      <c r="D281" s="28" t="s">
        <v>27</v>
      </c>
      <c r="F281" s="34">
        <v>21</v>
      </c>
    </row>
    <row r="282" spans="1:48" ht="12.75">
      <c r="A282" s="10" t="s">
        <v>98</v>
      </c>
      <c r="B282" s="10"/>
      <c r="C282" s="10" t="s">
        <v>335</v>
      </c>
      <c r="D282" s="10" t="s">
        <v>742</v>
      </c>
      <c r="E282" s="10" t="s">
        <v>1084</v>
      </c>
      <c r="F282" s="33">
        <v>30</v>
      </c>
      <c r="G282" s="33">
        <v>0</v>
      </c>
      <c r="H282" s="33">
        <f>F282*AE282</f>
        <v>0</v>
      </c>
      <c r="I282" s="33">
        <f>J282-H282</f>
        <v>0</v>
      </c>
      <c r="J282" s="33">
        <f>F282*G282</f>
        <v>0</v>
      </c>
      <c r="K282" s="33">
        <v>0.01215</v>
      </c>
      <c r="L282" s="33">
        <f>F282*K282</f>
        <v>0.3645</v>
      </c>
      <c r="M282" s="55" t="s">
        <v>1113</v>
      </c>
      <c r="P282" s="59">
        <f>IF(AG282="5",J282,0)</f>
        <v>0</v>
      </c>
      <c r="R282" s="59">
        <f>IF(AG282="1",H282,0)</f>
        <v>0</v>
      </c>
      <c r="S282" s="59">
        <f>IF(AG282="1",I282,0)</f>
        <v>0</v>
      </c>
      <c r="T282" s="59">
        <f>IF(AG282="7",H282,0)</f>
        <v>0</v>
      </c>
      <c r="U282" s="59">
        <f>IF(AG282="7",I282,0)</f>
        <v>0</v>
      </c>
      <c r="V282" s="59">
        <f>IF(AG282="2",H282,0)</f>
        <v>0</v>
      </c>
      <c r="W282" s="59">
        <f>IF(AG282="2",I282,0)</f>
        <v>0</v>
      </c>
      <c r="X282" s="59">
        <f>IF(AG282="0",J282,0)</f>
        <v>0</v>
      </c>
      <c r="Y282" s="49"/>
      <c r="Z282" s="33">
        <f>IF(AD282=0,J282,0)</f>
        <v>0</v>
      </c>
      <c r="AA282" s="33">
        <f>IF(AD282=15,J282,0)</f>
        <v>0</v>
      </c>
      <c r="AB282" s="33">
        <f>IF(AD282=21,J282,0)</f>
        <v>0</v>
      </c>
      <c r="AD282" s="59">
        <v>21</v>
      </c>
      <c r="AE282" s="59">
        <f>G282*0.944683417723528</f>
        <v>0</v>
      </c>
      <c r="AF282" s="59">
        <f>G282*(1-0.944683417723528)</f>
        <v>0</v>
      </c>
      <c r="AG282" s="55" t="s">
        <v>13</v>
      </c>
      <c r="AM282" s="59">
        <f>F282*AE282</f>
        <v>0</v>
      </c>
      <c r="AN282" s="59">
        <f>F282*AF282</f>
        <v>0</v>
      </c>
      <c r="AO282" s="60" t="s">
        <v>1141</v>
      </c>
      <c r="AP282" s="60" t="s">
        <v>1175</v>
      </c>
      <c r="AQ282" s="49" t="s">
        <v>1182</v>
      </c>
      <c r="AS282" s="59">
        <f>AM282+AN282</f>
        <v>0</v>
      </c>
      <c r="AT282" s="59">
        <f>G282/(100-AU282)*100</f>
        <v>0</v>
      </c>
      <c r="AU282" s="59">
        <v>0</v>
      </c>
      <c r="AV282" s="59">
        <f>L282</f>
        <v>0.3645</v>
      </c>
    </row>
    <row r="283" spans="4:6" ht="12.75">
      <c r="D283" s="28" t="s">
        <v>36</v>
      </c>
      <c r="F283" s="34">
        <v>30</v>
      </c>
    </row>
    <row r="284" spans="1:48" ht="12.75">
      <c r="A284" s="10" t="s">
        <v>99</v>
      </c>
      <c r="B284" s="10"/>
      <c r="C284" s="10" t="s">
        <v>336</v>
      </c>
      <c r="D284" s="10" t="s">
        <v>743</v>
      </c>
      <c r="E284" s="10" t="s">
        <v>1084</v>
      </c>
      <c r="F284" s="33">
        <v>16.5</v>
      </c>
      <c r="G284" s="33">
        <v>0</v>
      </c>
      <c r="H284" s="33">
        <f>F284*AE284</f>
        <v>0</v>
      </c>
      <c r="I284" s="33">
        <f>J284-H284</f>
        <v>0</v>
      </c>
      <c r="J284" s="33">
        <f>F284*G284</f>
        <v>0</v>
      </c>
      <c r="K284" s="33">
        <v>0.42953</v>
      </c>
      <c r="L284" s="33">
        <f>F284*K284</f>
        <v>7.087245</v>
      </c>
      <c r="M284" s="55" t="s">
        <v>1113</v>
      </c>
      <c r="P284" s="59">
        <f>IF(AG284="5",J284,0)</f>
        <v>0</v>
      </c>
      <c r="R284" s="59">
        <f>IF(AG284="1",H284,0)</f>
        <v>0</v>
      </c>
      <c r="S284" s="59">
        <f>IF(AG284="1",I284,0)</f>
        <v>0</v>
      </c>
      <c r="T284" s="59">
        <f>IF(AG284="7",H284,0)</f>
        <v>0</v>
      </c>
      <c r="U284" s="59">
        <f>IF(AG284="7",I284,0)</f>
        <v>0</v>
      </c>
      <c r="V284" s="59">
        <f>IF(AG284="2",H284,0)</f>
        <v>0</v>
      </c>
      <c r="W284" s="59">
        <f>IF(AG284="2",I284,0)</f>
        <v>0</v>
      </c>
      <c r="X284" s="59">
        <f>IF(AG284="0",J284,0)</f>
        <v>0</v>
      </c>
      <c r="Y284" s="49"/>
      <c r="Z284" s="33">
        <f>IF(AD284=0,J284,0)</f>
        <v>0</v>
      </c>
      <c r="AA284" s="33">
        <f>IF(AD284=15,J284,0)</f>
        <v>0</v>
      </c>
      <c r="AB284" s="33">
        <f>IF(AD284=21,J284,0)</f>
        <v>0</v>
      </c>
      <c r="AD284" s="59">
        <v>21</v>
      </c>
      <c r="AE284" s="59">
        <f>G284*0.463073994765644</f>
        <v>0</v>
      </c>
      <c r="AF284" s="59">
        <f>G284*(1-0.463073994765644)</f>
        <v>0</v>
      </c>
      <c r="AG284" s="55" t="s">
        <v>13</v>
      </c>
      <c r="AM284" s="59">
        <f>F284*AE284</f>
        <v>0</v>
      </c>
      <c r="AN284" s="59">
        <f>F284*AF284</f>
        <v>0</v>
      </c>
      <c r="AO284" s="60" t="s">
        <v>1141</v>
      </c>
      <c r="AP284" s="60" t="s">
        <v>1175</v>
      </c>
      <c r="AQ284" s="49" t="s">
        <v>1182</v>
      </c>
      <c r="AS284" s="59">
        <f>AM284+AN284</f>
        <v>0</v>
      </c>
      <c r="AT284" s="59">
        <f>G284/(100-AU284)*100</f>
        <v>0</v>
      </c>
      <c r="AU284" s="59">
        <v>0</v>
      </c>
      <c r="AV284" s="59">
        <f>L284</f>
        <v>7.087245</v>
      </c>
    </row>
    <row r="285" spans="4:6" ht="12.75">
      <c r="D285" s="28" t="s">
        <v>744</v>
      </c>
      <c r="F285" s="34">
        <v>16.5</v>
      </c>
    </row>
    <row r="286" spans="1:48" ht="12.75">
      <c r="A286" s="10" t="s">
        <v>100</v>
      </c>
      <c r="B286" s="10"/>
      <c r="C286" s="10" t="s">
        <v>337</v>
      </c>
      <c r="D286" s="10" t="s">
        <v>745</v>
      </c>
      <c r="E286" s="10" t="s">
        <v>1088</v>
      </c>
      <c r="F286" s="33">
        <v>1</v>
      </c>
      <c r="G286" s="33">
        <v>0</v>
      </c>
      <c r="H286" s="33">
        <f>F286*AE286</f>
        <v>0</v>
      </c>
      <c r="I286" s="33">
        <f>J286-H286</f>
        <v>0</v>
      </c>
      <c r="J286" s="33">
        <f>F286*G286</f>
        <v>0</v>
      </c>
      <c r="K286" s="33">
        <v>0.5</v>
      </c>
      <c r="L286" s="33">
        <f>F286*K286</f>
        <v>0.5</v>
      </c>
      <c r="M286" s="55" t="s">
        <v>1113</v>
      </c>
      <c r="P286" s="59">
        <f>IF(AG286="5",J286,0)</f>
        <v>0</v>
      </c>
      <c r="R286" s="59">
        <f>IF(AG286="1",H286,0)</f>
        <v>0</v>
      </c>
      <c r="S286" s="59">
        <f>IF(AG286="1",I286,0)</f>
        <v>0</v>
      </c>
      <c r="T286" s="59">
        <f>IF(AG286="7",H286,0)</f>
        <v>0</v>
      </c>
      <c r="U286" s="59">
        <f>IF(AG286="7",I286,0)</f>
        <v>0</v>
      </c>
      <c r="V286" s="59">
        <f>IF(AG286="2",H286,0)</f>
        <v>0</v>
      </c>
      <c r="W286" s="59">
        <f>IF(AG286="2",I286,0)</f>
        <v>0</v>
      </c>
      <c r="X286" s="59">
        <f>IF(AG286="0",J286,0)</f>
        <v>0</v>
      </c>
      <c r="Y286" s="49"/>
      <c r="Z286" s="33">
        <f>IF(AD286=0,J286,0)</f>
        <v>0</v>
      </c>
      <c r="AA286" s="33">
        <f>IF(AD286=15,J286,0)</f>
        <v>0</v>
      </c>
      <c r="AB286" s="33">
        <f>IF(AD286=21,J286,0)</f>
        <v>0</v>
      </c>
      <c r="AD286" s="59">
        <v>21</v>
      </c>
      <c r="AE286" s="59">
        <f>G286*0.616869437076334</f>
        <v>0</v>
      </c>
      <c r="AF286" s="59">
        <f>G286*(1-0.616869437076334)</f>
        <v>0</v>
      </c>
      <c r="AG286" s="55" t="s">
        <v>13</v>
      </c>
      <c r="AM286" s="59">
        <f>F286*AE286</f>
        <v>0</v>
      </c>
      <c r="AN286" s="59">
        <f>F286*AF286</f>
        <v>0</v>
      </c>
      <c r="AO286" s="60" t="s">
        <v>1141</v>
      </c>
      <c r="AP286" s="60" t="s">
        <v>1175</v>
      </c>
      <c r="AQ286" s="49" t="s">
        <v>1182</v>
      </c>
      <c r="AS286" s="59">
        <f>AM286+AN286</f>
        <v>0</v>
      </c>
      <c r="AT286" s="59">
        <f>G286/(100-AU286)*100</f>
        <v>0</v>
      </c>
      <c r="AU286" s="59">
        <v>0</v>
      </c>
      <c r="AV286" s="59">
        <f>L286</f>
        <v>0.5</v>
      </c>
    </row>
    <row r="287" spans="4:6" ht="12.75">
      <c r="D287" s="28" t="s">
        <v>746</v>
      </c>
      <c r="F287" s="34">
        <v>1</v>
      </c>
    </row>
    <row r="288" spans="1:48" ht="12.75">
      <c r="A288" s="10" t="s">
        <v>101</v>
      </c>
      <c r="B288" s="10"/>
      <c r="C288" s="10" t="s">
        <v>338</v>
      </c>
      <c r="D288" s="10" t="s">
        <v>747</v>
      </c>
      <c r="E288" s="10" t="s">
        <v>1088</v>
      </c>
      <c r="F288" s="33">
        <v>1</v>
      </c>
      <c r="G288" s="33">
        <v>0</v>
      </c>
      <c r="H288" s="33">
        <f>F288*AE288</f>
        <v>0</v>
      </c>
      <c r="I288" s="33">
        <f>J288-H288</f>
        <v>0</v>
      </c>
      <c r="J288" s="33">
        <f>F288*G288</f>
        <v>0</v>
      </c>
      <c r="K288" s="33">
        <v>0.7</v>
      </c>
      <c r="L288" s="33">
        <f>F288*K288</f>
        <v>0.7</v>
      </c>
      <c r="M288" s="55" t="s">
        <v>1113</v>
      </c>
      <c r="P288" s="59">
        <f>IF(AG288="5",J288,0)</f>
        <v>0</v>
      </c>
      <c r="R288" s="59">
        <f>IF(AG288="1",H288,0)</f>
        <v>0</v>
      </c>
      <c r="S288" s="59">
        <f>IF(AG288="1",I288,0)</f>
        <v>0</v>
      </c>
      <c r="T288" s="59">
        <f>IF(AG288="7",H288,0)</f>
        <v>0</v>
      </c>
      <c r="U288" s="59">
        <f>IF(AG288="7",I288,0)</f>
        <v>0</v>
      </c>
      <c r="V288" s="59">
        <f>IF(AG288="2",H288,0)</f>
        <v>0</v>
      </c>
      <c r="W288" s="59">
        <f>IF(AG288="2",I288,0)</f>
        <v>0</v>
      </c>
      <c r="X288" s="59">
        <f>IF(AG288="0",J288,0)</f>
        <v>0</v>
      </c>
      <c r="Y288" s="49"/>
      <c r="Z288" s="33">
        <f>IF(AD288=0,J288,0)</f>
        <v>0</v>
      </c>
      <c r="AA288" s="33">
        <f>IF(AD288=15,J288,0)</f>
        <v>0</v>
      </c>
      <c r="AB288" s="33">
        <f>IF(AD288=21,J288,0)</f>
        <v>0</v>
      </c>
      <c r="AD288" s="59">
        <v>21</v>
      </c>
      <c r="AE288" s="59">
        <f>G288*0.597571147024044</f>
        <v>0</v>
      </c>
      <c r="AF288" s="59">
        <f>G288*(1-0.597571147024044)</f>
        <v>0</v>
      </c>
      <c r="AG288" s="55" t="s">
        <v>13</v>
      </c>
      <c r="AM288" s="59">
        <f>F288*AE288</f>
        <v>0</v>
      </c>
      <c r="AN288" s="59">
        <f>F288*AF288</f>
        <v>0</v>
      </c>
      <c r="AO288" s="60" t="s">
        <v>1141</v>
      </c>
      <c r="AP288" s="60" t="s">
        <v>1175</v>
      </c>
      <c r="AQ288" s="49" t="s">
        <v>1182</v>
      </c>
      <c r="AS288" s="59">
        <f>AM288+AN288</f>
        <v>0</v>
      </c>
      <c r="AT288" s="59">
        <f>G288/(100-AU288)*100</f>
        <v>0</v>
      </c>
      <c r="AU288" s="59">
        <v>0</v>
      </c>
      <c r="AV288" s="59">
        <f>L288</f>
        <v>0.7</v>
      </c>
    </row>
    <row r="289" spans="4:6" ht="12.75">
      <c r="D289" s="28" t="s">
        <v>748</v>
      </c>
      <c r="F289" s="34">
        <v>1</v>
      </c>
    </row>
    <row r="290" spans="1:48" ht="12.75">
      <c r="A290" s="10" t="s">
        <v>102</v>
      </c>
      <c r="B290" s="10"/>
      <c r="C290" s="10" t="s">
        <v>339</v>
      </c>
      <c r="D290" s="10" t="s">
        <v>749</v>
      </c>
      <c r="E290" s="10" t="s">
        <v>1088</v>
      </c>
      <c r="F290" s="33">
        <v>6</v>
      </c>
      <c r="G290" s="33">
        <v>0</v>
      </c>
      <c r="H290" s="33">
        <f>F290*AE290</f>
        <v>0</v>
      </c>
      <c r="I290" s="33">
        <f>J290-H290</f>
        <v>0</v>
      </c>
      <c r="J290" s="33">
        <f>F290*G290</f>
        <v>0</v>
      </c>
      <c r="K290" s="33">
        <v>0</v>
      </c>
      <c r="L290" s="33">
        <f>F290*K290</f>
        <v>0</v>
      </c>
      <c r="M290" s="55" t="s">
        <v>1113</v>
      </c>
      <c r="P290" s="59">
        <f>IF(AG290="5",J290,0)</f>
        <v>0</v>
      </c>
      <c r="R290" s="59">
        <f>IF(AG290="1",H290,0)</f>
        <v>0</v>
      </c>
      <c r="S290" s="59">
        <f>IF(AG290="1",I290,0)</f>
        <v>0</v>
      </c>
      <c r="T290" s="59">
        <f>IF(AG290="7",H290,0)</f>
        <v>0</v>
      </c>
      <c r="U290" s="59">
        <f>IF(AG290="7",I290,0)</f>
        <v>0</v>
      </c>
      <c r="V290" s="59">
        <f>IF(AG290="2",H290,0)</f>
        <v>0</v>
      </c>
      <c r="W290" s="59">
        <f>IF(AG290="2",I290,0)</f>
        <v>0</v>
      </c>
      <c r="X290" s="59">
        <f>IF(AG290="0",J290,0)</f>
        <v>0</v>
      </c>
      <c r="Y290" s="49"/>
      <c r="Z290" s="33">
        <f>IF(AD290=0,J290,0)</f>
        <v>0</v>
      </c>
      <c r="AA290" s="33">
        <f>IF(AD290=15,J290,0)</f>
        <v>0</v>
      </c>
      <c r="AB290" s="33">
        <f>IF(AD290=21,J290,0)</f>
        <v>0</v>
      </c>
      <c r="AD290" s="59">
        <v>21</v>
      </c>
      <c r="AE290" s="59">
        <f>G290*0.957162317219934</f>
        <v>0</v>
      </c>
      <c r="AF290" s="59">
        <f>G290*(1-0.957162317219934)</f>
        <v>0</v>
      </c>
      <c r="AG290" s="55" t="s">
        <v>13</v>
      </c>
      <c r="AM290" s="59">
        <f>F290*AE290</f>
        <v>0</v>
      </c>
      <c r="AN290" s="59">
        <f>F290*AF290</f>
        <v>0</v>
      </c>
      <c r="AO290" s="60" t="s">
        <v>1141</v>
      </c>
      <c r="AP290" s="60" t="s">
        <v>1175</v>
      </c>
      <c r="AQ290" s="49" t="s">
        <v>1182</v>
      </c>
      <c r="AS290" s="59">
        <f>AM290+AN290</f>
        <v>0</v>
      </c>
      <c r="AT290" s="59">
        <f>G290/(100-AU290)*100</f>
        <v>0</v>
      </c>
      <c r="AU290" s="59">
        <v>0</v>
      </c>
      <c r="AV290" s="59">
        <f>L290</f>
        <v>0</v>
      </c>
    </row>
    <row r="291" spans="4:6" ht="12.75">
      <c r="D291" s="28" t="s">
        <v>750</v>
      </c>
      <c r="F291" s="34">
        <v>6</v>
      </c>
    </row>
    <row r="292" spans="1:48" ht="12.75">
      <c r="A292" s="10" t="s">
        <v>103</v>
      </c>
      <c r="B292" s="10"/>
      <c r="C292" s="10" t="s">
        <v>340</v>
      </c>
      <c r="D292" s="10" t="s">
        <v>751</v>
      </c>
      <c r="E292" s="10" t="s">
        <v>1089</v>
      </c>
      <c r="F292" s="33">
        <v>1</v>
      </c>
      <c r="G292" s="33">
        <v>0</v>
      </c>
      <c r="H292" s="33">
        <f>F292*AE292</f>
        <v>0</v>
      </c>
      <c r="I292" s="33">
        <f>J292-H292</f>
        <v>0</v>
      </c>
      <c r="J292" s="33">
        <f>F292*G292</f>
        <v>0</v>
      </c>
      <c r="K292" s="33">
        <v>0</v>
      </c>
      <c r="L292" s="33">
        <f>F292*K292</f>
        <v>0</v>
      </c>
      <c r="M292" s="55" t="s">
        <v>1117</v>
      </c>
      <c r="P292" s="59">
        <f>IF(AG292="5",J292,0)</f>
        <v>0</v>
      </c>
      <c r="R292" s="59">
        <f>IF(AG292="1",H292,0)</f>
        <v>0</v>
      </c>
      <c r="S292" s="59">
        <f>IF(AG292="1",I292,0)</f>
        <v>0</v>
      </c>
      <c r="T292" s="59">
        <f>IF(AG292="7",H292,0)</f>
        <v>0</v>
      </c>
      <c r="U292" s="59">
        <f>IF(AG292="7",I292,0)</f>
        <v>0</v>
      </c>
      <c r="V292" s="59">
        <f>IF(AG292="2",H292,0)</f>
        <v>0</v>
      </c>
      <c r="W292" s="59">
        <f>IF(AG292="2",I292,0)</f>
        <v>0</v>
      </c>
      <c r="X292" s="59">
        <f>IF(AG292="0",J292,0)</f>
        <v>0</v>
      </c>
      <c r="Y292" s="49"/>
      <c r="Z292" s="33">
        <f>IF(AD292=0,J292,0)</f>
        <v>0</v>
      </c>
      <c r="AA292" s="33">
        <f>IF(AD292=15,J292,0)</f>
        <v>0</v>
      </c>
      <c r="AB292" s="33">
        <f>IF(AD292=21,J292,0)</f>
        <v>0</v>
      </c>
      <c r="AD292" s="59">
        <v>21</v>
      </c>
      <c r="AE292" s="59">
        <f>G292*0</f>
        <v>0</v>
      </c>
      <c r="AF292" s="59">
        <f>G292*(1-0)</f>
        <v>0</v>
      </c>
      <c r="AG292" s="55" t="s">
        <v>13</v>
      </c>
      <c r="AM292" s="59">
        <f>F292*AE292</f>
        <v>0</v>
      </c>
      <c r="AN292" s="59">
        <f>F292*AF292</f>
        <v>0</v>
      </c>
      <c r="AO292" s="60" t="s">
        <v>1141</v>
      </c>
      <c r="AP292" s="60" t="s">
        <v>1175</v>
      </c>
      <c r="AQ292" s="49" t="s">
        <v>1182</v>
      </c>
      <c r="AS292" s="59">
        <f>AM292+AN292</f>
        <v>0</v>
      </c>
      <c r="AT292" s="59">
        <f>G292/(100-AU292)*100</f>
        <v>0</v>
      </c>
      <c r="AU292" s="59">
        <v>0</v>
      </c>
      <c r="AV292" s="59">
        <f>L292</f>
        <v>0</v>
      </c>
    </row>
    <row r="293" spans="4:6" ht="12.75">
      <c r="D293" s="28" t="s">
        <v>7</v>
      </c>
      <c r="F293" s="34">
        <v>1</v>
      </c>
    </row>
    <row r="294" spans="1:48" ht="12.75">
      <c r="A294" s="10" t="s">
        <v>104</v>
      </c>
      <c r="B294" s="10"/>
      <c r="C294" s="10" t="s">
        <v>341</v>
      </c>
      <c r="D294" s="10" t="s">
        <v>752</v>
      </c>
      <c r="E294" s="10" t="s">
        <v>1089</v>
      </c>
      <c r="F294" s="33">
        <v>1</v>
      </c>
      <c r="G294" s="33">
        <v>0</v>
      </c>
      <c r="H294" s="33">
        <f>F294*AE294</f>
        <v>0</v>
      </c>
      <c r="I294" s="33">
        <f>J294-H294</f>
        <v>0</v>
      </c>
      <c r="J294" s="33">
        <f>F294*G294</f>
        <v>0</v>
      </c>
      <c r="K294" s="33">
        <v>0</v>
      </c>
      <c r="L294" s="33">
        <f>F294*K294</f>
        <v>0</v>
      </c>
      <c r="M294" s="55" t="s">
        <v>1113</v>
      </c>
      <c r="P294" s="59">
        <f>IF(AG294="5",J294,0)</f>
        <v>0</v>
      </c>
      <c r="R294" s="59">
        <f>IF(AG294="1",H294,0)</f>
        <v>0</v>
      </c>
      <c r="S294" s="59">
        <f>IF(AG294="1",I294,0)</f>
        <v>0</v>
      </c>
      <c r="T294" s="59">
        <f>IF(AG294="7",H294,0)</f>
        <v>0</v>
      </c>
      <c r="U294" s="59">
        <f>IF(AG294="7",I294,0)</f>
        <v>0</v>
      </c>
      <c r="V294" s="59">
        <f>IF(AG294="2",H294,0)</f>
        <v>0</v>
      </c>
      <c r="W294" s="59">
        <f>IF(AG294="2",I294,0)</f>
        <v>0</v>
      </c>
      <c r="X294" s="59">
        <f>IF(AG294="0",J294,0)</f>
        <v>0</v>
      </c>
      <c r="Y294" s="49"/>
      <c r="Z294" s="33">
        <f>IF(AD294=0,J294,0)</f>
        <v>0</v>
      </c>
      <c r="AA294" s="33">
        <f>IF(AD294=15,J294,0)</f>
        <v>0</v>
      </c>
      <c r="AB294" s="33">
        <f>IF(AD294=21,J294,0)</f>
        <v>0</v>
      </c>
      <c r="AD294" s="59">
        <v>21</v>
      </c>
      <c r="AE294" s="59">
        <f>G294*0</f>
        <v>0</v>
      </c>
      <c r="AF294" s="59">
        <f>G294*(1-0)</f>
        <v>0</v>
      </c>
      <c r="AG294" s="55" t="s">
        <v>13</v>
      </c>
      <c r="AM294" s="59">
        <f>F294*AE294</f>
        <v>0</v>
      </c>
      <c r="AN294" s="59">
        <f>F294*AF294</f>
        <v>0</v>
      </c>
      <c r="AO294" s="60" t="s">
        <v>1141</v>
      </c>
      <c r="AP294" s="60" t="s">
        <v>1175</v>
      </c>
      <c r="AQ294" s="49" t="s">
        <v>1182</v>
      </c>
      <c r="AS294" s="59">
        <f>AM294+AN294</f>
        <v>0</v>
      </c>
      <c r="AT294" s="59">
        <f>G294/(100-AU294)*100</f>
        <v>0</v>
      </c>
      <c r="AU294" s="59">
        <v>0</v>
      </c>
      <c r="AV294" s="59">
        <f>L294</f>
        <v>0</v>
      </c>
    </row>
    <row r="295" spans="4:6" ht="12.75">
      <c r="D295" s="28" t="s">
        <v>7</v>
      </c>
      <c r="F295" s="34">
        <v>1</v>
      </c>
    </row>
    <row r="296" spans="1:48" ht="12.75">
      <c r="A296" s="10" t="s">
        <v>105</v>
      </c>
      <c r="B296" s="10"/>
      <c r="C296" s="10" t="s">
        <v>342</v>
      </c>
      <c r="D296" s="10" t="s">
        <v>753</v>
      </c>
      <c r="E296" s="10" t="s">
        <v>1084</v>
      </c>
      <c r="F296" s="33">
        <v>140</v>
      </c>
      <c r="G296" s="33">
        <v>0</v>
      </c>
      <c r="H296" s="33">
        <f>F296*AE296</f>
        <v>0</v>
      </c>
      <c r="I296" s="33">
        <f>J296-H296</f>
        <v>0</v>
      </c>
      <c r="J296" s="33">
        <f>F296*G296</f>
        <v>0</v>
      </c>
      <c r="K296" s="33">
        <v>0.00131</v>
      </c>
      <c r="L296" s="33">
        <f>F296*K296</f>
        <v>0.1834</v>
      </c>
      <c r="M296" s="55" t="s">
        <v>1113</v>
      </c>
      <c r="P296" s="59">
        <f>IF(AG296="5",J296,0)</f>
        <v>0</v>
      </c>
      <c r="R296" s="59">
        <f>IF(AG296="1",H296,0)</f>
        <v>0</v>
      </c>
      <c r="S296" s="59">
        <f>IF(AG296="1",I296,0)</f>
        <v>0</v>
      </c>
      <c r="T296" s="59">
        <f>IF(AG296="7",H296,0)</f>
        <v>0</v>
      </c>
      <c r="U296" s="59">
        <f>IF(AG296="7",I296,0)</f>
        <v>0</v>
      </c>
      <c r="V296" s="59">
        <f>IF(AG296="2",H296,0)</f>
        <v>0</v>
      </c>
      <c r="W296" s="59">
        <f>IF(AG296="2",I296,0)</f>
        <v>0</v>
      </c>
      <c r="X296" s="59">
        <f>IF(AG296="0",J296,0)</f>
        <v>0</v>
      </c>
      <c r="Y296" s="49"/>
      <c r="Z296" s="33">
        <f>IF(AD296=0,J296,0)</f>
        <v>0</v>
      </c>
      <c r="AA296" s="33">
        <f>IF(AD296=15,J296,0)</f>
        <v>0</v>
      </c>
      <c r="AB296" s="33">
        <f>IF(AD296=21,J296,0)</f>
        <v>0</v>
      </c>
      <c r="AD296" s="59">
        <v>21</v>
      </c>
      <c r="AE296" s="59">
        <f>G296*0.435452755905512</f>
        <v>0</v>
      </c>
      <c r="AF296" s="59">
        <f>G296*(1-0.435452755905512)</f>
        <v>0</v>
      </c>
      <c r="AG296" s="55" t="s">
        <v>13</v>
      </c>
      <c r="AM296" s="59">
        <f>F296*AE296</f>
        <v>0</v>
      </c>
      <c r="AN296" s="59">
        <f>F296*AF296</f>
        <v>0</v>
      </c>
      <c r="AO296" s="60" t="s">
        <v>1141</v>
      </c>
      <c r="AP296" s="60" t="s">
        <v>1175</v>
      </c>
      <c r="AQ296" s="49" t="s">
        <v>1182</v>
      </c>
      <c r="AS296" s="59">
        <f>AM296+AN296</f>
        <v>0</v>
      </c>
      <c r="AT296" s="59">
        <f>G296/(100-AU296)*100</f>
        <v>0</v>
      </c>
      <c r="AU296" s="59">
        <v>0</v>
      </c>
      <c r="AV296" s="59">
        <f>L296</f>
        <v>0.1834</v>
      </c>
    </row>
    <row r="297" spans="4:6" ht="12.75">
      <c r="D297" s="28" t="s">
        <v>754</v>
      </c>
      <c r="F297" s="34">
        <v>140</v>
      </c>
    </row>
    <row r="298" spans="1:48" ht="12.75">
      <c r="A298" s="10" t="s">
        <v>106</v>
      </c>
      <c r="B298" s="10"/>
      <c r="C298" s="10" t="s">
        <v>343</v>
      </c>
      <c r="D298" s="10" t="s">
        <v>755</v>
      </c>
      <c r="E298" s="10" t="s">
        <v>1088</v>
      </c>
      <c r="F298" s="33">
        <v>7</v>
      </c>
      <c r="G298" s="33">
        <v>0</v>
      </c>
      <c r="H298" s="33">
        <f>F298*AE298</f>
        <v>0</v>
      </c>
      <c r="I298" s="33">
        <f>J298-H298</f>
        <v>0</v>
      </c>
      <c r="J298" s="33">
        <f>F298*G298</f>
        <v>0</v>
      </c>
      <c r="K298" s="33">
        <v>0.00027</v>
      </c>
      <c r="L298" s="33">
        <f>F298*K298</f>
        <v>0.00189</v>
      </c>
      <c r="M298" s="55" t="s">
        <v>1113</v>
      </c>
      <c r="P298" s="59">
        <f>IF(AG298="5",J298,0)</f>
        <v>0</v>
      </c>
      <c r="R298" s="59">
        <f>IF(AG298="1",H298,0)</f>
        <v>0</v>
      </c>
      <c r="S298" s="59">
        <f>IF(AG298="1",I298,0)</f>
        <v>0</v>
      </c>
      <c r="T298" s="59">
        <f>IF(AG298="7",H298,0)</f>
        <v>0</v>
      </c>
      <c r="U298" s="59">
        <f>IF(AG298="7",I298,0)</f>
        <v>0</v>
      </c>
      <c r="V298" s="59">
        <f>IF(AG298="2",H298,0)</f>
        <v>0</v>
      </c>
      <c r="W298" s="59">
        <f>IF(AG298="2",I298,0)</f>
        <v>0</v>
      </c>
      <c r="X298" s="59">
        <f>IF(AG298="0",J298,0)</f>
        <v>0</v>
      </c>
      <c r="Y298" s="49"/>
      <c r="Z298" s="33">
        <f>IF(AD298=0,J298,0)</f>
        <v>0</v>
      </c>
      <c r="AA298" s="33">
        <f>IF(AD298=15,J298,0)</f>
        <v>0</v>
      </c>
      <c r="AB298" s="33">
        <f>IF(AD298=21,J298,0)</f>
        <v>0</v>
      </c>
      <c r="AD298" s="59">
        <v>21</v>
      </c>
      <c r="AE298" s="59">
        <f>G298*0.800060036397066</f>
        <v>0</v>
      </c>
      <c r="AF298" s="59">
        <f>G298*(1-0.800060036397066)</f>
        <v>0</v>
      </c>
      <c r="AG298" s="55" t="s">
        <v>13</v>
      </c>
      <c r="AM298" s="59">
        <f>F298*AE298</f>
        <v>0</v>
      </c>
      <c r="AN298" s="59">
        <f>F298*AF298</f>
        <v>0</v>
      </c>
      <c r="AO298" s="60" t="s">
        <v>1141</v>
      </c>
      <c r="AP298" s="60" t="s">
        <v>1175</v>
      </c>
      <c r="AQ298" s="49" t="s">
        <v>1182</v>
      </c>
      <c r="AS298" s="59">
        <f>AM298+AN298</f>
        <v>0</v>
      </c>
      <c r="AT298" s="59">
        <f>G298/(100-AU298)*100</f>
        <v>0</v>
      </c>
      <c r="AU298" s="59">
        <v>0</v>
      </c>
      <c r="AV298" s="59">
        <f>L298</f>
        <v>0.00189</v>
      </c>
    </row>
    <row r="299" spans="4:6" ht="12.75">
      <c r="D299" s="28" t="s">
        <v>13</v>
      </c>
      <c r="F299" s="34">
        <v>7</v>
      </c>
    </row>
    <row r="300" spans="1:48" ht="12.75">
      <c r="A300" s="12" t="s">
        <v>107</v>
      </c>
      <c r="B300" s="12"/>
      <c r="C300" s="12" t="s">
        <v>344</v>
      </c>
      <c r="D300" s="12" t="s">
        <v>756</v>
      </c>
      <c r="E300" s="12" t="s">
        <v>1088</v>
      </c>
      <c r="F300" s="35">
        <v>1</v>
      </c>
      <c r="G300" s="35">
        <v>0</v>
      </c>
      <c r="H300" s="35">
        <f>F300*AE300</f>
        <v>0</v>
      </c>
      <c r="I300" s="35">
        <f>J300-H300</f>
        <v>0</v>
      </c>
      <c r="J300" s="35">
        <f>F300*G300</f>
        <v>0</v>
      </c>
      <c r="K300" s="35">
        <v>0.09672</v>
      </c>
      <c r="L300" s="35">
        <f>F300*K300</f>
        <v>0.09672</v>
      </c>
      <c r="M300" s="56" t="s">
        <v>1115</v>
      </c>
      <c r="P300" s="59">
        <f>IF(AG300="5",J300,0)</f>
        <v>0</v>
      </c>
      <c r="R300" s="59">
        <f>IF(AG300="1",H300,0)</f>
        <v>0</v>
      </c>
      <c r="S300" s="59">
        <f>IF(AG300="1",I300,0)</f>
        <v>0</v>
      </c>
      <c r="T300" s="59">
        <f>IF(AG300="7",H300,0)</f>
        <v>0</v>
      </c>
      <c r="U300" s="59">
        <f>IF(AG300="7",I300,0)</f>
        <v>0</v>
      </c>
      <c r="V300" s="59">
        <f>IF(AG300="2",H300,0)</f>
        <v>0</v>
      </c>
      <c r="W300" s="59">
        <f>IF(AG300="2",I300,0)</f>
        <v>0</v>
      </c>
      <c r="X300" s="59">
        <f>IF(AG300="0",J300,0)</f>
        <v>0</v>
      </c>
      <c r="Y300" s="49"/>
      <c r="Z300" s="35">
        <f>IF(AD300=0,J300,0)</f>
        <v>0</v>
      </c>
      <c r="AA300" s="35">
        <f>IF(AD300=15,J300,0)</f>
        <v>0</v>
      </c>
      <c r="AB300" s="35">
        <f>IF(AD300=21,J300,0)</f>
        <v>0</v>
      </c>
      <c r="AD300" s="59">
        <v>21</v>
      </c>
      <c r="AE300" s="59">
        <f>G300*1</f>
        <v>0</v>
      </c>
      <c r="AF300" s="59">
        <f>G300*(1-1)</f>
        <v>0</v>
      </c>
      <c r="AG300" s="56" t="s">
        <v>13</v>
      </c>
      <c r="AM300" s="59">
        <f>F300*AE300</f>
        <v>0</v>
      </c>
      <c r="AN300" s="59">
        <f>F300*AF300</f>
        <v>0</v>
      </c>
      <c r="AO300" s="60" t="s">
        <v>1141</v>
      </c>
      <c r="AP300" s="60" t="s">
        <v>1175</v>
      </c>
      <c r="AQ300" s="49" t="s">
        <v>1182</v>
      </c>
      <c r="AS300" s="59">
        <f>AM300+AN300</f>
        <v>0</v>
      </c>
      <c r="AT300" s="59">
        <f>G300/(100-AU300)*100</f>
        <v>0</v>
      </c>
      <c r="AU300" s="59">
        <v>0</v>
      </c>
      <c r="AV300" s="59">
        <f>L300</f>
        <v>0.09672</v>
      </c>
    </row>
    <row r="301" spans="4:6" ht="12.75">
      <c r="D301" s="28" t="s">
        <v>757</v>
      </c>
      <c r="F301" s="34">
        <v>1</v>
      </c>
    </row>
    <row r="302" spans="1:48" ht="12.75">
      <c r="A302" s="10" t="s">
        <v>108</v>
      </c>
      <c r="B302" s="10"/>
      <c r="C302" s="10" t="s">
        <v>345</v>
      </c>
      <c r="D302" s="10" t="s">
        <v>758</v>
      </c>
      <c r="E302" s="10" t="s">
        <v>1085</v>
      </c>
      <c r="F302" s="33">
        <v>9.965</v>
      </c>
      <c r="G302" s="33">
        <v>0</v>
      </c>
      <c r="H302" s="33">
        <f>F302*AE302</f>
        <v>0</v>
      </c>
      <c r="I302" s="33">
        <f>J302-H302</f>
        <v>0</v>
      </c>
      <c r="J302" s="33">
        <f>F302*G302</f>
        <v>0</v>
      </c>
      <c r="K302" s="33">
        <v>0</v>
      </c>
      <c r="L302" s="33">
        <f>F302*K302</f>
        <v>0</v>
      </c>
      <c r="M302" s="55" t="s">
        <v>1113</v>
      </c>
      <c r="P302" s="59">
        <f>IF(AG302="5",J302,0)</f>
        <v>0</v>
      </c>
      <c r="R302" s="59">
        <f>IF(AG302="1",H302,0)</f>
        <v>0</v>
      </c>
      <c r="S302" s="59">
        <f>IF(AG302="1",I302,0)</f>
        <v>0</v>
      </c>
      <c r="T302" s="59">
        <f>IF(AG302="7",H302,0)</f>
        <v>0</v>
      </c>
      <c r="U302" s="59">
        <f>IF(AG302="7",I302,0)</f>
        <v>0</v>
      </c>
      <c r="V302" s="59">
        <f>IF(AG302="2",H302,0)</f>
        <v>0</v>
      </c>
      <c r="W302" s="59">
        <f>IF(AG302="2",I302,0)</f>
        <v>0</v>
      </c>
      <c r="X302" s="59">
        <f>IF(AG302="0",J302,0)</f>
        <v>0</v>
      </c>
      <c r="Y302" s="49"/>
      <c r="Z302" s="33">
        <f>IF(AD302=0,J302,0)</f>
        <v>0</v>
      </c>
      <c r="AA302" s="33">
        <f>IF(AD302=15,J302,0)</f>
        <v>0</v>
      </c>
      <c r="AB302" s="33">
        <f>IF(AD302=21,J302,0)</f>
        <v>0</v>
      </c>
      <c r="AD302" s="59">
        <v>21</v>
      </c>
      <c r="AE302" s="59">
        <f>G302*0</f>
        <v>0</v>
      </c>
      <c r="AF302" s="59">
        <f>G302*(1-0)</f>
        <v>0</v>
      </c>
      <c r="AG302" s="55" t="s">
        <v>11</v>
      </c>
      <c r="AM302" s="59">
        <f>F302*AE302</f>
        <v>0</v>
      </c>
      <c r="AN302" s="59">
        <f>F302*AF302</f>
        <v>0</v>
      </c>
      <c r="AO302" s="60" t="s">
        <v>1141</v>
      </c>
      <c r="AP302" s="60" t="s">
        <v>1175</v>
      </c>
      <c r="AQ302" s="49" t="s">
        <v>1182</v>
      </c>
      <c r="AS302" s="59">
        <f>AM302+AN302</f>
        <v>0</v>
      </c>
      <c r="AT302" s="59">
        <f>G302/(100-AU302)*100</f>
        <v>0</v>
      </c>
      <c r="AU302" s="59">
        <v>0</v>
      </c>
      <c r="AV302" s="59">
        <f>L302</f>
        <v>0</v>
      </c>
    </row>
    <row r="303" spans="4:6" ht="12.75">
      <c r="D303" s="28" t="s">
        <v>759</v>
      </c>
      <c r="F303" s="34">
        <v>9.965</v>
      </c>
    </row>
    <row r="304" spans="1:37" ht="12.75">
      <c r="A304" s="11"/>
      <c r="B304" s="24"/>
      <c r="C304" s="24" t="s">
        <v>346</v>
      </c>
      <c r="D304" s="24" t="s">
        <v>760</v>
      </c>
      <c r="E304" s="11" t="s">
        <v>6</v>
      </c>
      <c r="F304" s="11" t="s">
        <v>6</v>
      </c>
      <c r="G304" s="11" t="s">
        <v>6</v>
      </c>
      <c r="H304" s="62">
        <f>SUM(H305:H335)</f>
        <v>0</v>
      </c>
      <c r="I304" s="62">
        <f>SUM(I305:I335)</f>
        <v>0</v>
      </c>
      <c r="J304" s="62">
        <f>H304+I304</f>
        <v>0</v>
      </c>
      <c r="K304" s="49"/>
      <c r="L304" s="62">
        <f>SUM(L305:L335)</f>
        <v>2.3356553</v>
      </c>
      <c r="M304" s="49"/>
      <c r="Y304" s="49"/>
      <c r="AI304" s="62">
        <f>SUM(Z305:Z335)</f>
        <v>0</v>
      </c>
      <c r="AJ304" s="62">
        <f>SUM(AA305:AA335)</f>
        <v>0</v>
      </c>
      <c r="AK304" s="62">
        <f>SUM(AB305:AB335)</f>
        <v>0</v>
      </c>
    </row>
    <row r="305" spans="1:48" ht="12.75">
      <c r="A305" s="10" t="s">
        <v>109</v>
      </c>
      <c r="B305" s="10"/>
      <c r="C305" s="10" t="s">
        <v>347</v>
      </c>
      <c r="D305" s="10" t="s">
        <v>761</v>
      </c>
      <c r="E305" s="10" t="s">
        <v>1084</v>
      </c>
      <c r="F305" s="33">
        <v>58.81</v>
      </c>
      <c r="G305" s="33">
        <v>0</v>
      </c>
      <c r="H305" s="33">
        <f>F305*AE305</f>
        <v>0</v>
      </c>
      <c r="I305" s="33">
        <f>J305-H305</f>
        <v>0</v>
      </c>
      <c r="J305" s="33">
        <f>F305*G305</f>
        <v>0</v>
      </c>
      <c r="K305" s="33">
        <v>0.00541</v>
      </c>
      <c r="L305" s="33">
        <f>F305*K305</f>
        <v>0.3181621</v>
      </c>
      <c r="M305" s="55" t="s">
        <v>1113</v>
      </c>
      <c r="P305" s="59">
        <f>IF(AG305="5",J305,0)</f>
        <v>0</v>
      </c>
      <c r="R305" s="59">
        <f>IF(AG305="1",H305,0)</f>
        <v>0</v>
      </c>
      <c r="S305" s="59">
        <f>IF(AG305="1",I305,0)</f>
        <v>0</v>
      </c>
      <c r="T305" s="59">
        <f>IF(AG305="7",H305,0)</f>
        <v>0</v>
      </c>
      <c r="U305" s="59">
        <f>IF(AG305="7",I305,0)</f>
        <v>0</v>
      </c>
      <c r="V305" s="59">
        <f>IF(AG305="2",H305,0)</f>
        <v>0</v>
      </c>
      <c r="W305" s="59">
        <f>IF(AG305="2",I305,0)</f>
        <v>0</v>
      </c>
      <c r="X305" s="59">
        <f>IF(AG305="0",J305,0)</f>
        <v>0</v>
      </c>
      <c r="Y305" s="49"/>
      <c r="Z305" s="33">
        <f>IF(AD305=0,J305,0)</f>
        <v>0</v>
      </c>
      <c r="AA305" s="33">
        <f>IF(AD305=15,J305,0)</f>
        <v>0</v>
      </c>
      <c r="AB305" s="33">
        <f>IF(AD305=21,J305,0)</f>
        <v>0</v>
      </c>
      <c r="AD305" s="59">
        <v>21</v>
      </c>
      <c r="AE305" s="59">
        <f>G305*0.353549176629977</f>
        <v>0</v>
      </c>
      <c r="AF305" s="59">
        <f>G305*(1-0.353549176629977)</f>
        <v>0</v>
      </c>
      <c r="AG305" s="55" t="s">
        <v>13</v>
      </c>
      <c r="AM305" s="59">
        <f>F305*AE305</f>
        <v>0</v>
      </c>
      <c r="AN305" s="59">
        <f>F305*AF305</f>
        <v>0</v>
      </c>
      <c r="AO305" s="60" t="s">
        <v>1142</v>
      </c>
      <c r="AP305" s="60" t="s">
        <v>1175</v>
      </c>
      <c r="AQ305" s="49" t="s">
        <v>1182</v>
      </c>
      <c r="AS305" s="59">
        <f>AM305+AN305</f>
        <v>0</v>
      </c>
      <c r="AT305" s="59">
        <f>G305/(100-AU305)*100</f>
        <v>0</v>
      </c>
      <c r="AU305" s="59">
        <v>0</v>
      </c>
      <c r="AV305" s="59">
        <f>L305</f>
        <v>0.3181621</v>
      </c>
    </row>
    <row r="306" spans="4:6" ht="12.75">
      <c r="D306" s="28" t="s">
        <v>762</v>
      </c>
      <c r="F306" s="34">
        <v>52.81</v>
      </c>
    </row>
    <row r="307" spans="4:6" ht="12.75">
      <c r="D307" s="28" t="s">
        <v>12</v>
      </c>
      <c r="F307" s="34">
        <v>6</v>
      </c>
    </row>
    <row r="308" spans="1:48" ht="12.75">
      <c r="A308" s="10" t="s">
        <v>110</v>
      </c>
      <c r="B308" s="10"/>
      <c r="C308" s="10" t="s">
        <v>348</v>
      </c>
      <c r="D308" s="10" t="s">
        <v>763</v>
      </c>
      <c r="E308" s="10" t="s">
        <v>1084</v>
      </c>
      <c r="F308" s="33">
        <v>73.13</v>
      </c>
      <c r="G308" s="33">
        <v>0</v>
      </c>
      <c r="H308" s="33">
        <f>F308*AE308</f>
        <v>0</v>
      </c>
      <c r="I308" s="33">
        <f>J308-H308</f>
        <v>0</v>
      </c>
      <c r="J308" s="33">
        <f>F308*G308</f>
        <v>0</v>
      </c>
      <c r="K308" s="33">
        <v>0.00522</v>
      </c>
      <c r="L308" s="33">
        <f>F308*K308</f>
        <v>0.3817386</v>
      </c>
      <c r="M308" s="55" t="s">
        <v>1113</v>
      </c>
      <c r="P308" s="59">
        <f>IF(AG308="5",J308,0)</f>
        <v>0</v>
      </c>
      <c r="R308" s="59">
        <f>IF(AG308="1",H308,0)</f>
        <v>0</v>
      </c>
      <c r="S308" s="59">
        <f>IF(AG308="1",I308,0)</f>
        <v>0</v>
      </c>
      <c r="T308" s="59">
        <f>IF(AG308="7",H308,0)</f>
        <v>0</v>
      </c>
      <c r="U308" s="59">
        <f>IF(AG308="7",I308,0)</f>
        <v>0</v>
      </c>
      <c r="V308" s="59">
        <f>IF(AG308="2",H308,0)</f>
        <v>0</v>
      </c>
      <c r="W308" s="59">
        <f>IF(AG308="2",I308,0)</f>
        <v>0</v>
      </c>
      <c r="X308" s="59">
        <f>IF(AG308="0",J308,0)</f>
        <v>0</v>
      </c>
      <c r="Y308" s="49"/>
      <c r="Z308" s="33">
        <f>IF(AD308=0,J308,0)</f>
        <v>0</v>
      </c>
      <c r="AA308" s="33">
        <f>IF(AD308=15,J308,0)</f>
        <v>0</v>
      </c>
      <c r="AB308" s="33">
        <f>IF(AD308=21,J308,0)</f>
        <v>0</v>
      </c>
      <c r="AD308" s="59">
        <v>21</v>
      </c>
      <c r="AE308" s="59">
        <f>G308*0.2744024234305</f>
        <v>0</v>
      </c>
      <c r="AF308" s="59">
        <f>G308*(1-0.2744024234305)</f>
        <v>0</v>
      </c>
      <c r="AG308" s="55" t="s">
        <v>13</v>
      </c>
      <c r="AM308" s="59">
        <f>F308*AE308</f>
        <v>0</v>
      </c>
      <c r="AN308" s="59">
        <f>F308*AF308</f>
        <v>0</v>
      </c>
      <c r="AO308" s="60" t="s">
        <v>1142</v>
      </c>
      <c r="AP308" s="60" t="s">
        <v>1175</v>
      </c>
      <c r="AQ308" s="49" t="s">
        <v>1182</v>
      </c>
      <c r="AS308" s="59">
        <f>AM308+AN308</f>
        <v>0</v>
      </c>
      <c r="AT308" s="59">
        <f>G308/(100-AU308)*100</f>
        <v>0</v>
      </c>
      <c r="AU308" s="59">
        <v>0</v>
      </c>
      <c r="AV308" s="59">
        <f>L308</f>
        <v>0.3817386</v>
      </c>
    </row>
    <row r="309" spans="4:6" ht="12.75">
      <c r="D309" s="28" t="s">
        <v>764</v>
      </c>
      <c r="F309" s="34">
        <v>27.99</v>
      </c>
    </row>
    <row r="310" spans="4:6" ht="12.75">
      <c r="D310" s="28" t="s">
        <v>765</v>
      </c>
      <c r="F310" s="34">
        <v>45.14</v>
      </c>
    </row>
    <row r="311" spans="1:48" ht="12.75">
      <c r="A311" s="10" t="s">
        <v>111</v>
      </c>
      <c r="B311" s="10"/>
      <c r="C311" s="10" t="s">
        <v>349</v>
      </c>
      <c r="D311" s="10" t="s">
        <v>766</v>
      </c>
      <c r="E311" s="10" t="s">
        <v>1084</v>
      </c>
      <c r="F311" s="33">
        <v>85.53</v>
      </c>
      <c r="G311" s="33">
        <v>0</v>
      </c>
      <c r="H311" s="33">
        <f>F311*AE311</f>
        <v>0</v>
      </c>
      <c r="I311" s="33">
        <f>J311-H311</f>
        <v>0</v>
      </c>
      <c r="J311" s="33">
        <f>F311*G311</f>
        <v>0</v>
      </c>
      <c r="K311" s="33">
        <v>0.00518</v>
      </c>
      <c r="L311" s="33">
        <f>F311*K311</f>
        <v>0.4430454</v>
      </c>
      <c r="M311" s="55" t="s">
        <v>1113</v>
      </c>
      <c r="P311" s="59">
        <f>IF(AG311="5",J311,0)</f>
        <v>0</v>
      </c>
      <c r="R311" s="59">
        <f>IF(AG311="1",H311,0)</f>
        <v>0</v>
      </c>
      <c r="S311" s="59">
        <f>IF(AG311="1",I311,0)</f>
        <v>0</v>
      </c>
      <c r="T311" s="59">
        <f>IF(AG311="7",H311,0)</f>
        <v>0</v>
      </c>
      <c r="U311" s="59">
        <f>IF(AG311="7",I311,0)</f>
        <v>0</v>
      </c>
      <c r="V311" s="59">
        <f>IF(AG311="2",H311,0)</f>
        <v>0</v>
      </c>
      <c r="W311" s="59">
        <f>IF(AG311="2",I311,0)</f>
        <v>0</v>
      </c>
      <c r="X311" s="59">
        <f>IF(AG311="0",J311,0)</f>
        <v>0</v>
      </c>
      <c r="Y311" s="49"/>
      <c r="Z311" s="33">
        <f>IF(AD311=0,J311,0)</f>
        <v>0</v>
      </c>
      <c r="AA311" s="33">
        <f>IF(AD311=15,J311,0)</f>
        <v>0</v>
      </c>
      <c r="AB311" s="33">
        <f>IF(AD311=21,J311,0)</f>
        <v>0</v>
      </c>
      <c r="AD311" s="59">
        <v>21</v>
      </c>
      <c r="AE311" s="59">
        <f>G311*0.258333609480667</f>
        <v>0</v>
      </c>
      <c r="AF311" s="59">
        <f>G311*(1-0.258333609480667)</f>
        <v>0</v>
      </c>
      <c r="AG311" s="55" t="s">
        <v>13</v>
      </c>
      <c r="AM311" s="59">
        <f>F311*AE311</f>
        <v>0</v>
      </c>
      <c r="AN311" s="59">
        <f>F311*AF311</f>
        <v>0</v>
      </c>
      <c r="AO311" s="60" t="s">
        <v>1142</v>
      </c>
      <c r="AP311" s="60" t="s">
        <v>1175</v>
      </c>
      <c r="AQ311" s="49" t="s">
        <v>1182</v>
      </c>
      <c r="AS311" s="59">
        <f>AM311+AN311</f>
        <v>0</v>
      </c>
      <c r="AT311" s="59">
        <f>G311/(100-AU311)*100</f>
        <v>0</v>
      </c>
      <c r="AU311" s="59">
        <v>0</v>
      </c>
      <c r="AV311" s="59">
        <f>L311</f>
        <v>0.4430454</v>
      </c>
    </row>
    <row r="312" spans="4:6" ht="12.75">
      <c r="D312" s="28" t="s">
        <v>767</v>
      </c>
      <c r="F312" s="34">
        <v>73.13</v>
      </c>
    </row>
    <row r="313" spans="4:6" ht="12.75">
      <c r="D313" s="28" t="s">
        <v>768</v>
      </c>
      <c r="F313" s="34">
        <v>12.4</v>
      </c>
    </row>
    <row r="314" spans="1:48" ht="12.75">
      <c r="A314" s="10" t="s">
        <v>112</v>
      </c>
      <c r="B314" s="10"/>
      <c r="C314" s="10" t="s">
        <v>350</v>
      </c>
      <c r="D314" s="10" t="s">
        <v>769</v>
      </c>
      <c r="E314" s="10" t="s">
        <v>1084</v>
      </c>
      <c r="F314" s="33">
        <v>58.81</v>
      </c>
      <c r="G314" s="33">
        <v>0</v>
      </c>
      <c r="H314" s="33">
        <f>F314*AE314</f>
        <v>0</v>
      </c>
      <c r="I314" s="33">
        <f>J314-H314</f>
        <v>0</v>
      </c>
      <c r="J314" s="33">
        <f>F314*G314</f>
        <v>0</v>
      </c>
      <c r="K314" s="33">
        <v>0.00535</v>
      </c>
      <c r="L314" s="33">
        <f>F314*K314</f>
        <v>0.3146335</v>
      </c>
      <c r="M314" s="55" t="s">
        <v>1113</v>
      </c>
      <c r="P314" s="59">
        <f>IF(AG314="5",J314,0)</f>
        <v>0</v>
      </c>
      <c r="R314" s="59">
        <f>IF(AG314="1",H314,0)</f>
        <v>0</v>
      </c>
      <c r="S314" s="59">
        <f>IF(AG314="1",I314,0)</f>
        <v>0</v>
      </c>
      <c r="T314" s="59">
        <f>IF(AG314="7",H314,0)</f>
        <v>0</v>
      </c>
      <c r="U314" s="59">
        <f>IF(AG314="7",I314,0)</f>
        <v>0</v>
      </c>
      <c r="V314" s="59">
        <f>IF(AG314="2",H314,0)</f>
        <v>0</v>
      </c>
      <c r="W314" s="59">
        <f>IF(AG314="2",I314,0)</f>
        <v>0</v>
      </c>
      <c r="X314" s="59">
        <f>IF(AG314="0",J314,0)</f>
        <v>0</v>
      </c>
      <c r="Y314" s="49"/>
      <c r="Z314" s="33">
        <f>IF(AD314=0,J314,0)</f>
        <v>0</v>
      </c>
      <c r="AA314" s="33">
        <f>IF(AD314=15,J314,0)</f>
        <v>0</v>
      </c>
      <c r="AB314" s="33">
        <f>IF(AD314=21,J314,0)</f>
        <v>0</v>
      </c>
      <c r="AD314" s="59">
        <v>21</v>
      </c>
      <c r="AE314" s="59">
        <f>G314*0.337454969044893</f>
        <v>0</v>
      </c>
      <c r="AF314" s="59">
        <f>G314*(1-0.337454969044893)</f>
        <v>0</v>
      </c>
      <c r="AG314" s="55" t="s">
        <v>13</v>
      </c>
      <c r="AM314" s="59">
        <f>F314*AE314</f>
        <v>0</v>
      </c>
      <c r="AN314" s="59">
        <f>F314*AF314</f>
        <v>0</v>
      </c>
      <c r="AO314" s="60" t="s">
        <v>1142</v>
      </c>
      <c r="AP314" s="60" t="s">
        <v>1175</v>
      </c>
      <c r="AQ314" s="49" t="s">
        <v>1182</v>
      </c>
      <c r="AS314" s="59">
        <f>AM314+AN314</f>
        <v>0</v>
      </c>
      <c r="AT314" s="59">
        <f>G314/(100-AU314)*100</f>
        <v>0</v>
      </c>
      <c r="AU314" s="59">
        <v>0</v>
      </c>
      <c r="AV314" s="59">
        <f>L314</f>
        <v>0.3146335</v>
      </c>
    </row>
    <row r="315" spans="4:6" ht="12.75">
      <c r="D315" s="28" t="s">
        <v>770</v>
      </c>
      <c r="F315" s="34">
        <v>58.81</v>
      </c>
    </row>
    <row r="316" spans="1:48" ht="12.75">
      <c r="A316" s="10" t="s">
        <v>113</v>
      </c>
      <c r="B316" s="10"/>
      <c r="C316" s="10" t="s">
        <v>349</v>
      </c>
      <c r="D316" s="10" t="s">
        <v>771</v>
      </c>
      <c r="E316" s="10" t="s">
        <v>1084</v>
      </c>
      <c r="F316" s="33">
        <v>27.99</v>
      </c>
      <c r="G316" s="33">
        <v>0</v>
      </c>
      <c r="H316" s="33">
        <f>F316*AE316</f>
        <v>0</v>
      </c>
      <c r="I316" s="33">
        <f>J316-H316</f>
        <v>0</v>
      </c>
      <c r="J316" s="33">
        <f>F316*G316</f>
        <v>0</v>
      </c>
      <c r="K316" s="33">
        <v>0.00518</v>
      </c>
      <c r="L316" s="33">
        <f>F316*K316</f>
        <v>0.14498819999999998</v>
      </c>
      <c r="M316" s="55" t="s">
        <v>1113</v>
      </c>
      <c r="P316" s="59">
        <f>IF(AG316="5",J316,0)</f>
        <v>0</v>
      </c>
      <c r="R316" s="59">
        <f>IF(AG316="1",H316,0)</f>
        <v>0</v>
      </c>
      <c r="S316" s="59">
        <f>IF(AG316="1",I316,0)</f>
        <v>0</v>
      </c>
      <c r="T316" s="59">
        <f>IF(AG316="7",H316,0)</f>
        <v>0</v>
      </c>
      <c r="U316" s="59">
        <f>IF(AG316="7",I316,0)</f>
        <v>0</v>
      </c>
      <c r="V316" s="59">
        <f>IF(AG316="2",H316,0)</f>
        <v>0</v>
      </c>
      <c r="W316" s="59">
        <f>IF(AG316="2",I316,0)</f>
        <v>0</v>
      </c>
      <c r="X316" s="59">
        <f>IF(AG316="0",J316,0)</f>
        <v>0</v>
      </c>
      <c r="Y316" s="49"/>
      <c r="Z316" s="33">
        <f>IF(AD316=0,J316,0)</f>
        <v>0</v>
      </c>
      <c r="AA316" s="33">
        <f>IF(AD316=15,J316,0)</f>
        <v>0</v>
      </c>
      <c r="AB316" s="33">
        <f>IF(AD316=21,J316,0)</f>
        <v>0</v>
      </c>
      <c r="AD316" s="59">
        <v>21</v>
      </c>
      <c r="AE316" s="59">
        <f>G316*0.258333461005369</f>
        <v>0</v>
      </c>
      <c r="AF316" s="59">
        <f>G316*(1-0.258333461005369)</f>
        <v>0</v>
      </c>
      <c r="AG316" s="55" t="s">
        <v>13</v>
      </c>
      <c r="AM316" s="59">
        <f>F316*AE316</f>
        <v>0</v>
      </c>
      <c r="AN316" s="59">
        <f>F316*AF316</f>
        <v>0</v>
      </c>
      <c r="AO316" s="60" t="s">
        <v>1142</v>
      </c>
      <c r="AP316" s="60" t="s">
        <v>1175</v>
      </c>
      <c r="AQ316" s="49" t="s">
        <v>1182</v>
      </c>
      <c r="AS316" s="59">
        <f>AM316+AN316</f>
        <v>0</v>
      </c>
      <c r="AT316" s="59">
        <f>G316/(100-AU316)*100</f>
        <v>0</v>
      </c>
      <c r="AU316" s="59">
        <v>0</v>
      </c>
      <c r="AV316" s="59">
        <f>L316</f>
        <v>0.14498819999999998</v>
      </c>
    </row>
    <row r="317" spans="4:6" ht="12.75">
      <c r="D317" s="28" t="s">
        <v>764</v>
      </c>
      <c r="F317" s="34">
        <v>27.99</v>
      </c>
    </row>
    <row r="318" spans="1:48" ht="12.75">
      <c r="A318" s="10" t="s">
        <v>114</v>
      </c>
      <c r="B318" s="10"/>
      <c r="C318" s="10" t="s">
        <v>350</v>
      </c>
      <c r="D318" s="10" t="s">
        <v>772</v>
      </c>
      <c r="E318" s="10" t="s">
        <v>1084</v>
      </c>
      <c r="F318" s="33">
        <v>58.81</v>
      </c>
      <c r="G318" s="33">
        <v>0</v>
      </c>
      <c r="H318" s="33">
        <f>F318*AE318</f>
        <v>0</v>
      </c>
      <c r="I318" s="33">
        <f>J318-H318</f>
        <v>0</v>
      </c>
      <c r="J318" s="33">
        <f>F318*G318</f>
        <v>0</v>
      </c>
      <c r="K318" s="33">
        <v>0.00535</v>
      </c>
      <c r="L318" s="33">
        <f>F318*K318</f>
        <v>0.3146335</v>
      </c>
      <c r="M318" s="55" t="s">
        <v>1113</v>
      </c>
      <c r="P318" s="59">
        <f>IF(AG318="5",J318,0)</f>
        <v>0</v>
      </c>
      <c r="R318" s="59">
        <f>IF(AG318="1",H318,0)</f>
        <v>0</v>
      </c>
      <c r="S318" s="59">
        <f>IF(AG318="1",I318,0)</f>
        <v>0</v>
      </c>
      <c r="T318" s="59">
        <f>IF(AG318="7",H318,0)</f>
        <v>0</v>
      </c>
      <c r="U318" s="59">
        <f>IF(AG318="7",I318,0)</f>
        <v>0</v>
      </c>
      <c r="V318" s="59">
        <f>IF(AG318="2",H318,0)</f>
        <v>0</v>
      </c>
      <c r="W318" s="59">
        <f>IF(AG318="2",I318,0)</f>
        <v>0</v>
      </c>
      <c r="X318" s="59">
        <f>IF(AG318="0",J318,0)</f>
        <v>0</v>
      </c>
      <c r="Y318" s="49"/>
      <c r="Z318" s="33">
        <f>IF(AD318=0,J318,0)</f>
        <v>0</v>
      </c>
      <c r="AA318" s="33">
        <f>IF(AD318=15,J318,0)</f>
        <v>0</v>
      </c>
      <c r="AB318" s="33">
        <f>IF(AD318=21,J318,0)</f>
        <v>0</v>
      </c>
      <c r="AD318" s="59">
        <v>21</v>
      </c>
      <c r="AE318" s="59">
        <f>G318*0.337454969044893</f>
        <v>0</v>
      </c>
      <c r="AF318" s="59">
        <f>G318*(1-0.337454969044893)</f>
        <v>0</v>
      </c>
      <c r="AG318" s="55" t="s">
        <v>13</v>
      </c>
      <c r="AM318" s="59">
        <f>F318*AE318</f>
        <v>0</v>
      </c>
      <c r="AN318" s="59">
        <f>F318*AF318</f>
        <v>0</v>
      </c>
      <c r="AO318" s="60" t="s">
        <v>1142</v>
      </c>
      <c r="AP318" s="60" t="s">
        <v>1175</v>
      </c>
      <c r="AQ318" s="49" t="s">
        <v>1182</v>
      </c>
      <c r="AS318" s="59">
        <f>AM318+AN318</f>
        <v>0</v>
      </c>
      <c r="AT318" s="59">
        <f>G318/(100-AU318)*100</f>
        <v>0</v>
      </c>
      <c r="AU318" s="59">
        <v>0</v>
      </c>
      <c r="AV318" s="59">
        <f>L318</f>
        <v>0.3146335</v>
      </c>
    </row>
    <row r="319" spans="4:6" ht="12.75">
      <c r="D319" s="28" t="s">
        <v>770</v>
      </c>
      <c r="F319" s="34">
        <v>58.81</v>
      </c>
    </row>
    <row r="320" spans="1:48" ht="12.75">
      <c r="A320" s="10" t="s">
        <v>115</v>
      </c>
      <c r="B320" s="10"/>
      <c r="C320" s="10" t="s">
        <v>351</v>
      </c>
      <c r="D320" s="10" t="s">
        <v>773</v>
      </c>
      <c r="E320" s="10" t="s">
        <v>1084</v>
      </c>
      <c r="F320" s="33">
        <v>186.65</v>
      </c>
      <c r="G320" s="33">
        <v>0</v>
      </c>
      <c r="H320" s="33">
        <f>F320*AE320</f>
        <v>0</v>
      </c>
      <c r="I320" s="33">
        <f>J320-H320</f>
        <v>0</v>
      </c>
      <c r="J320" s="33">
        <f>F320*G320</f>
        <v>0</v>
      </c>
      <c r="K320" s="33">
        <v>4E-05</v>
      </c>
      <c r="L320" s="33">
        <f>F320*K320</f>
        <v>0.007466</v>
      </c>
      <c r="M320" s="55" t="s">
        <v>1113</v>
      </c>
      <c r="P320" s="59">
        <f>IF(AG320="5",J320,0)</f>
        <v>0</v>
      </c>
      <c r="R320" s="59">
        <f>IF(AG320="1",H320,0)</f>
        <v>0</v>
      </c>
      <c r="S320" s="59">
        <f>IF(AG320="1",I320,0)</f>
        <v>0</v>
      </c>
      <c r="T320" s="59">
        <f>IF(AG320="7",H320,0)</f>
        <v>0</v>
      </c>
      <c r="U320" s="59">
        <f>IF(AG320="7",I320,0)</f>
        <v>0</v>
      </c>
      <c r="V320" s="59">
        <f>IF(AG320="2",H320,0)</f>
        <v>0</v>
      </c>
      <c r="W320" s="59">
        <f>IF(AG320="2",I320,0)</f>
        <v>0</v>
      </c>
      <c r="X320" s="59">
        <f>IF(AG320="0",J320,0)</f>
        <v>0</v>
      </c>
      <c r="Y320" s="49"/>
      <c r="Z320" s="33">
        <f>IF(AD320=0,J320,0)</f>
        <v>0</v>
      </c>
      <c r="AA320" s="33">
        <f>IF(AD320=15,J320,0)</f>
        <v>0</v>
      </c>
      <c r="AB320" s="33">
        <f>IF(AD320=21,J320,0)</f>
        <v>0</v>
      </c>
      <c r="AD320" s="59">
        <v>21</v>
      </c>
      <c r="AE320" s="59">
        <f>G320*0.489677290947482</f>
        <v>0</v>
      </c>
      <c r="AF320" s="59">
        <f>G320*(1-0.489677290947482)</f>
        <v>0</v>
      </c>
      <c r="AG320" s="55" t="s">
        <v>13</v>
      </c>
      <c r="AM320" s="59">
        <f>F320*AE320</f>
        <v>0</v>
      </c>
      <c r="AN320" s="59">
        <f>F320*AF320</f>
        <v>0</v>
      </c>
      <c r="AO320" s="60" t="s">
        <v>1142</v>
      </c>
      <c r="AP320" s="60" t="s">
        <v>1175</v>
      </c>
      <c r="AQ320" s="49" t="s">
        <v>1182</v>
      </c>
      <c r="AS320" s="59">
        <f>AM320+AN320</f>
        <v>0</v>
      </c>
      <c r="AT320" s="59">
        <f>G320/(100-AU320)*100</f>
        <v>0</v>
      </c>
      <c r="AU320" s="59">
        <v>0</v>
      </c>
      <c r="AV320" s="59">
        <f>L320</f>
        <v>0.007466</v>
      </c>
    </row>
    <row r="321" spans="4:6" ht="12.75">
      <c r="D321" s="28" t="s">
        <v>774</v>
      </c>
      <c r="F321" s="34">
        <v>186.65</v>
      </c>
    </row>
    <row r="322" spans="1:48" ht="12.75">
      <c r="A322" s="10" t="s">
        <v>116</v>
      </c>
      <c r="B322" s="10"/>
      <c r="C322" s="10" t="s">
        <v>352</v>
      </c>
      <c r="D322" s="10" t="s">
        <v>773</v>
      </c>
      <c r="E322" s="10" t="s">
        <v>1084</v>
      </c>
      <c r="F322" s="33">
        <v>176.43</v>
      </c>
      <c r="G322" s="33">
        <v>0</v>
      </c>
      <c r="H322" s="33">
        <f>F322*AE322</f>
        <v>0</v>
      </c>
      <c r="I322" s="33">
        <f>J322-H322</f>
        <v>0</v>
      </c>
      <c r="J322" s="33">
        <f>F322*G322</f>
        <v>0</v>
      </c>
      <c r="K322" s="33">
        <v>4E-05</v>
      </c>
      <c r="L322" s="33">
        <f>F322*K322</f>
        <v>0.0070572000000000005</v>
      </c>
      <c r="M322" s="55" t="s">
        <v>1113</v>
      </c>
      <c r="P322" s="59">
        <f>IF(AG322="5",J322,0)</f>
        <v>0</v>
      </c>
      <c r="R322" s="59">
        <f>IF(AG322="1",H322,0)</f>
        <v>0</v>
      </c>
      <c r="S322" s="59">
        <f>IF(AG322="1",I322,0)</f>
        <v>0</v>
      </c>
      <c r="T322" s="59">
        <f>IF(AG322="7",H322,0)</f>
        <v>0</v>
      </c>
      <c r="U322" s="59">
        <f>IF(AG322="7",I322,0)</f>
        <v>0</v>
      </c>
      <c r="V322" s="59">
        <f>IF(AG322="2",H322,0)</f>
        <v>0</v>
      </c>
      <c r="W322" s="59">
        <f>IF(AG322="2",I322,0)</f>
        <v>0</v>
      </c>
      <c r="X322" s="59">
        <f>IF(AG322="0",J322,0)</f>
        <v>0</v>
      </c>
      <c r="Y322" s="49"/>
      <c r="Z322" s="33">
        <f>IF(AD322=0,J322,0)</f>
        <v>0</v>
      </c>
      <c r="AA322" s="33">
        <f>IF(AD322=15,J322,0)</f>
        <v>0</v>
      </c>
      <c r="AB322" s="33">
        <f>IF(AD322=21,J322,0)</f>
        <v>0</v>
      </c>
      <c r="AD322" s="59">
        <v>21</v>
      </c>
      <c r="AE322" s="59">
        <f>G322*0.497900396569908</f>
        <v>0</v>
      </c>
      <c r="AF322" s="59">
        <f>G322*(1-0.497900396569908)</f>
        <v>0</v>
      </c>
      <c r="AG322" s="55" t="s">
        <v>13</v>
      </c>
      <c r="AM322" s="59">
        <f>F322*AE322</f>
        <v>0</v>
      </c>
      <c r="AN322" s="59">
        <f>F322*AF322</f>
        <v>0</v>
      </c>
      <c r="AO322" s="60" t="s">
        <v>1142</v>
      </c>
      <c r="AP322" s="60" t="s">
        <v>1175</v>
      </c>
      <c r="AQ322" s="49" t="s">
        <v>1182</v>
      </c>
      <c r="AS322" s="59">
        <f>AM322+AN322</f>
        <v>0</v>
      </c>
      <c r="AT322" s="59">
        <f>G322/(100-AU322)*100</f>
        <v>0</v>
      </c>
      <c r="AU322" s="59">
        <v>0</v>
      </c>
      <c r="AV322" s="59">
        <f>L322</f>
        <v>0.0070572000000000005</v>
      </c>
    </row>
    <row r="323" spans="4:6" ht="12.75">
      <c r="D323" s="28" t="s">
        <v>775</v>
      </c>
      <c r="F323" s="34">
        <v>176.43</v>
      </c>
    </row>
    <row r="324" spans="1:48" ht="12.75">
      <c r="A324" s="10" t="s">
        <v>117</v>
      </c>
      <c r="B324" s="10"/>
      <c r="C324" s="10" t="s">
        <v>353</v>
      </c>
      <c r="D324" s="10" t="s">
        <v>776</v>
      </c>
      <c r="E324" s="10" t="s">
        <v>1089</v>
      </c>
      <c r="F324" s="33">
        <v>1</v>
      </c>
      <c r="G324" s="33">
        <v>0</v>
      </c>
      <c r="H324" s="33">
        <f>F324*AE324</f>
        <v>0</v>
      </c>
      <c r="I324" s="33">
        <f>J324-H324</f>
        <v>0</v>
      </c>
      <c r="J324" s="33">
        <f>F324*G324</f>
        <v>0</v>
      </c>
      <c r="K324" s="33">
        <v>0.0007</v>
      </c>
      <c r="L324" s="33">
        <f>F324*K324</f>
        <v>0.0007</v>
      </c>
      <c r="M324" s="55" t="s">
        <v>1113</v>
      </c>
      <c r="P324" s="59">
        <f>IF(AG324="5",J324,0)</f>
        <v>0</v>
      </c>
      <c r="R324" s="59">
        <f>IF(AG324="1",H324,0)</f>
        <v>0</v>
      </c>
      <c r="S324" s="59">
        <f>IF(AG324="1",I324,0)</f>
        <v>0</v>
      </c>
      <c r="T324" s="59">
        <f>IF(AG324="7",H324,0)</f>
        <v>0</v>
      </c>
      <c r="U324" s="59">
        <f>IF(AG324="7",I324,0)</f>
        <v>0</v>
      </c>
      <c r="V324" s="59">
        <f>IF(AG324="2",H324,0)</f>
        <v>0</v>
      </c>
      <c r="W324" s="59">
        <f>IF(AG324="2",I324,0)</f>
        <v>0</v>
      </c>
      <c r="X324" s="59">
        <f>IF(AG324="0",J324,0)</f>
        <v>0</v>
      </c>
      <c r="Y324" s="49"/>
      <c r="Z324" s="33">
        <f>IF(AD324=0,J324,0)</f>
        <v>0</v>
      </c>
      <c r="AA324" s="33">
        <f>IF(AD324=15,J324,0)</f>
        <v>0</v>
      </c>
      <c r="AB324" s="33">
        <f>IF(AD324=21,J324,0)</f>
        <v>0</v>
      </c>
      <c r="AD324" s="59">
        <v>21</v>
      </c>
      <c r="AE324" s="59">
        <f>G324*0.794912164689902</f>
        <v>0</v>
      </c>
      <c r="AF324" s="59">
        <f>G324*(1-0.794912164689902)</f>
        <v>0</v>
      </c>
      <c r="AG324" s="55" t="s">
        <v>13</v>
      </c>
      <c r="AM324" s="59">
        <f>F324*AE324</f>
        <v>0</v>
      </c>
      <c r="AN324" s="59">
        <f>F324*AF324</f>
        <v>0</v>
      </c>
      <c r="AO324" s="60" t="s">
        <v>1142</v>
      </c>
      <c r="AP324" s="60" t="s">
        <v>1175</v>
      </c>
      <c r="AQ324" s="49" t="s">
        <v>1182</v>
      </c>
      <c r="AS324" s="59">
        <f>AM324+AN324</f>
        <v>0</v>
      </c>
      <c r="AT324" s="59">
        <f>G324/(100-AU324)*100</f>
        <v>0</v>
      </c>
      <c r="AU324" s="59">
        <v>0</v>
      </c>
      <c r="AV324" s="59">
        <f>L324</f>
        <v>0.0007</v>
      </c>
    </row>
    <row r="325" spans="4:6" ht="12.75">
      <c r="D325" s="28" t="s">
        <v>777</v>
      </c>
      <c r="F325" s="34">
        <v>1</v>
      </c>
    </row>
    <row r="326" spans="1:48" ht="12.75">
      <c r="A326" s="10" t="s">
        <v>118</v>
      </c>
      <c r="B326" s="10"/>
      <c r="C326" s="10" t="s">
        <v>354</v>
      </c>
      <c r="D326" s="10" t="s">
        <v>778</v>
      </c>
      <c r="E326" s="10" t="s">
        <v>1084</v>
      </c>
      <c r="F326" s="33">
        <v>363.08</v>
      </c>
      <c r="G326" s="33">
        <v>0</v>
      </c>
      <c r="H326" s="33">
        <f>F326*AE326</f>
        <v>0</v>
      </c>
      <c r="I326" s="33">
        <f>J326-H326</f>
        <v>0</v>
      </c>
      <c r="J326" s="33">
        <f>F326*G326</f>
        <v>0</v>
      </c>
      <c r="K326" s="33">
        <v>0</v>
      </c>
      <c r="L326" s="33">
        <f>F326*K326</f>
        <v>0</v>
      </c>
      <c r="M326" s="55" t="s">
        <v>1113</v>
      </c>
      <c r="P326" s="59">
        <f>IF(AG326="5",J326,0)</f>
        <v>0</v>
      </c>
      <c r="R326" s="59">
        <f>IF(AG326="1",H326,0)</f>
        <v>0</v>
      </c>
      <c r="S326" s="59">
        <f>IF(AG326="1",I326,0)</f>
        <v>0</v>
      </c>
      <c r="T326" s="59">
        <f>IF(AG326="7",H326,0)</f>
        <v>0</v>
      </c>
      <c r="U326" s="59">
        <f>IF(AG326="7",I326,0)</f>
        <v>0</v>
      </c>
      <c r="V326" s="59">
        <f>IF(AG326="2",H326,0)</f>
        <v>0</v>
      </c>
      <c r="W326" s="59">
        <f>IF(AG326="2",I326,0)</f>
        <v>0</v>
      </c>
      <c r="X326" s="59">
        <f>IF(AG326="0",J326,0)</f>
        <v>0</v>
      </c>
      <c r="Y326" s="49"/>
      <c r="Z326" s="33">
        <f>IF(AD326=0,J326,0)</f>
        <v>0</v>
      </c>
      <c r="AA326" s="33">
        <f>IF(AD326=15,J326,0)</f>
        <v>0</v>
      </c>
      <c r="AB326" s="33">
        <f>IF(AD326=21,J326,0)</f>
        <v>0</v>
      </c>
      <c r="AD326" s="59">
        <v>21</v>
      </c>
      <c r="AE326" s="59">
        <f>G326*0.0169811232510101</f>
        <v>0</v>
      </c>
      <c r="AF326" s="59">
        <f>G326*(1-0.0169811232510101)</f>
        <v>0</v>
      </c>
      <c r="AG326" s="55" t="s">
        <v>13</v>
      </c>
      <c r="AM326" s="59">
        <f>F326*AE326</f>
        <v>0</v>
      </c>
      <c r="AN326" s="59">
        <f>F326*AF326</f>
        <v>0</v>
      </c>
      <c r="AO326" s="60" t="s">
        <v>1142</v>
      </c>
      <c r="AP326" s="60" t="s">
        <v>1175</v>
      </c>
      <c r="AQ326" s="49" t="s">
        <v>1182</v>
      </c>
      <c r="AS326" s="59">
        <f>AM326+AN326</f>
        <v>0</v>
      </c>
      <c r="AT326" s="59">
        <f>G326/(100-AU326)*100</f>
        <v>0</v>
      </c>
      <c r="AU326" s="59">
        <v>0</v>
      </c>
      <c r="AV326" s="59">
        <f>L326</f>
        <v>0</v>
      </c>
    </row>
    <row r="327" spans="4:6" ht="12.75">
      <c r="D327" s="28" t="s">
        <v>779</v>
      </c>
      <c r="F327" s="34">
        <v>363.08</v>
      </c>
    </row>
    <row r="328" spans="1:48" ht="12.75">
      <c r="A328" s="10" t="s">
        <v>119</v>
      </c>
      <c r="B328" s="10"/>
      <c r="C328" s="10" t="s">
        <v>355</v>
      </c>
      <c r="D328" s="10" t="s">
        <v>780</v>
      </c>
      <c r="E328" s="10" t="s">
        <v>1084</v>
      </c>
      <c r="F328" s="33">
        <v>363.08</v>
      </c>
      <c r="G328" s="33">
        <v>0</v>
      </c>
      <c r="H328" s="33">
        <f>F328*AE328</f>
        <v>0</v>
      </c>
      <c r="I328" s="33">
        <f>J328-H328</f>
        <v>0</v>
      </c>
      <c r="J328" s="33">
        <f>F328*G328</f>
        <v>0</v>
      </c>
      <c r="K328" s="33">
        <v>1E-05</v>
      </c>
      <c r="L328" s="33">
        <f>F328*K328</f>
        <v>0.0036308</v>
      </c>
      <c r="M328" s="55" t="s">
        <v>1113</v>
      </c>
      <c r="P328" s="59">
        <f>IF(AG328="5",J328,0)</f>
        <v>0</v>
      </c>
      <c r="R328" s="59">
        <f>IF(AG328="1",H328,0)</f>
        <v>0</v>
      </c>
      <c r="S328" s="59">
        <f>IF(AG328="1",I328,0)</f>
        <v>0</v>
      </c>
      <c r="T328" s="59">
        <f>IF(AG328="7",H328,0)</f>
        <v>0</v>
      </c>
      <c r="U328" s="59">
        <f>IF(AG328="7",I328,0)</f>
        <v>0</v>
      </c>
      <c r="V328" s="59">
        <f>IF(AG328="2",H328,0)</f>
        <v>0</v>
      </c>
      <c r="W328" s="59">
        <f>IF(AG328="2",I328,0)</f>
        <v>0</v>
      </c>
      <c r="X328" s="59">
        <f>IF(AG328="0",J328,0)</f>
        <v>0</v>
      </c>
      <c r="Y328" s="49"/>
      <c r="Z328" s="33">
        <f>IF(AD328=0,J328,0)</f>
        <v>0</v>
      </c>
      <c r="AA328" s="33">
        <f>IF(AD328=15,J328,0)</f>
        <v>0</v>
      </c>
      <c r="AB328" s="33">
        <f>IF(AD328=21,J328,0)</f>
        <v>0</v>
      </c>
      <c r="AD328" s="59">
        <v>21</v>
      </c>
      <c r="AE328" s="59">
        <f>G328*0.0609500015629215</f>
        <v>0</v>
      </c>
      <c r="AF328" s="59">
        <f>G328*(1-0.0609500015629215)</f>
        <v>0</v>
      </c>
      <c r="AG328" s="55" t="s">
        <v>13</v>
      </c>
      <c r="AM328" s="59">
        <f>F328*AE328</f>
        <v>0</v>
      </c>
      <c r="AN328" s="59">
        <f>F328*AF328</f>
        <v>0</v>
      </c>
      <c r="AO328" s="60" t="s">
        <v>1142</v>
      </c>
      <c r="AP328" s="60" t="s">
        <v>1175</v>
      </c>
      <c r="AQ328" s="49" t="s">
        <v>1182</v>
      </c>
      <c r="AS328" s="59">
        <f>AM328+AN328</f>
        <v>0</v>
      </c>
      <c r="AT328" s="59">
        <f>G328/(100-AU328)*100</f>
        <v>0</v>
      </c>
      <c r="AU328" s="59">
        <v>0</v>
      </c>
      <c r="AV328" s="59">
        <f>L328</f>
        <v>0.0036308</v>
      </c>
    </row>
    <row r="329" spans="4:6" ht="12.75">
      <c r="D329" s="28" t="s">
        <v>781</v>
      </c>
      <c r="F329" s="34">
        <v>363.08</v>
      </c>
    </row>
    <row r="330" spans="1:48" ht="12.75">
      <c r="A330" s="10" t="s">
        <v>120</v>
      </c>
      <c r="B330" s="10"/>
      <c r="C330" s="10" t="s">
        <v>356</v>
      </c>
      <c r="D330" s="10" t="s">
        <v>782</v>
      </c>
      <c r="E330" s="10" t="s">
        <v>1084</v>
      </c>
      <c r="F330" s="33">
        <v>90</v>
      </c>
      <c r="G330" s="33">
        <v>0</v>
      </c>
      <c r="H330" s="33">
        <f>F330*AE330</f>
        <v>0</v>
      </c>
      <c r="I330" s="33">
        <f>J330-H330</f>
        <v>0</v>
      </c>
      <c r="J330" s="33">
        <f>F330*G330</f>
        <v>0</v>
      </c>
      <c r="K330" s="33">
        <v>0.00074</v>
      </c>
      <c r="L330" s="33">
        <f>F330*K330</f>
        <v>0.06659999999999999</v>
      </c>
      <c r="M330" s="55" t="s">
        <v>1115</v>
      </c>
      <c r="P330" s="59">
        <f>IF(AG330="5",J330,0)</f>
        <v>0</v>
      </c>
      <c r="R330" s="59">
        <f>IF(AG330="1",H330,0)</f>
        <v>0</v>
      </c>
      <c r="S330" s="59">
        <f>IF(AG330="1",I330,0)</f>
        <v>0</v>
      </c>
      <c r="T330" s="59">
        <f>IF(AG330="7",H330,0)</f>
        <v>0</v>
      </c>
      <c r="U330" s="59">
        <f>IF(AG330="7",I330,0)</f>
        <v>0</v>
      </c>
      <c r="V330" s="59">
        <f>IF(AG330="2",H330,0)</f>
        <v>0</v>
      </c>
      <c r="W330" s="59">
        <f>IF(AG330="2",I330,0)</f>
        <v>0</v>
      </c>
      <c r="X330" s="59">
        <f>IF(AG330="0",J330,0)</f>
        <v>0</v>
      </c>
      <c r="Y330" s="49"/>
      <c r="Z330" s="33">
        <f>IF(AD330=0,J330,0)</f>
        <v>0</v>
      </c>
      <c r="AA330" s="33">
        <f>IF(AD330=15,J330,0)</f>
        <v>0</v>
      </c>
      <c r="AB330" s="33">
        <f>IF(AD330=21,J330,0)</f>
        <v>0</v>
      </c>
      <c r="AD330" s="59">
        <v>21</v>
      </c>
      <c r="AE330" s="59">
        <f>G330*0.23776942851493</f>
        <v>0</v>
      </c>
      <c r="AF330" s="59">
        <f>G330*(1-0.23776942851493)</f>
        <v>0</v>
      </c>
      <c r="AG330" s="55" t="s">
        <v>13</v>
      </c>
      <c r="AM330" s="59">
        <f>F330*AE330</f>
        <v>0</v>
      </c>
      <c r="AN330" s="59">
        <f>F330*AF330</f>
        <v>0</v>
      </c>
      <c r="AO330" s="60" t="s">
        <v>1142</v>
      </c>
      <c r="AP330" s="60" t="s">
        <v>1175</v>
      </c>
      <c r="AQ330" s="49" t="s">
        <v>1182</v>
      </c>
      <c r="AS330" s="59">
        <f>AM330+AN330</f>
        <v>0</v>
      </c>
      <c r="AT330" s="59">
        <f>G330/(100-AU330)*100</f>
        <v>0</v>
      </c>
      <c r="AU330" s="59">
        <v>0</v>
      </c>
      <c r="AV330" s="59">
        <f>L330</f>
        <v>0.06659999999999999</v>
      </c>
    </row>
    <row r="331" spans="4:6" ht="12.75">
      <c r="D331" s="28" t="s">
        <v>783</v>
      </c>
      <c r="F331" s="34">
        <v>90</v>
      </c>
    </row>
    <row r="332" spans="1:48" ht="12.75">
      <c r="A332" s="10" t="s">
        <v>121</v>
      </c>
      <c r="B332" s="10"/>
      <c r="C332" s="10" t="s">
        <v>356</v>
      </c>
      <c r="D332" s="10" t="s">
        <v>782</v>
      </c>
      <c r="E332" s="10" t="s">
        <v>1084</v>
      </c>
      <c r="F332" s="33">
        <v>450</v>
      </c>
      <c r="G332" s="33">
        <v>0</v>
      </c>
      <c r="H332" s="33">
        <f>F332*AE332</f>
        <v>0</v>
      </c>
      <c r="I332" s="33">
        <f>J332-H332</f>
        <v>0</v>
      </c>
      <c r="J332" s="33">
        <f>F332*G332</f>
        <v>0</v>
      </c>
      <c r="K332" s="33">
        <v>0.00074</v>
      </c>
      <c r="L332" s="33">
        <f>F332*K332</f>
        <v>0.333</v>
      </c>
      <c r="M332" s="55" t="s">
        <v>1115</v>
      </c>
      <c r="P332" s="59">
        <f>IF(AG332="5",J332,0)</f>
        <v>0</v>
      </c>
      <c r="R332" s="59">
        <f>IF(AG332="1",H332,0)</f>
        <v>0</v>
      </c>
      <c r="S332" s="59">
        <f>IF(AG332="1",I332,0)</f>
        <v>0</v>
      </c>
      <c r="T332" s="59">
        <f>IF(AG332="7",H332,0)</f>
        <v>0</v>
      </c>
      <c r="U332" s="59">
        <f>IF(AG332="7",I332,0)</f>
        <v>0</v>
      </c>
      <c r="V332" s="59">
        <f>IF(AG332="2",H332,0)</f>
        <v>0</v>
      </c>
      <c r="W332" s="59">
        <f>IF(AG332="2",I332,0)</f>
        <v>0</v>
      </c>
      <c r="X332" s="59">
        <f>IF(AG332="0",J332,0)</f>
        <v>0</v>
      </c>
      <c r="Y332" s="49"/>
      <c r="Z332" s="33">
        <f>IF(AD332=0,J332,0)</f>
        <v>0</v>
      </c>
      <c r="AA332" s="33">
        <f>IF(AD332=15,J332,0)</f>
        <v>0</v>
      </c>
      <c r="AB332" s="33">
        <f>IF(AD332=21,J332,0)</f>
        <v>0</v>
      </c>
      <c r="AD332" s="59">
        <v>21</v>
      </c>
      <c r="AE332" s="59">
        <f>G332*0.23776942851493</f>
        <v>0</v>
      </c>
      <c r="AF332" s="59">
        <f>G332*(1-0.23776942851493)</f>
        <v>0</v>
      </c>
      <c r="AG332" s="55" t="s">
        <v>13</v>
      </c>
      <c r="AM332" s="59">
        <f>F332*AE332</f>
        <v>0</v>
      </c>
      <c r="AN332" s="59">
        <f>F332*AF332</f>
        <v>0</v>
      </c>
      <c r="AO332" s="60" t="s">
        <v>1142</v>
      </c>
      <c r="AP332" s="60" t="s">
        <v>1175</v>
      </c>
      <c r="AQ332" s="49" t="s">
        <v>1182</v>
      </c>
      <c r="AS332" s="59">
        <f>AM332+AN332</f>
        <v>0</v>
      </c>
      <c r="AT332" s="59">
        <f>G332/(100-AU332)*100</f>
        <v>0</v>
      </c>
      <c r="AU332" s="59">
        <v>0</v>
      </c>
      <c r="AV332" s="59">
        <f>L332</f>
        <v>0.333</v>
      </c>
    </row>
    <row r="333" spans="4:6" ht="12.75">
      <c r="D333" s="28" t="s">
        <v>784</v>
      </c>
      <c r="F333" s="34">
        <v>450</v>
      </c>
    </row>
    <row r="334" spans="4:6" ht="12.75">
      <c r="D334" s="28" t="s">
        <v>785</v>
      </c>
      <c r="F334" s="34">
        <v>0</v>
      </c>
    </row>
    <row r="335" spans="1:48" ht="12.75">
      <c r="A335" s="10" t="s">
        <v>122</v>
      </c>
      <c r="B335" s="10"/>
      <c r="C335" s="10" t="s">
        <v>357</v>
      </c>
      <c r="D335" s="10" t="s">
        <v>786</v>
      </c>
      <c r="E335" s="10" t="s">
        <v>1085</v>
      </c>
      <c r="F335" s="33">
        <v>2.335</v>
      </c>
      <c r="G335" s="33">
        <v>0</v>
      </c>
      <c r="H335" s="33">
        <f>F335*AE335</f>
        <v>0</v>
      </c>
      <c r="I335" s="33">
        <f>J335-H335</f>
        <v>0</v>
      </c>
      <c r="J335" s="33">
        <f>F335*G335</f>
        <v>0</v>
      </c>
      <c r="K335" s="33">
        <v>0</v>
      </c>
      <c r="L335" s="33">
        <f>F335*K335</f>
        <v>0</v>
      </c>
      <c r="M335" s="55" t="s">
        <v>1113</v>
      </c>
      <c r="P335" s="59">
        <f>IF(AG335="5",J335,0)</f>
        <v>0</v>
      </c>
      <c r="R335" s="59">
        <f>IF(AG335="1",H335,0)</f>
        <v>0</v>
      </c>
      <c r="S335" s="59">
        <f>IF(AG335="1",I335,0)</f>
        <v>0</v>
      </c>
      <c r="T335" s="59">
        <f>IF(AG335="7",H335,0)</f>
        <v>0</v>
      </c>
      <c r="U335" s="59">
        <f>IF(AG335="7",I335,0)</f>
        <v>0</v>
      </c>
      <c r="V335" s="59">
        <f>IF(AG335="2",H335,0)</f>
        <v>0</v>
      </c>
      <c r="W335" s="59">
        <f>IF(AG335="2",I335,0)</f>
        <v>0</v>
      </c>
      <c r="X335" s="59">
        <f>IF(AG335="0",J335,0)</f>
        <v>0</v>
      </c>
      <c r="Y335" s="49"/>
      <c r="Z335" s="33">
        <f>IF(AD335=0,J335,0)</f>
        <v>0</v>
      </c>
      <c r="AA335" s="33">
        <f>IF(AD335=15,J335,0)</f>
        <v>0</v>
      </c>
      <c r="AB335" s="33">
        <f>IF(AD335=21,J335,0)</f>
        <v>0</v>
      </c>
      <c r="AD335" s="59">
        <v>21</v>
      </c>
      <c r="AE335" s="59">
        <f>G335*0</f>
        <v>0</v>
      </c>
      <c r="AF335" s="59">
        <f>G335*(1-0)</f>
        <v>0</v>
      </c>
      <c r="AG335" s="55" t="s">
        <v>11</v>
      </c>
      <c r="AM335" s="59">
        <f>F335*AE335</f>
        <v>0</v>
      </c>
      <c r="AN335" s="59">
        <f>F335*AF335</f>
        <v>0</v>
      </c>
      <c r="AO335" s="60" t="s">
        <v>1142</v>
      </c>
      <c r="AP335" s="60" t="s">
        <v>1175</v>
      </c>
      <c r="AQ335" s="49" t="s">
        <v>1182</v>
      </c>
      <c r="AS335" s="59">
        <f>AM335+AN335</f>
        <v>0</v>
      </c>
      <c r="AT335" s="59">
        <f>G335/(100-AU335)*100</f>
        <v>0</v>
      </c>
      <c r="AU335" s="59">
        <v>0</v>
      </c>
      <c r="AV335" s="59">
        <f>L335</f>
        <v>0</v>
      </c>
    </row>
    <row r="336" spans="4:6" ht="12.75">
      <c r="D336" s="28" t="s">
        <v>787</v>
      </c>
      <c r="F336" s="34">
        <v>2.335</v>
      </c>
    </row>
    <row r="337" spans="1:37" ht="12.75">
      <c r="A337" s="11"/>
      <c r="B337" s="24"/>
      <c r="C337" s="24" t="s">
        <v>358</v>
      </c>
      <c r="D337" s="24" t="s">
        <v>788</v>
      </c>
      <c r="E337" s="11" t="s">
        <v>6</v>
      </c>
      <c r="F337" s="11" t="s">
        <v>6</v>
      </c>
      <c r="G337" s="11" t="s">
        <v>6</v>
      </c>
      <c r="H337" s="62">
        <f>SUM(H338:H338)</f>
        <v>0</v>
      </c>
      <c r="I337" s="62">
        <f>SUM(I338:I338)</f>
        <v>0</v>
      </c>
      <c r="J337" s="62">
        <f>H337+I337</f>
        <v>0</v>
      </c>
      <c r="K337" s="49"/>
      <c r="L337" s="62">
        <f>SUM(L338:L338)</f>
        <v>0.00019</v>
      </c>
      <c r="M337" s="49"/>
      <c r="Y337" s="49"/>
      <c r="AI337" s="62">
        <f>SUM(Z338:Z338)</f>
        <v>0</v>
      </c>
      <c r="AJ337" s="62">
        <f>SUM(AA338:AA338)</f>
        <v>0</v>
      </c>
      <c r="AK337" s="62">
        <f>SUM(AB338:AB338)</f>
        <v>0</v>
      </c>
    </row>
    <row r="338" spans="1:48" ht="12.75">
      <c r="A338" s="10" t="s">
        <v>123</v>
      </c>
      <c r="B338" s="10"/>
      <c r="C338" s="10" t="s">
        <v>359</v>
      </c>
      <c r="D338" s="10" t="s">
        <v>789</v>
      </c>
      <c r="E338" s="10" t="s">
        <v>1089</v>
      </c>
      <c r="F338" s="33">
        <v>1</v>
      </c>
      <c r="G338" s="33">
        <v>0</v>
      </c>
      <c r="H338" s="33">
        <f>F338*AE338</f>
        <v>0</v>
      </c>
      <c r="I338" s="33">
        <f>J338-H338</f>
        <v>0</v>
      </c>
      <c r="J338" s="33">
        <f>F338*G338</f>
        <v>0</v>
      </c>
      <c r="K338" s="33">
        <v>0.00019</v>
      </c>
      <c r="L338" s="33">
        <f>F338*K338</f>
        <v>0.00019</v>
      </c>
      <c r="M338" s="55" t="s">
        <v>1113</v>
      </c>
      <c r="P338" s="59">
        <f>IF(AG338="5",J338,0)</f>
        <v>0</v>
      </c>
      <c r="R338" s="59">
        <f>IF(AG338="1",H338,0)</f>
        <v>0</v>
      </c>
      <c r="S338" s="59">
        <f>IF(AG338="1",I338,0)</f>
        <v>0</v>
      </c>
      <c r="T338" s="59">
        <f>IF(AG338="7",H338,0)</f>
        <v>0</v>
      </c>
      <c r="U338" s="59">
        <f>IF(AG338="7",I338,0)</f>
        <v>0</v>
      </c>
      <c r="V338" s="59">
        <f>IF(AG338="2",H338,0)</f>
        <v>0</v>
      </c>
      <c r="W338" s="59">
        <f>IF(AG338="2",I338,0)</f>
        <v>0</v>
      </c>
      <c r="X338" s="59">
        <f>IF(AG338="0",J338,0)</f>
        <v>0</v>
      </c>
      <c r="Y338" s="49"/>
      <c r="Z338" s="33">
        <f>IF(AD338=0,J338,0)</f>
        <v>0</v>
      </c>
      <c r="AA338" s="33">
        <f>IF(AD338=15,J338,0)</f>
        <v>0</v>
      </c>
      <c r="AB338" s="33">
        <f>IF(AD338=21,J338,0)</f>
        <v>0</v>
      </c>
      <c r="AD338" s="59">
        <v>21</v>
      </c>
      <c r="AE338" s="59">
        <f>G338*0.398019564932757</f>
        <v>0</v>
      </c>
      <c r="AF338" s="59">
        <f>G338*(1-0.398019564932757)</f>
        <v>0</v>
      </c>
      <c r="AG338" s="55" t="s">
        <v>13</v>
      </c>
      <c r="AM338" s="59">
        <f>F338*AE338</f>
        <v>0</v>
      </c>
      <c r="AN338" s="59">
        <f>F338*AF338</f>
        <v>0</v>
      </c>
      <c r="AO338" s="60" t="s">
        <v>1143</v>
      </c>
      <c r="AP338" s="60" t="s">
        <v>1175</v>
      </c>
      <c r="AQ338" s="49" t="s">
        <v>1182</v>
      </c>
      <c r="AS338" s="59">
        <f>AM338+AN338</f>
        <v>0</v>
      </c>
      <c r="AT338" s="59">
        <f>G338/(100-AU338)*100</f>
        <v>0</v>
      </c>
      <c r="AU338" s="59">
        <v>0</v>
      </c>
      <c r="AV338" s="59">
        <f>L338</f>
        <v>0.00019</v>
      </c>
    </row>
    <row r="339" spans="4:6" ht="12.75">
      <c r="D339" s="28" t="s">
        <v>790</v>
      </c>
      <c r="F339" s="34">
        <v>1</v>
      </c>
    </row>
    <row r="340" spans="1:37" ht="12.75">
      <c r="A340" s="11"/>
      <c r="B340" s="24"/>
      <c r="C340" s="24" t="s">
        <v>360</v>
      </c>
      <c r="D340" s="24" t="s">
        <v>791</v>
      </c>
      <c r="E340" s="11" t="s">
        <v>6</v>
      </c>
      <c r="F340" s="11" t="s">
        <v>6</v>
      </c>
      <c r="G340" s="11" t="s">
        <v>6</v>
      </c>
      <c r="H340" s="62">
        <f>SUM(H341:H341)</f>
        <v>0</v>
      </c>
      <c r="I340" s="62">
        <f>SUM(I341:I341)</f>
        <v>0</v>
      </c>
      <c r="J340" s="62">
        <f>H340+I340</f>
        <v>0</v>
      </c>
      <c r="K340" s="49"/>
      <c r="L340" s="62">
        <f>SUM(L341:L341)</f>
        <v>0.03937</v>
      </c>
      <c r="M340" s="49"/>
      <c r="Y340" s="49"/>
      <c r="AI340" s="62">
        <f>SUM(Z341:Z341)</f>
        <v>0</v>
      </c>
      <c r="AJ340" s="62">
        <f>SUM(AA341:AA341)</f>
        <v>0</v>
      </c>
      <c r="AK340" s="62">
        <f>SUM(AB341:AB341)</f>
        <v>0</v>
      </c>
    </row>
    <row r="341" spans="1:48" ht="12.75">
      <c r="A341" s="10" t="s">
        <v>124</v>
      </c>
      <c r="B341" s="10"/>
      <c r="C341" s="10" t="s">
        <v>361</v>
      </c>
      <c r="D341" s="10" t="s">
        <v>792</v>
      </c>
      <c r="E341" s="10" t="s">
        <v>1087</v>
      </c>
      <c r="F341" s="33">
        <v>1</v>
      </c>
      <c r="G341" s="33">
        <v>0</v>
      </c>
      <c r="H341" s="33">
        <f>F341*AE341</f>
        <v>0</v>
      </c>
      <c r="I341" s="33">
        <f>J341-H341</f>
        <v>0</v>
      </c>
      <c r="J341" s="33">
        <f>F341*G341</f>
        <v>0</v>
      </c>
      <c r="K341" s="33">
        <v>0.03937</v>
      </c>
      <c r="L341" s="33">
        <f>F341*K341</f>
        <v>0.03937</v>
      </c>
      <c r="M341" s="55" t="s">
        <v>1115</v>
      </c>
      <c r="P341" s="59">
        <f>IF(AG341="5",J341,0)</f>
        <v>0</v>
      </c>
      <c r="R341" s="59">
        <f>IF(AG341="1",H341,0)</f>
        <v>0</v>
      </c>
      <c r="S341" s="59">
        <f>IF(AG341="1",I341,0)</f>
        <v>0</v>
      </c>
      <c r="T341" s="59">
        <f>IF(AG341="7",H341,0)</f>
        <v>0</v>
      </c>
      <c r="U341" s="59">
        <f>IF(AG341="7",I341,0)</f>
        <v>0</v>
      </c>
      <c r="V341" s="59">
        <f>IF(AG341="2",H341,0)</f>
        <v>0</v>
      </c>
      <c r="W341" s="59">
        <f>IF(AG341="2",I341,0)</f>
        <v>0</v>
      </c>
      <c r="X341" s="59">
        <f>IF(AG341="0",J341,0)</f>
        <v>0</v>
      </c>
      <c r="Y341" s="49"/>
      <c r="Z341" s="33">
        <f>IF(AD341=0,J341,0)</f>
        <v>0</v>
      </c>
      <c r="AA341" s="33">
        <f>IF(AD341=15,J341,0)</f>
        <v>0</v>
      </c>
      <c r="AB341" s="33">
        <f>IF(AD341=21,J341,0)</f>
        <v>0</v>
      </c>
      <c r="AD341" s="59">
        <v>21</v>
      </c>
      <c r="AE341" s="59">
        <f>G341*0.85735056542811</f>
        <v>0</v>
      </c>
      <c r="AF341" s="59">
        <f>G341*(1-0.85735056542811)</f>
        <v>0</v>
      </c>
      <c r="AG341" s="55" t="s">
        <v>13</v>
      </c>
      <c r="AM341" s="59">
        <f>F341*AE341</f>
        <v>0</v>
      </c>
      <c r="AN341" s="59">
        <f>F341*AF341</f>
        <v>0</v>
      </c>
      <c r="AO341" s="60" t="s">
        <v>1144</v>
      </c>
      <c r="AP341" s="60" t="s">
        <v>1175</v>
      </c>
      <c r="AQ341" s="49" t="s">
        <v>1182</v>
      </c>
      <c r="AS341" s="59">
        <f>AM341+AN341</f>
        <v>0</v>
      </c>
      <c r="AT341" s="59">
        <f>G341/(100-AU341)*100</f>
        <v>0</v>
      </c>
      <c r="AU341" s="59">
        <v>0</v>
      </c>
      <c r="AV341" s="59">
        <f>L341</f>
        <v>0.03937</v>
      </c>
    </row>
    <row r="342" spans="4:6" ht="12.75">
      <c r="D342" s="28" t="s">
        <v>793</v>
      </c>
      <c r="F342" s="34">
        <v>1</v>
      </c>
    </row>
    <row r="343" spans="1:37" ht="12.75">
      <c r="A343" s="11"/>
      <c r="B343" s="24"/>
      <c r="C343" s="24" t="s">
        <v>362</v>
      </c>
      <c r="D343" s="24" t="s">
        <v>794</v>
      </c>
      <c r="E343" s="11" t="s">
        <v>6</v>
      </c>
      <c r="F343" s="11" t="s">
        <v>6</v>
      </c>
      <c r="G343" s="11" t="s">
        <v>6</v>
      </c>
      <c r="H343" s="62">
        <f>SUM(H344:H367)</f>
        <v>0</v>
      </c>
      <c r="I343" s="62">
        <f>SUM(I344:I367)</f>
        <v>0</v>
      </c>
      <c r="J343" s="62">
        <f>H343+I343</f>
        <v>0</v>
      </c>
      <c r="K343" s="49"/>
      <c r="L343" s="62">
        <f>SUM(L344:L367)</f>
        <v>0.64954</v>
      </c>
      <c r="M343" s="49"/>
      <c r="Y343" s="49"/>
      <c r="AI343" s="62">
        <f>SUM(Z344:Z367)</f>
        <v>0</v>
      </c>
      <c r="AJ343" s="62">
        <f>SUM(AA344:AA367)</f>
        <v>0</v>
      </c>
      <c r="AK343" s="62">
        <f>SUM(AB344:AB367)</f>
        <v>0</v>
      </c>
    </row>
    <row r="344" spans="1:48" ht="12.75">
      <c r="A344" s="10" t="s">
        <v>125</v>
      </c>
      <c r="B344" s="10"/>
      <c r="C344" s="10" t="s">
        <v>363</v>
      </c>
      <c r="D344" s="10" t="s">
        <v>795</v>
      </c>
      <c r="E344" s="10" t="s">
        <v>1087</v>
      </c>
      <c r="F344" s="33">
        <v>1</v>
      </c>
      <c r="G344" s="33">
        <v>0</v>
      </c>
      <c r="H344" s="33">
        <f>F344*AE344</f>
        <v>0</v>
      </c>
      <c r="I344" s="33">
        <f>J344-H344</f>
        <v>0</v>
      </c>
      <c r="J344" s="33">
        <f>F344*G344</f>
        <v>0</v>
      </c>
      <c r="K344" s="33">
        <v>0.01889</v>
      </c>
      <c r="L344" s="33">
        <f>F344*K344</f>
        <v>0.01889</v>
      </c>
      <c r="M344" s="55" t="s">
        <v>1113</v>
      </c>
      <c r="P344" s="59">
        <f>IF(AG344="5",J344,0)</f>
        <v>0</v>
      </c>
      <c r="R344" s="59">
        <f>IF(AG344="1",H344,0)</f>
        <v>0</v>
      </c>
      <c r="S344" s="59">
        <f>IF(AG344="1",I344,0)</f>
        <v>0</v>
      </c>
      <c r="T344" s="59">
        <f>IF(AG344="7",H344,0)</f>
        <v>0</v>
      </c>
      <c r="U344" s="59">
        <f>IF(AG344="7",I344,0)</f>
        <v>0</v>
      </c>
      <c r="V344" s="59">
        <f>IF(AG344="2",H344,0)</f>
        <v>0</v>
      </c>
      <c r="W344" s="59">
        <f>IF(AG344="2",I344,0)</f>
        <v>0</v>
      </c>
      <c r="X344" s="59">
        <f>IF(AG344="0",J344,0)</f>
        <v>0</v>
      </c>
      <c r="Y344" s="49"/>
      <c r="Z344" s="33">
        <f>IF(AD344=0,J344,0)</f>
        <v>0</v>
      </c>
      <c r="AA344" s="33">
        <f>IF(AD344=15,J344,0)</f>
        <v>0</v>
      </c>
      <c r="AB344" s="33">
        <f>IF(AD344=21,J344,0)</f>
        <v>0</v>
      </c>
      <c r="AD344" s="59">
        <v>21</v>
      </c>
      <c r="AE344" s="59">
        <f>G344*0.920957661290323</f>
        <v>0</v>
      </c>
      <c r="AF344" s="59">
        <f>G344*(1-0.920957661290323)</f>
        <v>0</v>
      </c>
      <c r="AG344" s="55" t="s">
        <v>13</v>
      </c>
      <c r="AM344" s="59">
        <f>F344*AE344</f>
        <v>0</v>
      </c>
      <c r="AN344" s="59">
        <f>F344*AF344</f>
        <v>0</v>
      </c>
      <c r="AO344" s="60" t="s">
        <v>1145</v>
      </c>
      <c r="AP344" s="60" t="s">
        <v>1175</v>
      </c>
      <c r="AQ344" s="49" t="s">
        <v>1182</v>
      </c>
      <c r="AS344" s="59">
        <f>AM344+AN344</f>
        <v>0</v>
      </c>
      <c r="AT344" s="59">
        <f>G344/(100-AU344)*100</f>
        <v>0</v>
      </c>
      <c r="AU344" s="59">
        <v>0</v>
      </c>
      <c r="AV344" s="59">
        <f>L344</f>
        <v>0.01889</v>
      </c>
    </row>
    <row r="345" spans="4:6" ht="12.75">
      <c r="D345" s="28" t="s">
        <v>7</v>
      </c>
      <c r="F345" s="34">
        <v>1</v>
      </c>
    </row>
    <row r="346" spans="1:48" ht="12.75">
      <c r="A346" s="10" t="s">
        <v>126</v>
      </c>
      <c r="B346" s="10"/>
      <c r="C346" s="10" t="s">
        <v>364</v>
      </c>
      <c r="D346" s="10" t="s">
        <v>796</v>
      </c>
      <c r="E346" s="10" t="s">
        <v>1087</v>
      </c>
      <c r="F346" s="33">
        <v>5</v>
      </c>
      <c r="G346" s="33">
        <v>0</v>
      </c>
      <c r="H346" s="33">
        <f>F346*AE346</f>
        <v>0</v>
      </c>
      <c r="I346" s="33">
        <f>J346-H346</f>
        <v>0</v>
      </c>
      <c r="J346" s="33">
        <f>F346*G346</f>
        <v>0</v>
      </c>
      <c r="K346" s="33">
        <v>0.01601</v>
      </c>
      <c r="L346" s="33">
        <f>F346*K346</f>
        <v>0.08005</v>
      </c>
      <c r="M346" s="55" t="s">
        <v>1113</v>
      </c>
      <c r="P346" s="59">
        <f>IF(AG346="5",J346,0)</f>
        <v>0</v>
      </c>
      <c r="R346" s="59">
        <f>IF(AG346="1",H346,0)</f>
        <v>0</v>
      </c>
      <c r="S346" s="59">
        <f>IF(AG346="1",I346,0)</f>
        <v>0</v>
      </c>
      <c r="T346" s="59">
        <f>IF(AG346="7",H346,0)</f>
        <v>0</v>
      </c>
      <c r="U346" s="59">
        <f>IF(AG346="7",I346,0)</f>
        <v>0</v>
      </c>
      <c r="V346" s="59">
        <f>IF(AG346="2",H346,0)</f>
        <v>0</v>
      </c>
      <c r="W346" s="59">
        <f>IF(AG346="2",I346,0)</f>
        <v>0</v>
      </c>
      <c r="X346" s="59">
        <f>IF(AG346="0",J346,0)</f>
        <v>0</v>
      </c>
      <c r="Y346" s="49"/>
      <c r="Z346" s="33">
        <f>IF(AD346=0,J346,0)</f>
        <v>0</v>
      </c>
      <c r="AA346" s="33">
        <f>IF(AD346=15,J346,0)</f>
        <v>0</v>
      </c>
      <c r="AB346" s="33">
        <f>IF(AD346=21,J346,0)</f>
        <v>0</v>
      </c>
      <c r="AD346" s="59">
        <v>21</v>
      </c>
      <c r="AE346" s="59">
        <f>G346*0.710873330557215</f>
        <v>0</v>
      </c>
      <c r="AF346" s="59">
        <f>G346*(1-0.710873330557215)</f>
        <v>0</v>
      </c>
      <c r="AG346" s="55" t="s">
        <v>13</v>
      </c>
      <c r="AM346" s="59">
        <f>F346*AE346</f>
        <v>0</v>
      </c>
      <c r="AN346" s="59">
        <f>F346*AF346</f>
        <v>0</v>
      </c>
      <c r="AO346" s="60" t="s">
        <v>1145</v>
      </c>
      <c r="AP346" s="60" t="s">
        <v>1175</v>
      </c>
      <c r="AQ346" s="49" t="s">
        <v>1182</v>
      </c>
      <c r="AS346" s="59">
        <f>AM346+AN346</f>
        <v>0</v>
      </c>
      <c r="AT346" s="59">
        <f>G346/(100-AU346)*100</f>
        <v>0</v>
      </c>
      <c r="AU346" s="59">
        <v>0</v>
      </c>
      <c r="AV346" s="59">
        <f>L346</f>
        <v>0.08005</v>
      </c>
    </row>
    <row r="347" spans="4:6" ht="12.75">
      <c r="D347" s="28" t="s">
        <v>11</v>
      </c>
      <c r="F347" s="34">
        <v>5</v>
      </c>
    </row>
    <row r="348" spans="1:48" ht="12.75">
      <c r="A348" s="10" t="s">
        <v>127</v>
      </c>
      <c r="B348" s="10"/>
      <c r="C348" s="10" t="s">
        <v>365</v>
      </c>
      <c r="D348" s="10" t="s">
        <v>797</v>
      </c>
      <c r="E348" s="10" t="s">
        <v>1088</v>
      </c>
      <c r="F348" s="33">
        <v>1</v>
      </c>
      <c r="G348" s="33">
        <v>0</v>
      </c>
      <c r="H348" s="33">
        <f>F348*AE348</f>
        <v>0</v>
      </c>
      <c r="I348" s="33">
        <f>J348-H348</f>
        <v>0</v>
      </c>
      <c r="J348" s="33">
        <f>F348*G348</f>
        <v>0</v>
      </c>
      <c r="K348" s="33">
        <v>0.01631</v>
      </c>
      <c r="L348" s="33">
        <f>F348*K348</f>
        <v>0.01631</v>
      </c>
      <c r="M348" s="55" t="s">
        <v>1113</v>
      </c>
      <c r="P348" s="59">
        <f>IF(AG348="5",J348,0)</f>
        <v>0</v>
      </c>
      <c r="R348" s="59">
        <f>IF(AG348="1",H348,0)</f>
        <v>0</v>
      </c>
      <c r="S348" s="59">
        <f>IF(AG348="1",I348,0)</f>
        <v>0</v>
      </c>
      <c r="T348" s="59">
        <f>IF(AG348="7",H348,0)</f>
        <v>0</v>
      </c>
      <c r="U348" s="59">
        <f>IF(AG348="7",I348,0)</f>
        <v>0</v>
      </c>
      <c r="V348" s="59">
        <f>IF(AG348="2",H348,0)</f>
        <v>0</v>
      </c>
      <c r="W348" s="59">
        <f>IF(AG348="2",I348,0)</f>
        <v>0</v>
      </c>
      <c r="X348" s="59">
        <f>IF(AG348="0",J348,0)</f>
        <v>0</v>
      </c>
      <c r="Y348" s="49"/>
      <c r="Z348" s="33">
        <f>IF(AD348=0,J348,0)</f>
        <v>0</v>
      </c>
      <c r="AA348" s="33">
        <f>IF(AD348=15,J348,0)</f>
        <v>0</v>
      </c>
      <c r="AB348" s="33">
        <f>IF(AD348=21,J348,0)</f>
        <v>0</v>
      </c>
      <c r="AD348" s="59">
        <v>21</v>
      </c>
      <c r="AE348" s="59">
        <f>G348*0.95394421813857</f>
        <v>0</v>
      </c>
      <c r="AF348" s="59">
        <f>G348*(1-0.95394421813857)</f>
        <v>0</v>
      </c>
      <c r="AG348" s="55" t="s">
        <v>13</v>
      </c>
      <c r="AM348" s="59">
        <f>F348*AE348</f>
        <v>0</v>
      </c>
      <c r="AN348" s="59">
        <f>F348*AF348</f>
        <v>0</v>
      </c>
      <c r="AO348" s="60" t="s">
        <v>1145</v>
      </c>
      <c r="AP348" s="60" t="s">
        <v>1175</v>
      </c>
      <c r="AQ348" s="49" t="s">
        <v>1182</v>
      </c>
      <c r="AS348" s="59">
        <f>AM348+AN348</f>
        <v>0</v>
      </c>
      <c r="AT348" s="59">
        <f>G348/(100-AU348)*100</f>
        <v>0</v>
      </c>
      <c r="AU348" s="59">
        <v>0</v>
      </c>
      <c r="AV348" s="59">
        <f>L348</f>
        <v>0.01631</v>
      </c>
    </row>
    <row r="349" spans="4:6" ht="12.75">
      <c r="D349" s="28" t="s">
        <v>7</v>
      </c>
      <c r="F349" s="34">
        <v>1</v>
      </c>
    </row>
    <row r="350" spans="1:48" ht="12.75">
      <c r="A350" s="10" t="s">
        <v>128</v>
      </c>
      <c r="B350" s="10"/>
      <c r="C350" s="10" t="s">
        <v>366</v>
      </c>
      <c r="D350" s="10" t="s">
        <v>798</v>
      </c>
      <c r="E350" s="10" t="s">
        <v>1088</v>
      </c>
      <c r="F350" s="33">
        <v>5</v>
      </c>
      <c r="G350" s="33">
        <v>0</v>
      </c>
      <c r="H350" s="33">
        <f>F350*AE350</f>
        <v>0</v>
      </c>
      <c r="I350" s="33">
        <f>J350-H350</f>
        <v>0</v>
      </c>
      <c r="J350" s="33">
        <f>F350*G350</f>
        <v>0</v>
      </c>
      <c r="K350" s="33">
        <v>0.00085</v>
      </c>
      <c r="L350" s="33">
        <f>F350*K350</f>
        <v>0.0042499999999999994</v>
      </c>
      <c r="M350" s="55" t="s">
        <v>1113</v>
      </c>
      <c r="P350" s="59">
        <f>IF(AG350="5",J350,0)</f>
        <v>0</v>
      </c>
      <c r="R350" s="59">
        <f>IF(AG350="1",H350,0)</f>
        <v>0</v>
      </c>
      <c r="S350" s="59">
        <f>IF(AG350="1",I350,0)</f>
        <v>0</v>
      </c>
      <c r="T350" s="59">
        <f>IF(AG350="7",H350,0)</f>
        <v>0</v>
      </c>
      <c r="U350" s="59">
        <f>IF(AG350="7",I350,0)</f>
        <v>0</v>
      </c>
      <c r="V350" s="59">
        <f>IF(AG350="2",H350,0)</f>
        <v>0</v>
      </c>
      <c r="W350" s="59">
        <f>IF(AG350="2",I350,0)</f>
        <v>0</v>
      </c>
      <c r="X350" s="59">
        <f>IF(AG350="0",J350,0)</f>
        <v>0</v>
      </c>
      <c r="Y350" s="49"/>
      <c r="Z350" s="33">
        <f>IF(AD350=0,J350,0)</f>
        <v>0</v>
      </c>
      <c r="AA350" s="33">
        <f>IF(AD350=15,J350,0)</f>
        <v>0</v>
      </c>
      <c r="AB350" s="33">
        <f>IF(AD350=21,J350,0)</f>
        <v>0</v>
      </c>
      <c r="AD350" s="59">
        <v>21</v>
      </c>
      <c r="AE350" s="59">
        <f>G350*0.922346321539207</f>
        <v>0</v>
      </c>
      <c r="AF350" s="59">
        <f>G350*(1-0.922346321539207)</f>
        <v>0</v>
      </c>
      <c r="AG350" s="55" t="s">
        <v>13</v>
      </c>
      <c r="AM350" s="59">
        <f>F350*AE350</f>
        <v>0</v>
      </c>
      <c r="AN350" s="59">
        <f>F350*AF350</f>
        <v>0</v>
      </c>
      <c r="AO350" s="60" t="s">
        <v>1145</v>
      </c>
      <c r="AP350" s="60" t="s">
        <v>1175</v>
      </c>
      <c r="AQ350" s="49" t="s">
        <v>1182</v>
      </c>
      <c r="AS350" s="59">
        <f>AM350+AN350</f>
        <v>0</v>
      </c>
      <c r="AT350" s="59">
        <f>G350/(100-AU350)*100</f>
        <v>0</v>
      </c>
      <c r="AU350" s="59">
        <v>0</v>
      </c>
      <c r="AV350" s="59">
        <f>L350</f>
        <v>0.0042499999999999994</v>
      </c>
    </row>
    <row r="351" spans="4:6" ht="12.75">
      <c r="D351" s="28" t="s">
        <v>11</v>
      </c>
      <c r="F351" s="34">
        <v>5</v>
      </c>
    </row>
    <row r="352" spans="1:48" ht="12.75">
      <c r="A352" s="10" t="s">
        <v>129</v>
      </c>
      <c r="B352" s="10"/>
      <c r="C352" s="10" t="s">
        <v>367</v>
      </c>
      <c r="D352" s="10" t="s">
        <v>799</v>
      </c>
      <c r="E352" s="10" t="s">
        <v>1088</v>
      </c>
      <c r="F352" s="33">
        <v>1</v>
      </c>
      <c r="G352" s="33">
        <v>0</v>
      </c>
      <c r="H352" s="33">
        <f>F352*AE352</f>
        <v>0</v>
      </c>
      <c r="I352" s="33">
        <f>J352-H352</f>
        <v>0</v>
      </c>
      <c r="J352" s="33">
        <f>F352*G352</f>
        <v>0</v>
      </c>
      <c r="K352" s="33">
        <v>0.00022</v>
      </c>
      <c r="L352" s="33">
        <f>F352*K352</f>
        <v>0.00022</v>
      </c>
      <c r="M352" s="55" t="s">
        <v>1113</v>
      </c>
      <c r="P352" s="59">
        <f>IF(AG352="5",J352,0)</f>
        <v>0</v>
      </c>
      <c r="R352" s="59">
        <f>IF(AG352="1",H352,0)</f>
        <v>0</v>
      </c>
      <c r="S352" s="59">
        <f>IF(AG352="1",I352,0)</f>
        <v>0</v>
      </c>
      <c r="T352" s="59">
        <f>IF(AG352="7",H352,0)</f>
        <v>0</v>
      </c>
      <c r="U352" s="59">
        <f>IF(AG352="7",I352,0)</f>
        <v>0</v>
      </c>
      <c r="V352" s="59">
        <f>IF(AG352="2",H352,0)</f>
        <v>0</v>
      </c>
      <c r="W352" s="59">
        <f>IF(AG352="2",I352,0)</f>
        <v>0</v>
      </c>
      <c r="X352" s="59">
        <f>IF(AG352="0",J352,0)</f>
        <v>0</v>
      </c>
      <c r="Y352" s="49"/>
      <c r="Z352" s="33">
        <f>IF(AD352=0,J352,0)</f>
        <v>0</v>
      </c>
      <c r="AA352" s="33">
        <f>IF(AD352=15,J352,0)</f>
        <v>0</v>
      </c>
      <c r="AB352" s="33">
        <f>IF(AD352=21,J352,0)</f>
        <v>0</v>
      </c>
      <c r="AD352" s="59">
        <v>21</v>
      </c>
      <c r="AE352" s="59">
        <f>G352*0.491981917677849</f>
        <v>0</v>
      </c>
      <c r="AF352" s="59">
        <f>G352*(1-0.491981917677849)</f>
        <v>0</v>
      </c>
      <c r="AG352" s="55" t="s">
        <v>13</v>
      </c>
      <c r="AM352" s="59">
        <f>F352*AE352</f>
        <v>0</v>
      </c>
      <c r="AN352" s="59">
        <f>F352*AF352</f>
        <v>0</v>
      </c>
      <c r="AO352" s="60" t="s">
        <v>1145</v>
      </c>
      <c r="AP352" s="60" t="s">
        <v>1175</v>
      </c>
      <c r="AQ352" s="49" t="s">
        <v>1182</v>
      </c>
      <c r="AS352" s="59">
        <f>AM352+AN352</f>
        <v>0</v>
      </c>
      <c r="AT352" s="59">
        <f>G352/(100-AU352)*100</f>
        <v>0</v>
      </c>
      <c r="AU352" s="59">
        <v>0</v>
      </c>
      <c r="AV352" s="59">
        <f>L352</f>
        <v>0.00022</v>
      </c>
    </row>
    <row r="353" spans="4:6" ht="12.75">
      <c r="D353" s="28" t="s">
        <v>7</v>
      </c>
      <c r="F353" s="34">
        <v>1</v>
      </c>
    </row>
    <row r="354" spans="1:48" ht="12.75">
      <c r="A354" s="12" t="s">
        <v>130</v>
      </c>
      <c r="B354" s="12"/>
      <c r="C354" s="12" t="s">
        <v>368</v>
      </c>
      <c r="D354" s="12" t="s">
        <v>800</v>
      </c>
      <c r="E354" s="12" t="s">
        <v>1088</v>
      </c>
      <c r="F354" s="35">
        <v>1</v>
      </c>
      <c r="G354" s="35">
        <v>0</v>
      </c>
      <c r="H354" s="35">
        <f>F354*AE354</f>
        <v>0</v>
      </c>
      <c r="I354" s="35">
        <f>J354-H354</f>
        <v>0</v>
      </c>
      <c r="J354" s="35">
        <f>F354*G354</f>
        <v>0</v>
      </c>
      <c r="K354" s="35">
        <v>0.009</v>
      </c>
      <c r="L354" s="35">
        <f>F354*K354</f>
        <v>0.009</v>
      </c>
      <c r="M354" s="56" t="s">
        <v>1113</v>
      </c>
      <c r="P354" s="59">
        <f>IF(AG354="5",J354,0)</f>
        <v>0</v>
      </c>
      <c r="R354" s="59">
        <f>IF(AG354="1",H354,0)</f>
        <v>0</v>
      </c>
      <c r="S354" s="59">
        <f>IF(AG354="1",I354,0)</f>
        <v>0</v>
      </c>
      <c r="T354" s="59">
        <f>IF(AG354="7",H354,0)</f>
        <v>0</v>
      </c>
      <c r="U354" s="59">
        <f>IF(AG354="7",I354,0)</f>
        <v>0</v>
      </c>
      <c r="V354" s="59">
        <f>IF(AG354="2",H354,0)</f>
        <v>0</v>
      </c>
      <c r="W354" s="59">
        <f>IF(AG354="2",I354,0)</f>
        <v>0</v>
      </c>
      <c r="X354" s="59">
        <f>IF(AG354="0",J354,0)</f>
        <v>0</v>
      </c>
      <c r="Y354" s="49"/>
      <c r="Z354" s="35">
        <f>IF(AD354=0,J354,0)</f>
        <v>0</v>
      </c>
      <c r="AA354" s="35">
        <f>IF(AD354=15,J354,0)</f>
        <v>0</v>
      </c>
      <c r="AB354" s="35">
        <f>IF(AD354=21,J354,0)</f>
        <v>0</v>
      </c>
      <c r="AD354" s="59">
        <v>21</v>
      </c>
      <c r="AE354" s="59">
        <f>G354*1</f>
        <v>0</v>
      </c>
      <c r="AF354" s="59">
        <f>G354*(1-1)</f>
        <v>0</v>
      </c>
      <c r="AG354" s="56" t="s">
        <v>13</v>
      </c>
      <c r="AM354" s="59">
        <f>F354*AE354</f>
        <v>0</v>
      </c>
      <c r="AN354" s="59">
        <f>F354*AF354</f>
        <v>0</v>
      </c>
      <c r="AO354" s="60" t="s">
        <v>1145</v>
      </c>
      <c r="AP354" s="60" t="s">
        <v>1175</v>
      </c>
      <c r="AQ354" s="49" t="s">
        <v>1182</v>
      </c>
      <c r="AS354" s="59">
        <f>AM354+AN354</f>
        <v>0</v>
      </c>
      <c r="AT354" s="59">
        <f>G354/(100-AU354)*100</f>
        <v>0</v>
      </c>
      <c r="AU354" s="59">
        <v>0</v>
      </c>
      <c r="AV354" s="59">
        <f>L354</f>
        <v>0.009</v>
      </c>
    </row>
    <row r="355" spans="4:6" ht="12.75">
      <c r="D355" s="28" t="s">
        <v>7</v>
      </c>
      <c r="F355" s="34">
        <v>1</v>
      </c>
    </row>
    <row r="356" spans="1:48" ht="12.75">
      <c r="A356" s="12" t="s">
        <v>131</v>
      </c>
      <c r="B356" s="12"/>
      <c r="C356" s="12" t="s">
        <v>369</v>
      </c>
      <c r="D356" s="12" t="s">
        <v>801</v>
      </c>
      <c r="E356" s="12" t="s">
        <v>1088</v>
      </c>
      <c r="F356" s="35">
        <v>10</v>
      </c>
      <c r="G356" s="35">
        <v>0</v>
      </c>
      <c r="H356" s="35">
        <f>F356*AE356</f>
        <v>0</v>
      </c>
      <c r="I356" s="35">
        <f>J356-H356</f>
        <v>0</v>
      </c>
      <c r="J356" s="35">
        <f>F356*G356</f>
        <v>0</v>
      </c>
      <c r="K356" s="35">
        <v>0.03</v>
      </c>
      <c r="L356" s="35">
        <f>F356*K356</f>
        <v>0.3</v>
      </c>
      <c r="M356" s="56" t="s">
        <v>1115</v>
      </c>
      <c r="P356" s="59">
        <f>IF(AG356="5",J356,0)</f>
        <v>0</v>
      </c>
      <c r="R356" s="59">
        <f>IF(AG356="1",H356,0)</f>
        <v>0</v>
      </c>
      <c r="S356" s="59">
        <f>IF(AG356="1",I356,0)</f>
        <v>0</v>
      </c>
      <c r="T356" s="59">
        <f>IF(AG356="7",H356,0)</f>
        <v>0</v>
      </c>
      <c r="U356" s="59">
        <f>IF(AG356="7",I356,0)</f>
        <v>0</v>
      </c>
      <c r="V356" s="59">
        <f>IF(AG356="2",H356,0)</f>
        <v>0</v>
      </c>
      <c r="W356" s="59">
        <f>IF(AG356="2",I356,0)</f>
        <v>0</v>
      </c>
      <c r="X356" s="59">
        <f>IF(AG356="0",J356,0)</f>
        <v>0</v>
      </c>
      <c r="Y356" s="49"/>
      <c r="Z356" s="35">
        <f>IF(AD356=0,J356,0)</f>
        <v>0</v>
      </c>
      <c r="AA356" s="35">
        <f>IF(AD356=15,J356,0)</f>
        <v>0</v>
      </c>
      <c r="AB356" s="35">
        <f>IF(AD356=21,J356,0)</f>
        <v>0</v>
      </c>
      <c r="AD356" s="59">
        <v>21</v>
      </c>
      <c r="AE356" s="59">
        <f>G356*1</f>
        <v>0</v>
      </c>
      <c r="AF356" s="59">
        <f>G356*(1-1)</f>
        <v>0</v>
      </c>
      <c r="AG356" s="56" t="s">
        <v>13</v>
      </c>
      <c r="AM356" s="59">
        <f>F356*AE356</f>
        <v>0</v>
      </c>
      <c r="AN356" s="59">
        <f>F356*AF356</f>
        <v>0</v>
      </c>
      <c r="AO356" s="60" t="s">
        <v>1145</v>
      </c>
      <c r="AP356" s="60" t="s">
        <v>1175</v>
      </c>
      <c r="AQ356" s="49" t="s">
        <v>1182</v>
      </c>
      <c r="AS356" s="59">
        <f>AM356+AN356</f>
        <v>0</v>
      </c>
      <c r="AT356" s="59">
        <f>G356/(100-AU356)*100</f>
        <v>0</v>
      </c>
      <c r="AU356" s="59">
        <v>0</v>
      </c>
      <c r="AV356" s="59">
        <f>L356</f>
        <v>0.3</v>
      </c>
    </row>
    <row r="357" spans="4:6" ht="12.75">
      <c r="D357" s="28" t="s">
        <v>802</v>
      </c>
      <c r="F357" s="34">
        <v>10</v>
      </c>
    </row>
    <row r="358" spans="4:6" ht="12.75">
      <c r="D358" s="28" t="s">
        <v>803</v>
      </c>
      <c r="F358" s="34">
        <v>0</v>
      </c>
    </row>
    <row r="359" spans="1:48" ht="12.75">
      <c r="A359" s="12" t="s">
        <v>132</v>
      </c>
      <c r="B359" s="12"/>
      <c r="C359" s="12" t="s">
        <v>370</v>
      </c>
      <c r="D359" s="12" t="s">
        <v>804</v>
      </c>
      <c r="E359" s="12" t="s">
        <v>1088</v>
      </c>
      <c r="F359" s="35">
        <v>3</v>
      </c>
      <c r="G359" s="35">
        <v>0</v>
      </c>
      <c r="H359" s="35">
        <f>F359*AE359</f>
        <v>0</v>
      </c>
      <c r="I359" s="35">
        <f>J359-H359</f>
        <v>0</v>
      </c>
      <c r="J359" s="35">
        <f>F359*G359</f>
        <v>0</v>
      </c>
      <c r="K359" s="35">
        <v>0.03</v>
      </c>
      <c r="L359" s="35">
        <f>F359*K359</f>
        <v>0.09</v>
      </c>
      <c r="M359" s="56" t="s">
        <v>1115</v>
      </c>
      <c r="P359" s="59">
        <f>IF(AG359="5",J359,0)</f>
        <v>0</v>
      </c>
      <c r="R359" s="59">
        <f>IF(AG359="1",H359,0)</f>
        <v>0</v>
      </c>
      <c r="S359" s="59">
        <f>IF(AG359="1",I359,0)</f>
        <v>0</v>
      </c>
      <c r="T359" s="59">
        <f>IF(AG359="7",H359,0)</f>
        <v>0</v>
      </c>
      <c r="U359" s="59">
        <f>IF(AG359="7",I359,0)</f>
        <v>0</v>
      </c>
      <c r="V359" s="59">
        <f>IF(AG359="2",H359,0)</f>
        <v>0</v>
      </c>
      <c r="W359" s="59">
        <f>IF(AG359="2",I359,0)</f>
        <v>0</v>
      </c>
      <c r="X359" s="59">
        <f>IF(AG359="0",J359,0)</f>
        <v>0</v>
      </c>
      <c r="Y359" s="49"/>
      <c r="Z359" s="35">
        <f>IF(AD359=0,J359,0)</f>
        <v>0</v>
      </c>
      <c r="AA359" s="35">
        <f>IF(AD359=15,J359,0)</f>
        <v>0</v>
      </c>
      <c r="AB359" s="35">
        <f>IF(AD359=21,J359,0)</f>
        <v>0</v>
      </c>
      <c r="AD359" s="59">
        <v>21</v>
      </c>
      <c r="AE359" s="59">
        <f>G359*1</f>
        <v>0</v>
      </c>
      <c r="AF359" s="59">
        <f>G359*(1-1)</f>
        <v>0</v>
      </c>
      <c r="AG359" s="56" t="s">
        <v>13</v>
      </c>
      <c r="AM359" s="59">
        <f>F359*AE359</f>
        <v>0</v>
      </c>
      <c r="AN359" s="59">
        <f>F359*AF359</f>
        <v>0</v>
      </c>
      <c r="AO359" s="60" t="s">
        <v>1145</v>
      </c>
      <c r="AP359" s="60" t="s">
        <v>1175</v>
      </c>
      <c r="AQ359" s="49" t="s">
        <v>1182</v>
      </c>
      <c r="AS359" s="59">
        <f>AM359+AN359</f>
        <v>0</v>
      </c>
      <c r="AT359" s="59">
        <f>G359/(100-AU359)*100</f>
        <v>0</v>
      </c>
      <c r="AU359" s="59">
        <v>0</v>
      </c>
      <c r="AV359" s="59">
        <f>L359</f>
        <v>0.09</v>
      </c>
    </row>
    <row r="360" spans="4:6" ht="12.75">
      <c r="D360" s="28" t="s">
        <v>805</v>
      </c>
      <c r="F360" s="34">
        <v>3</v>
      </c>
    </row>
    <row r="361" spans="1:48" ht="12.75">
      <c r="A361" s="12" t="s">
        <v>133</v>
      </c>
      <c r="B361" s="12"/>
      <c r="C361" s="12" t="s">
        <v>371</v>
      </c>
      <c r="D361" s="12" t="s">
        <v>806</v>
      </c>
      <c r="E361" s="12" t="s">
        <v>1090</v>
      </c>
      <c r="F361" s="35">
        <v>10</v>
      </c>
      <c r="G361" s="35">
        <v>0</v>
      </c>
      <c r="H361" s="35">
        <f>F361*AE361</f>
        <v>0</v>
      </c>
      <c r="I361" s="35">
        <f>J361-H361</f>
        <v>0</v>
      </c>
      <c r="J361" s="35">
        <f>F361*G361</f>
        <v>0</v>
      </c>
      <c r="K361" s="35">
        <v>0.002</v>
      </c>
      <c r="L361" s="35">
        <f>F361*K361</f>
        <v>0.02</v>
      </c>
      <c r="M361" s="56" t="s">
        <v>1115</v>
      </c>
      <c r="P361" s="59">
        <f>IF(AG361="5",J361,0)</f>
        <v>0</v>
      </c>
      <c r="R361" s="59">
        <f>IF(AG361="1",H361,0)</f>
        <v>0</v>
      </c>
      <c r="S361" s="59">
        <f>IF(AG361="1",I361,0)</f>
        <v>0</v>
      </c>
      <c r="T361" s="59">
        <f>IF(AG361="7",H361,0)</f>
        <v>0</v>
      </c>
      <c r="U361" s="59">
        <f>IF(AG361="7",I361,0)</f>
        <v>0</v>
      </c>
      <c r="V361" s="59">
        <f>IF(AG361="2",H361,0)</f>
        <v>0</v>
      </c>
      <c r="W361" s="59">
        <f>IF(AG361="2",I361,0)</f>
        <v>0</v>
      </c>
      <c r="X361" s="59">
        <f>IF(AG361="0",J361,0)</f>
        <v>0</v>
      </c>
      <c r="Y361" s="49"/>
      <c r="Z361" s="35">
        <f>IF(AD361=0,J361,0)</f>
        <v>0</v>
      </c>
      <c r="AA361" s="35">
        <f>IF(AD361=15,J361,0)</f>
        <v>0</v>
      </c>
      <c r="AB361" s="35">
        <f>IF(AD361=21,J361,0)</f>
        <v>0</v>
      </c>
      <c r="AD361" s="59">
        <v>21</v>
      </c>
      <c r="AE361" s="59">
        <f>G361*1</f>
        <v>0</v>
      </c>
      <c r="AF361" s="59">
        <f>G361*(1-1)</f>
        <v>0</v>
      </c>
      <c r="AG361" s="56" t="s">
        <v>13</v>
      </c>
      <c r="AM361" s="59">
        <f>F361*AE361</f>
        <v>0</v>
      </c>
      <c r="AN361" s="59">
        <f>F361*AF361</f>
        <v>0</v>
      </c>
      <c r="AO361" s="60" t="s">
        <v>1145</v>
      </c>
      <c r="AP361" s="60" t="s">
        <v>1175</v>
      </c>
      <c r="AQ361" s="49" t="s">
        <v>1182</v>
      </c>
      <c r="AS361" s="59">
        <f>AM361+AN361</f>
        <v>0</v>
      </c>
      <c r="AT361" s="59">
        <f>G361/(100-AU361)*100</f>
        <v>0</v>
      </c>
      <c r="AU361" s="59">
        <v>0</v>
      </c>
      <c r="AV361" s="59">
        <f>L361</f>
        <v>0.02</v>
      </c>
    </row>
    <row r="362" spans="4:6" ht="12.75">
      <c r="D362" s="28" t="s">
        <v>16</v>
      </c>
      <c r="F362" s="34">
        <v>10</v>
      </c>
    </row>
    <row r="363" spans="1:48" ht="12.75">
      <c r="A363" s="12" t="s">
        <v>134</v>
      </c>
      <c r="B363" s="12"/>
      <c r="C363" s="12" t="s">
        <v>372</v>
      </c>
      <c r="D363" s="12" t="s">
        <v>807</v>
      </c>
      <c r="E363" s="12" t="s">
        <v>1090</v>
      </c>
      <c r="F363" s="35">
        <v>3</v>
      </c>
      <c r="G363" s="35">
        <v>0</v>
      </c>
      <c r="H363" s="35">
        <f>F363*AE363</f>
        <v>0</v>
      </c>
      <c r="I363" s="35">
        <f>J363-H363</f>
        <v>0</v>
      </c>
      <c r="J363" s="35">
        <f>F363*G363</f>
        <v>0</v>
      </c>
      <c r="K363" s="35">
        <v>0.002</v>
      </c>
      <c r="L363" s="35">
        <f>F363*K363</f>
        <v>0.006</v>
      </c>
      <c r="M363" s="56" t="s">
        <v>1115</v>
      </c>
      <c r="P363" s="59">
        <f>IF(AG363="5",J363,0)</f>
        <v>0</v>
      </c>
      <c r="R363" s="59">
        <f>IF(AG363="1",H363,0)</f>
        <v>0</v>
      </c>
      <c r="S363" s="59">
        <f>IF(AG363="1",I363,0)</f>
        <v>0</v>
      </c>
      <c r="T363" s="59">
        <f>IF(AG363="7",H363,0)</f>
        <v>0</v>
      </c>
      <c r="U363" s="59">
        <f>IF(AG363="7",I363,0)</f>
        <v>0</v>
      </c>
      <c r="V363" s="59">
        <f>IF(AG363="2",H363,0)</f>
        <v>0</v>
      </c>
      <c r="W363" s="59">
        <f>IF(AG363="2",I363,0)</f>
        <v>0</v>
      </c>
      <c r="X363" s="59">
        <f>IF(AG363="0",J363,0)</f>
        <v>0</v>
      </c>
      <c r="Y363" s="49"/>
      <c r="Z363" s="35">
        <f>IF(AD363=0,J363,0)</f>
        <v>0</v>
      </c>
      <c r="AA363" s="35">
        <f>IF(AD363=15,J363,0)</f>
        <v>0</v>
      </c>
      <c r="AB363" s="35">
        <f>IF(AD363=21,J363,0)</f>
        <v>0</v>
      </c>
      <c r="AD363" s="59">
        <v>21</v>
      </c>
      <c r="AE363" s="59">
        <f>G363*1</f>
        <v>0</v>
      </c>
      <c r="AF363" s="59">
        <f>G363*(1-1)</f>
        <v>0</v>
      </c>
      <c r="AG363" s="56" t="s">
        <v>13</v>
      </c>
      <c r="AM363" s="59">
        <f>F363*AE363</f>
        <v>0</v>
      </c>
      <c r="AN363" s="59">
        <f>F363*AF363</f>
        <v>0</v>
      </c>
      <c r="AO363" s="60" t="s">
        <v>1145</v>
      </c>
      <c r="AP363" s="60" t="s">
        <v>1175</v>
      </c>
      <c r="AQ363" s="49" t="s">
        <v>1182</v>
      </c>
      <c r="AS363" s="59">
        <f>AM363+AN363</f>
        <v>0</v>
      </c>
      <c r="AT363" s="59">
        <f>G363/(100-AU363)*100</f>
        <v>0</v>
      </c>
      <c r="AU363" s="59">
        <v>0</v>
      </c>
      <c r="AV363" s="59">
        <f>L363</f>
        <v>0.006</v>
      </c>
    </row>
    <row r="364" spans="4:6" ht="12.75">
      <c r="D364" s="28" t="s">
        <v>9</v>
      </c>
      <c r="F364" s="34">
        <v>3</v>
      </c>
    </row>
    <row r="365" spans="1:48" ht="12.75">
      <c r="A365" s="10" t="s">
        <v>135</v>
      </c>
      <c r="B365" s="10"/>
      <c r="C365" s="10" t="s">
        <v>373</v>
      </c>
      <c r="D365" s="10" t="s">
        <v>808</v>
      </c>
      <c r="E365" s="10" t="s">
        <v>1087</v>
      </c>
      <c r="F365" s="33">
        <v>1</v>
      </c>
      <c r="G365" s="33">
        <v>0</v>
      </c>
      <c r="H365" s="33">
        <f>F365*AE365</f>
        <v>0</v>
      </c>
      <c r="I365" s="33">
        <f>J365-H365</f>
        <v>0</v>
      </c>
      <c r="J365" s="33">
        <f>F365*G365</f>
        <v>0</v>
      </c>
      <c r="K365" s="33">
        <v>0.10482</v>
      </c>
      <c r="L365" s="33">
        <f>F365*K365</f>
        <v>0.10482</v>
      </c>
      <c r="M365" s="55" t="s">
        <v>1115</v>
      </c>
      <c r="P365" s="59">
        <f>IF(AG365="5",J365,0)</f>
        <v>0</v>
      </c>
      <c r="R365" s="59">
        <f>IF(AG365="1",H365,0)</f>
        <v>0</v>
      </c>
      <c r="S365" s="59">
        <f>IF(AG365="1",I365,0)</f>
        <v>0</v>
      </c>
      <c r="T365" s="59">
        <f>IF(AG365="7",H365,0)</f>
        <v>0</v>
      </c>
      <c r="U365" s="59">
        <f>IF(AG365="7",I365,0)</f>
        <v>0</v>
      </c>
      <c r="V365" s="59">
        <f>IF(AG365="2",H365,0)</f>
        <v>0</v>
      </c>
      <c r="W365" s="59">
        <f>IF(AG365="2",I365,0)</f>
        <v>0</v>
      </c>
      <c r="X365" s="59">
        <f>IF(AG365="0",J365,0)</f>
        <v>0</v>
      </c>
      <c r="Y365" s="49"/>
      <c r="Z365" s="33">
        <f>IF(AD365=0,J365,0)</f>
        <v>0</v>
      </c>
      <c r="AA365" s="33">
        <f>IF(AD365=15,J365,0)</f>
        <v>0</v>
      </c>
      <c r="AB365" s="33">
        <f>IF(AD365=21,J365,0)</f>
        <v>0</v>
      </c>
      <c r="AD365" s="59">
        <v>21</v>
      </c>
      <c r="AE365" s="59">
        <f>G365*0.900910373443983</f>
        <v>0</v>
      </c>
      <c r="AF365" s="59">
        <f>G365*(1-0.900910373443983)</f>
        <v>0</v>
      </c>
      <c r="AG365" s="55" t="s">
        <v>13</v>
      </c>
      <c r="AM365" s="59">
        <f>F365*AE365</f>
        <v>0</v>
      </c>
      <c r="AN365" s="59">
        <f>F365*AF365</f>
        <v>0</v>
      </c>
      <c r="AO365" s="60" t="s">
        <v>1145</v>
      </c>
      <c r="AP365" s="60" t="s">
        <v>1175</v>
      </c>
      <c r="AQ365" s="49" t="s">
        <v>1182</v>
      </c>
      <c r="AS365" s="59">
        <f>AM365+AN365</f>
        <v>0</v>
      </c>
      <c r="AT365" s="59">
        <f>G365/(100-AU365)*100</f>
        <v>0</v>
      </c>
      <c r="AU365" s="59">
        <v>0</v>
      </c>
      <c r="AV365" s="59">
        <f>L365</f>
        <v>0.10482</v>
      </c>
    </row>
    <row r="366" spans="4:6" ht="12.75">
      <c r="D366" s="28" t="s">
        <v>809</v>
      </c>
      <c r="F366" s="34">
        <v>1</v>
      </c>
    </row>
    <row r="367" spans="1:48" ht="12.75">
      <c r="A367" s="10" t="s">
        <v>136</v>
      </c>
      <c r="B367" s="10"/>
      <c r="C367" s="10" t="s">
        <v>374</v>
      </c>
      <c r="D367" s="10" t="s">
        <v>810</v>
      </c>
      <c r="E367" s="10" t="s">
        <v>1085</v>
      </c>
      <c r="F367" s="33">
        <v>0.649</v>
      </c>
      <c r="G367" s="33">
        <v>0</v>
      </c>
      <c r="H367" s="33">
        <f>F367*AE367</f>
        <v>0</v>
      </c>
      <c r="I367" s="33">
        <f>J367-H367</f>
        <v>0</v>
      </c>
      <c r="J367" s="33">
        <f>F367*G367</f>
        <v>0</v>
      </c>
      <c r="K367" s="33">
        <v>0</v>
      </c>
      <c r="L367" s="33">
        <f>F367*K367</f>
        <v>0</v>
      </c>
      <c r="M367" s="55" t="s">
        <v>1115</v>
      </c>
      <c r="P367" s="59">
        <f>IF(AG367="5",J367,0)</f>
        <v>0</v>
      </c>
      <c r="R367" s="59">
        <f>IF(AG367="1",H367,0)</f>
        <v>0</v>
      </c>
      <c r="S367" s="59">
        <f>IF(AG367="1",I367,0)</f>
        <v>0</v>
      </c>
      <c r="T367" s="59">
        <f>IF(AG367="7",H367,0)</f>
        <v>0</v>
      </c>
      <c r="U367" s="59">
        <f>IF(AG367="7",I367,0)</f>
        <v>0</v>
      </c>
      <c r="V367" s="59">
        <f>IF(AG367="2",H367,0)</f>
        <v>0</v>
      </c>
      <c r="W367" s="59">
        <f>IF(AG367="2",I367,0)</f>
        <v>0</v>
      </c>
      <c r="X367" s="59">
        <f>IF(AG367="0",J367,0)</f>
        <v>0</v>
      </c>
      <c r="Y367" s="49"/>
      <c r="Z367" s="33">
        <f>IF(AD367=0,J367,0)</f>
        <v>0</v>
      </c>
      <c r="AA367" s="33">
        <f>IF(AD367=15,J367,0)</f>
        <v>0</v>
      </c>
      <c r="AB367" s="33">
        <f>IF(AD367=21,J367,0)</f>
        <v>0</v>
      </c>
      <c r="AD367" s="59">
        <v>21</v>
      </c>
      <c r="AE367" s="59">
        <f>G367*0</f>
        <v>0</v>
      </c>
      <c r="AF367" s="59">
        <f>G367*(1-0)</f>
        <v>0</v>
      </c>
      <c r="AG367" s="55" t="s">
        <v>11</v>
      </c>
      <c r="AM367" s="59">
        <f>F367*AE367</f>
        <v>0</v>
      </c>
      <c r="AN367" s="59">
        <f>F367*AF367</f>
        <v>0</v>
      </c>
      <c r="AO367" s="60" t="s">
        <v>1145</v>
      </c>
      <c r="AP367" s="60" t="s">
        <v>1175</v>
      </c>
      <c r="AQ367" s="49" t="s">
        <v>1182</v>
      </c>
      <c r="AS367" s="59">
        <f>AM367+AN367</f>
        <v>0</v>
      </c>
      <c r="AT367" s="59">
        <f>G367/(100-AU367)*100</f>
        <v>0</v>
      </c>
      <c r="AU367" s="59">
        <v>0</v>
      </c>
      <c r="AV367" s="59">
        <f>L367</f>
        <v>0</v>
      </c>
    </row>
    <row r="368" spans="4:6" ht="12.75">
      <c r="D368" s="28" t="s">
        <v>811</v>
      </c>
      <c r="F368" s="34">
        <v>0.649</v>
      </c>
    </row>
    <row r="369" spans="1:37" ht="12.75">
      <c r="A369" s="11"/>
      <c r="B369" s="24"/>
      <c r="C369" s="24" t="s">
        <v>375</v>
      </c>
      <c r="D369" s="24" t="s">
        <v>812</v>
      </c>
      <c r="E369" s="11" t="s">
        <v>6</v>
      </c>
      <c r="F369" s="11" t="s">
        <v>6</v>
      </c>
      <c r="G369" s="11" t="s">
        <v>6</v>
      </c>
      <c r="H369" s="62">
        <f>SUM(H370:H374)</f>
        <v>0</v>
      </c>
      <c r="I369" s="62">
        <f>SUM(I370:I374)</f>
        <v>0</v>
      </c>
      <c r="J369" s="62">
        <f>H369+I369</f>
        <v>0</v>
      </c>
      <c r="K369" s="49"/>
      <c r="L369" s="62">
        <f>SUM(L370:L374)</f>
        <v>0</v>
      </c>
      <c r="M369" s="49"/>
      <c r="Y369" s="49"/>
      <c r="AI369" s="62">
        <f>SUM(Z370:Z374)</f>
        <v>0</v>
      </c>
      <c r="AJ369" s="62">
        <f>SUM(AA370:AA374)</f>
        <v>0</v>
      </c>
      <c r="AK369" s="62">
        <f>SUM(AB370:AB374)</f>
        <v>0</v>
      </c>
    </row>
    <row r="370" spans="1:48" ht="12.75">
      <c r="A370" s="10" t="s">
        <v>137</v>
      </c>
      <c r="B370" s="10"/>
      <c r="C370" s="10" t="s">
        <v>376</v>
      </c>
      <c r="D370" s="10" t="s">
        <v>813</v>
      </c>
      <c r="E370" s="10" t="s">
        <v>1088</v>
      </c>
      <c r="F370" s="33">
        <v>2</v>
      </c>
      <c r="G370" s="33">
        <v>0</v>
      </c>
      <c r="H370" s="33">
        <f>F370*AE370</f>
        <v>0</v>
      </c>
      <c r="I370" s="33">
        <f>J370-H370</f>
        <v>0</v>
      </c>
      <c r="J370" s="33">
        <f>F370*G370</f>
        <v>0</v>
      </c>
      <c r="K370" s="33">
        <v>0</v>
      </c>
      <c r="L370" s="33">
        <f>F370*K370</f>
        <v>0</v>
      </c>
      <c r="M370" s="55" t="s">
        <v>1113</v>
      </c>
      <c r="P370" s="59">
        <f>IF(AG370="5",J370,0)</f>
        <v>0</v>
      </c>
      <c r="R370" s="59">
        <f>IF(AG370="1",H370,0)</f>
        <v>0</v>
      </c>
      <c r="S370" s="59">
        <f>IF(AG370="1",I370,0)</f>
        <v>0</v>
      </c>
      <c r="T370" s="59">
        <f>IF(AG370="7",H370,0)</f>
        <v>0</v>
      </c>
      <c r="U370" s="59">
        <f>IF(AG370="7",I370,0)</f>
        <v>0</v>
      </c>
      <c r="V370" s="59">
        <f>IF(AG370="2",H370,0)</f>
        <v>0</v>
      </c>
      <c r="W370" s="59">
        <f>IF(AG370="2",I370,0)</f>
        <v>0</v>
      </c>
      <c r="X370" s="59">
        <f>IF(AG370="0",J370,0)</f>
        <v>0</v>
      </c>
      <c r="Y370" s="49"/>
      <c r="Z370" s="33">
        <f>IF(AD370=0,J370,0)</f>
        <v>0</v>
      </c>
      <c r="AA370" s="33">
        <f>IF(AD370=15,J370,0)</f>
        <v>0</v>
      </c>
      <c r="AB370" s="33">
        <f>IF(AD370=21,J370,0)</f>
        <v>0</v>
      </c>
      <c r="AD370" s="59">
        <v>21</v>
      </c>
      <c r="AE370" s="59">
        <f>G370*0</f>
        <v>0</v>
      </c>
      <c r="AF370" s="59">
        <f>G370*(1-0)</f>
        <v>0</v>
      </c>
      <c r="AG370" s="55" t="s">
        <v>13</v>
      </c>
      <c r="AM370" s="59">
        <f>F370*AE370</f>
        <v>0</v>
      </c>
      <c r="AN370" s="59">
        <f>F370*AF370</f>
        <v>0</v>
      </c>
      <c r="AO370" s="60" t="s">
        <v>1146</v>
      </c>
      <c r="AP370" s="60" t="s">
        <v>1175</v>
      </c>
      <c r="AQ370" s="49" t="s">
        <v>1182</v>
      </c>
      <c r="AS370" s="59">
        <f>AM370+AN370</f>
        <v>0</v>
      </c>
      <c r="AT370" s="59">
        <f>G370/(100-AU370)*100</f>
        <v>0</v>
      </c>
      <c r="AU370" s="59">
        <v>0</v>
      </c>
      <c r="AV370" s="59">
        <f>L370</f>
        <v>0</v>
      </c>
    </row>
    <row r="371" spans="4:6" ht="12.75">
      <c r="D371" s="28" t="s">
        <v>814</v>
      </c>
      <c r="F371" s="34">
        <v>2</v>
      </c>
    </row>
    <row r="372" spans="1:48" ht="12.75">
      <c r="A372" s="10" t="s">
        <v>138</v>
      </c>
      <c r="B372" s="10"/>
      <c r="C372" s="10" t="s">
        <v>377</v>
      </c>
      <c r="D372" s="10" t="s">
        <v>815</v>
      </c>
      <c r="E372" s="10" t="s">
        <v>1089</v>
      </c>
      <c r="F372" s="33">
        <v>1</v>
      </c>
      <c r="G372" s="33">
        <v>0</v>
      </c>
      <c r="H372" s="33">
        <f>F372*AE372</f>
        <v>0</v>
      </c>
      <c r="I372" s="33">
        <f>J372-H372</f>
        <v>0</v>
      </c>
      <c r="J372" s="33">
        <f>F372*G372</f>
        <v>0</v>
      </c>
      <c r="K372" s="33">
        <v>0</v>
      </c>
      <c r="L372" s="33">
        <f>F372*K372</f>
        <v>0</v>
      </c>
      <c r="M372" s="55" t="s">
        <v>1113</v>
      </c>
      <c r="P372" s="59">
        <f>IF(AG372="5",J372,0)</f>
        <v>0</v>
      </c>
      <c r="R372" s="59">
        <f>IF(AG372="1",H372,0)</f>
        <v>0</v>
      </c>
      <c r="S372" s="59">
        <f>IF(AG372="1",I372,0)</f>
        <v>0</v>
      </c>
      <c r="T372" s="59">
        <f>IF(AG372="7",H372,0)</f>
        <v>0</v>
      </c>
      <c r="U372" s="59">
        <f>IF(AG372="7",I372,0)</f>
        <v>0</v>
      </c>
      <c r="V372" s="59">
        <f>IF(AG372="2",H372,0)</f>
        <v>0</v>
      </c>
      <c r="W372" s="59">
        <f>IF(AG372="2",I372,0)</f>
        <v>0</v>
      </c>
      <c r="X372" s="59">
        <f>IF(AG372="0",J372,0)</f>
        <v>0</v>
      </c>
      <c r="Y372" s="49"/>
      <c r="Z372" s="33">
        <f>IF(AD372=0,J372,0)</f>
        <v>0</v>
      </c>
      <c r="AA372" s="33">
        <f>IF(AD372=15,J372,0)</f>
        <v>0</v>
      </c>
      <c r="AB372" s="33">
        <f>IF(AD372=21,J372,0)</f>
        <v>0</v>
      </c>
      <c r="AD372" s="59">
        <v>21</v>
      </c>
      <c r="AE372" s="59">
        <f>G372*0</f>
        <v>0</v>
      </c>
      <c r="AF372" s="59">
        <f>G372*(1-0)</f>
        <v>0</v>
      </c>
      <c r="AG372" s="55" t="s">
        <v>13</v>
      </c>
      <c r="AM372" s="59">
        <f>F372*AE372</f>
        <v>0</v>
      </c>
      <c r="AN372" s="59">
        <f>F372*AF372</f>
        <v>0</v>
      </c>
      <c r="AO372" s="60" t="s">
        <v>1146</v>
      </c>
      <c r="AP372" s="60" t="s">
        <v>1175</v>
      </c>
      <c r="AQ372" s="49" t="s">
        <v>1182</v>
      </c>
      <c r="AS372" s="59">
        <f>AM372+AN372</f>
        <v>0</v>
      </c>
      <c r="AT372" s="59">
        <f>G372/(100-AU372)*100</f>
        <v>0</v>
      </c>
      <c r="AU372" s="59">
        <v>0</v>
      </c>
      <c r="AV372" s="59">
        <f>L372</f>
        <v>0</v>
      </c>
    </row>
    <row r="373" spans="4:6" ht="12.75">
      <c r="D373" s="28" t="s">
        <v>816</v>
      </c>
      <c r="F373" s="34">
        <v>1</v>
      </c>
    </row>
    <row r="374" spans="1:48" ht="12.75">
      <c r="A374" s="10" t="s">
        <v>139</v>
      </c>
      <c r="B374" s="10"/>
      <c r="C374" s="10" t="s">
        <v>378</v>
      </c>
      <c r="D374" s="10" t="s">
        <v>817</v>
      </c>
      <c r="E374" s="10" t="s">
        <v>1088</v>
      </c>
      <c r="F374" s="33">
        <v>4</v>
      </c>
      <c r="G374" s="33">
        <v>0</v>
      </c>
      <c r="H374" s="33">
        <f>F374*AE374</f>
        <v>0</v>
      </c>
      <c r="I374" s="33">
        <f>J374-H374</f>
        <v>0</v>
      </c>
      <c r="J374" s="33">
        <f>F374*G374</f>
        <v>0</v>
      </c>
      <c r="K374" s="33">
        <v>0</v>
      </c>
      <c r="L374" s="33">
        <f>F374*K374</f>
        <v>0</v>
      </c>
      <c r="M374" s="55" t="s">
        <v>1115</v>
      </c>
      <c r="P374" s="59">
        <f>IF(AG374="5",J374,0)</f>
        <v>0</v>
      </c>
      <c r="R374" s="59">
        <f>IF(AG374="1",H374,0)</f>
        <v>0</v>
      </c>
      <c r="S374" s="59">
        <f>IF(AG374="1",I374,0)</f>
        <v>0</v>
      </c>
      <c r="T374" s="59">
        <f>IF(AG374="7",H374,0)</f>
        <v>0</v>
      </c>
      <c r="U374" s="59">
        <f>IF(AG374="7",I374,0)</f>
        <v>0</v>
      </c>
      <c r="V374" s="59">
        <f>IF(AG374="2",H374,0)</f>
        <v>0</v>
      </c>
      <c r="W374" s="59">
        <f>IF(AG374="2",I374,0)</f>
        <v>0</v>
      </c>
      <c r="X374" s="59">
        <f>IF(AG374="0",J374,0)</f>
        <v>0</v>
      </c>
      <c r="Y374" s="49"/>
      <c r="Z374" s="33">
        <f>IF(AD374=0,J374,0)</f>
        <v>0</v>
      </c>
      <c r="AA374" s="33">
        <f>IF(AD374=15,J374,0)</f>
        <v>0</v>
      </c>
      <c r="AB374" s="33">
        <f>IF(AD374=21,J374,0)</f>
        <v>0</v>
      </c>
      <c r="AD374" s="59">
        <v>21</v>
      </c>
      <c r="AE374" s="59">
        <f>G374*0.770669799066495</f>
        <v>0</v>
      </c>
      <c r="AF374" s="59">
        <f>G374*(1-0.770669799066495)</f>
        <v>0</v>
      </c>
      <c r="AG374" s="55" t="s">
        <v>13</v>
      </c>
      <c r="AM374" s="59">
        <f>F374*AE374</f>
        <v>0</v>
      </c>
      <c r="AN374" s="59">
        <f>F374*AF374</f>
        <v>0</v>
      </c>
      <c r="AO374" s="60" t="s">
        <v>1146</v>
      </c>
      <c r="AP374" s="60" t="s">
        <v>1175</v>
      </c>
      <c r="AQ374" s="49" t="s">
        <v>1182</v>
      </c>
      <c r="AS374" s="59">
        <f>AM374+AN374</f>
        <v>0</v>
      </c>
      <c r="AT374" s="59">
        <f>G374/(100-AU374)*100</f>
        <v>0</v>
      </c>
      <c r="AU374" s="59">
        <v>0</v>
      </c>
      <c r="AV374" s="59">
        <f>L374</f>
        <v>0</v>
      </c>
    </row>
    <row r="375" spans="4:6" ht="12.75">
      <c r="D375" s="28" t="s">
        <v>818</v>
      </c>
      <c r="F375" s="34">
        <v>4</v>
      </c>
    </row>
    <row r="376" spans="1:37" ht="12.75">
      <c r="A376" s="11"/>
      <c r="B376" s="24"/>
      <c r="C376" s="24" t="s">
        <v>379</v>
      </c>
      <c r="D376" s="24" t="s">
        <v>819</v>
      </c>
      <c r="E376" s="11" t="s">
        <v>6</v>
      </c>
      <c r="F376" s="11" t="s">
        <v>6</v>
      </c>
      <c r="G376" s="11" t="s">
        <v>6</v>
      </c>
      <c r="H376" s="62">
        <f>SUM(H377:H377)</f>
        <v>0</v>
      </c>
      <c r="I376" s="62">
        <f>SUM(I377:I377)</f>
        <v>0</v>
      </c>
      <c r="J376" s="62">
        <f>H376+I376</f>
        <v>0</v>
      </c>
      <c r="K376" s="49"/>
      <c r="L376" s="62">
        <f>SUM(L377:L377)</f>
        <v>1.52045</v>
      </c>
      <c r="M376" s="49"/>
      <c r="Y376" s="49"/>
      <c r="AI376" s="62">
        <f>SUM(Z377:Z377)</f>
        <v>0</v>
      </c>
      <c r="AJ376" s="62">
        <f>SUM(AA377:AA377)</f>
        <v>0</v>
      </c>
      <c r="AK376" s="62">
        <f>SUM(AB377:AB377)</f>
        <v>0</v>
      </c>
    </row>
    <row r="377" spans="1:48" ht="12.75">
      <c r="A377" s="10" t="s">
        <v>140</v>
      </c>
      <c r="B377" s="10"/>
      <c r="C377" s="10" t="s">
        <v>380</v>
      </c>
      <c r="D377" s="10" t="s">
        <v>820</v>
      </c>
      <c r="E377" s="10" t="s">
        <v>1089</v>
      </c>
      <c r="F377" s="33">
        <v>1</v>
      </c>
      <c r="G377" s="33">
        <v>0</v>
      </c>
      <c r="H377" s="33">
        <f>F377*AE377</f>
        <v>0</v>
      </c>
      <c r="I377" s="33">
        <f>J377-H377</f>
        <v>0</v>
      </c>
      <c r="J377" s="33">
        <f>F377*G377</f>
        <v>0</v>
      </c>
      <c r="K377" s="33">
        <v>1.52045</v>
      </c>
      <c r="L377" s="33">
        <f>F377*K377</f>
        <v>1.52045</v>
      </c>
      <c r="M377" s="55" t="s">
        <v>1113</v>
      </c>
      <c r="P377" s="59">
        <f>IF(AG377="5",J377,0)</f>
        <v>0</v>
      </c>
      <c r="R377" s="59">
        <f>IF(AG377="1",H377,0)</f>
        <v>0</v>
      </c>
      <c r="S377" s="59">
        <f>IF(AG377="1",I377,0)</f>
        <v>0</v>
      </c>
      <c r="T377" s="59">
        <f>IF(AG377="7",H377,0)</f>
        <v>0</v>
      </c>
      <c r="U377" s="59">
        <f>IF(AG377="7",I377,0)</f>
        <v>0</v>
      </c>
      <c r="V377" s="59">
        <f>IF(AG377="2",H377,0)</f>
        <v>0</v>
      </c>
      <c r="W377" s="59">
        <f>IF(AG377="2",I377,0)</f>
        <v>0</v>
      </c>
      <c r="X377" s="59">
        <f>IF(AG377="0",J377,0)</f>
        <v>0</v>
      </c>
      <c r="Y377" s="49"/>
      <c r="Z377" s="33">
        <f>IF(AD377=0,J377,0)</f>
        <v>0</v>
      </c>
      <c r="AA377" s="33">
        <f>IF(AD377=15,J377,0)</f>
        <v>0</v>
      </c>
      <c r="AB377" s="33">
        <f>IF(AD377=21,J377,0)</f>
        <v>0</v>
      </c>
      <c r="AD377" s="59">
        <v>21</v>
      </c>
      <c r="AE377" s="59">
        <f>G377*0.00605904504656922</f>
        <v>0</v>
      </c>
      <c r="AF377" s="59">
        <f>G377*(1-0.00605904504656922)</f>
        <v>0</v>
      </c>
      <c r="AG377" s="55" t="s">
        <v>13</v>
      </c>
      <c r="AM377" s="59">
        <f>F377*AE377</f>
        <v>0</v>
      </c>
      <c r="AN377" s="59">
        <f>F377*AF377</f>
        <v>0</v>
      </c>
      <c r="AO377" s="60" t="s">
        <v>1147</v>
      </c>
      <c r="AP377" s="60" t="s">
        <v>1176</v>
      </c>
      <c r="AQ377" s="49" t="s">
        <v>1182</v>
      </c>
      <c r="AS377" s="59">
        <f>AM377+AN377</f>
        <v>0</v>
      </c>
      <c r="AT377" s="59">
        <f>G377/(100-AU377)*100</f>
        <v>0</v>
      </c>
      <c r="AU377" s="59">
        <v>0</v>
      </c>
      <c r="AV377" s="59">
        <f>L377</f>
        <v>1.52045</v>
      </c>
    </row>
    <row r="378" spans="4:6" ht="12.75">
      <c r="D378" s="28" t="s">
        <v>821</v>
      </c>
      <c r="F378" s="34">
        <v>1</v>
      </c>
    </row>
    <row r="379" spans="1:37" ht="12.75">
      <c r="A379" s="11"/>
      <c r="B379" s="24"/>
      <c r="C379" s="24" t="s">
        <v>381</v>
      </c>
      <c r="D379" s="24" t="s">
        <v>822</v>
      </c>
      <c r="E379" s="11" t="s">
        <v>6</v>
      </c>
      <c r="F379" s="11" t="s">
        <v>6</v>
      </c>
      <c r="G379" s="11" t="s">
        <v>6</v>
      </c>
      <c r="H379" s="62">
        <f>SUM(H380:H407)</f>
        <v>0</v>
      </c>
      <c r="I379" s="62">
        <f>SUM(I380:I407)</f>
        <v>0</v>
      </c>
      <c r="J379" s="62">
        <f>H379+I379</f>
        <v>0</v>
      </c>
      <c r="K379" s="49"/>
      <c r="L379" s="62">
        <f>SUM(L380:L407)</f>
        <v>6.400155900000001</v>
      </c>
      <c r="M379" s="49"/>
      <c r="Y379" s="49"/>
      <c r="AI379" s="62">
        <f>SUM(Z380:Z407)</f>
        <v>0</v>
      </c>
      <c r="AJ379" s="62">
        <f>SUM(AA380:AA407)</f>
        <v>0</v>
      </c>
      <c r="AK379" s="62">
        <f>SUM(AB380:AB407)</f>
        <v>0</v>
      </c>
    </row>
    <row r="380" spans="1:48" ht="12.75">
      <c r="A380" s="10" t="s">
        <v>141</v>
      </c>
      <c r="B380" s="10"/>
      <c r="C380" s="10" t="s">
        <v>382</v>
      </c>
      <c r="D380" s="10" t="s">
        <v>823</v>
      </c>
      <c r="E380" s="10" t="s">
        <v>1086</v>
      </c>
      <c r="F380" s="33">
        <v>65</v>
      </c>
      <c r="G380" s="33">
        <v>0</v>
      </c>
      <c r="H380" s="33">
        <f>F380*AE380</f>
        <v>0</v>
      </c>
      <c r="I380" s="33">
        <f>J380-H380</f>
        <v>0</v>
      </c>
      <c r="J380" s="33">
        <f>F380*G380</f>
        <v>0</v>
      </c>
      <c r="K380" s="33">
        <v>0.00145</v>
      </c>
      <c r="L380" s="33">
        <f>F380*K380</f>
        <v>0.09425</v>
      </c>
      <c r="M380" s="55" t="s">
        <v>1113</v>
      </c>
      <c r="P380" s="59">
        <f>IF(AG380="5",J380,0)</f>
        <v>0</v>
      </c>
      <c r="R380" s="59">
        <f>IF(AG380="1",H380,0)</f>
        <v>0</v>
      </c>
      <c r="S380" s="59">
        <f>IF(AG380="1",I380,0)</f>
        <v>0</v>
      </c>
      <c r="T380" s="59">
        <f>IF(AG380="7",H380,0)</f>
        <v>0</v>
      </c>
      <c r="U380" s="59">
        <f>IF(AG380="7",I380,0)</f>
        <v>0</v>
      </c>
      <c r="V380" s="59">
        <f>IF(AG380="2",H380,0)</f>
        <v>0</v>
      </c>
      <c r="W380" s="59">
        <f>IF(AG380="2",I380,0)</f>
        <v>0</v>
      </c>
      <c r="X380" s="59">
        <f>IF(AG380="0",J380,0)</f>
        <v>0</v>
      </c>
      <c r="Y380" s="49"/>
      <c r="Z380" s="33">
        <f>IF(AD380=0,J380,0)</f>
        <v>0</v>
      </c>
      <c r="AA380" s="33">
        <f>IF(AD380=15,J380,0)</f>
        <v>0</v>
      </c>
      <c r="AB380" s="33">
        <f>IF(AD380=21,J380,0)</f>
        <v>0</v>
      </c>
      <c r="AD380" s="59">
        <v>21</v>
      </c>
      <c r="AE380" s="59">
        <f>G380*0.455769230769231</f>
        <v>0</v>
      </c>
      <c r="AF380" s="59">
        <f>G380*(1-0.455769230769231)</f>
        <v>0</v>
      </c>
      <c r="AG380" s="55" t="s">
        <v>13</v>
      </c>
      <c r="AM380" s="59">
        <f>F380*AE380</f>
        <v>0</v>
      </c>
      <c r="AN380" s="59">
        <f>F380*AF380</f>
        <v>0</v>
      </c>
      <c r="AO380" s="60" t="s">
        <v>1148</v>
      </c>
      <c r="AP380" s="60" t="s">
        <v>1177</v>
      </c>
      <c r="AQ380" s="49" t="s">
        <v>1182</v>
      </c>
      <c r="AS380" s="59">
        <f>AM380+AN380</f>
        <v>0</v>
      </c>
      <c r="AT380" s="59">
        <f>G380/(100-AU380)*100</f>
        <v>0</v>
      </c>
      <c r="AU380" s="59">
        <v>0</v>
      </c>
      <c r="AV380" s="59">
        <f>L380</f>
        <v>0.09425</v>
      </c>
    </row>
    <row r="381" spans="4:6" ht="12.75">
      <c r="D381" s="28" t="s">
        <v>824</v>
      </c>
      <c r="F381" s="34">
        <v>65</v>
      </c>
    </row>
    <row r="382" spans="1:48" ht="12.75">
      <c r="A382" s="10" t="s">
        <v>142</v>
      </c>
      <c r="B382" s="10"/>
      <c r="C382" s="10" t="s">
        <v>383</v>
      </c>
      <c r="D382" s="10" t="s">
        <v>825</v>
      </c>
      <c r="E382" s="10" t="s">
        <v>1084</v>
      </c>
      <c r="F382" s="33">
        <v>185.25</v>
      </c>
      <c r="G382" s="33">
        <v>0</v>
      </c>
      <c r="H382" s="33">
        <f>F382*AE382</f>
        <v>0</v>
      </c>
      <c r="I382" s="33">
        <f>J382-H382</f>
        <v>0</v>
      </c>
      <c r="J382" s="33">
        <f>F382*G382</f>
        <v>0</v>
      </c>
      <c r="K382" s="33">
        <v>0.016</v>
      </c>
      <c r="L382" s="33">
        <f>F382*K382</f>
        <v>2.964</v>
      </c>
      <c r="M382" s="55" t="s">
        <v>1113</v>
      </c>
      <c r="P382" s="59">
        <f>IF(AG382="5",J382,0)</f>
        <v>0</v>
      </c>
      <c r="R382" s="59">
        <f>IF(AG382="1",H382,0)</f>
        <v>0</v>
      </c>
      <c r="S382" s="59">
        <f>IF(AG382="1",I382,0)</f>
        <v>0</v>
      </c>
      <c r="T382" s="59">
        <f>IF(AG382="7",H382,0)</f>
        <v>0</v>
      </c>
      <c r="U382" s="59">
        <f>IF(AG382="7",I382,0)</f>
        <v>0</v>
      </c>
      <c r="V382" s="59">
        <f>IF(AG382="2",H382,0)</f>
        <v>0</v>
      </c>
      <c r="W382" s="59">
        <f>IF(AG382="2",I382,0)</f>
        <v>0</v>
      </c>
      <c r="X382" s="59">
        <f>IF(AG382="0",J382,0)</f>
        <v>0</v>
      </c>
      <c r="Y382" s="49"/>
      <c r="Z382" s="33">
        <f>IF(AD382=0,J382,0)</f>
        <v>0</v>
      </c>
      <c r="AA382" s="33">
        <f>IF(AD382=15,J382,0)</f>
        <v>0</v>
      </c>
      <c r="AB382" s="33">
        <f>IF(AD382=21,J382,0)</f>
        <v>0</v>
      </c>
      <c r="AD382" s="59">
        <v>21</v>
      </c>
      <c r="AE382" s="59">
        <f>G382*0.0222674418604651</f>
        <v>0</v>
      </c>
      <c r="AF382" s="59">
        <f>G382*(1-0.0222674418604651)</f>
        <v>0</v>
      </c>
      <c r="AG382" s="55" t="s">
        <v>13</v>
      </c>
      <c r="AM382" s="59">
        <f>F382*AE382</f>
        <v>0</v>
      </c>
      <c r="AN382" s="59">
        <f>F382*AF382</f>
        <v>0</v>
      </c>
      <c r="AO382" s="60" t="s">
        <v>1148</v>
      </c>
      <c r="AP382" s="60" t="s">
        <v>1177</v>
      </c>
      <c r="AQ382" s="49" t="s">
        <v>1182</v>
      </c>
      <c r="AS382" s="59">
        <f>AM382+AN382</f>
        <v>0</v>
      </c>
      <c r="AT382" s="59">
        <f>G382/(100-AU382)*100</f>
        <v>0</v>
      </c>
      <c r="AU382" s="59">
        <v>0</v>
      </c>
      <c r="AV382" s="59">
        <f>L382</f>
        <v>2.964</v>
      </c>
    </row>
    <row r="383" spans="4:6" ht="12.75">
      <c r="D383" s="28" t="s">
        <v>826</v>
      </c>
      <c r="F383" s="34">
        <v>52.05</v>
      </c>
    </row>
    <row r="384" spans="4:6" ht="12.75">
      <c r="D384" s="28" t="s">
        <v>827</v>
      </c>
      <c r="F384" s="34">
        <v>126</v>
      </c>
    </row>
    <row r="385" spans="4:6" ht="12.75">
      <c r="D385" s="28" t="s">
        <v>828</v>
      </c>
      <c r="F385" s="34">
        <v>7.2</v>
      </c>
    </row>
    <row r="386" spans="1:48" ht="12.75">
      <c r="A386" s="10" t="s">
        <v>143</v>
      </c>
      <c r="B386" s="10"/>
      <c r="C386" s="10" t="s">
        <v>384</v>
      </c>
      <c r="D386" s="10" t="s">
        <v>829</v>
      </c>
      <c r="E386" s="10" t="s">
        <v>1084</v>
      </c>
      <c r="F386" s="33">
        <v>9.4</v>
      </c>
      <c r="G386" s="33">
        <v>0</v>
      </c>
      <c r="H386" s="33">
        <f>F386*AE386</f>
        <v>0</v>
      </c>
      <c r="I386" s="33">
        <f>J386-H386</f>
        <v>0</v>
      </c>
      <c r="J386" s="33">
        <f>F386*G386</f>
        <v>0</v>
      </c>
      <c r="K386" s="33">
        <v>0.03591</v>
      </c>
      <c r="L386" s="33">
        <f>F386*K386</f>
        <v>0.33755399999999997</v>
      </c>
      <c r="M386" s="55" t="s">
        <v>1113</v>
      </c>
      <c r="P386" s="59">
        <f>IF(AG386="5",J386,0)</f>
        <v>0</v>
      </c>
      <c r="R386" s="59">
        <f>IF(AG386="1",H386,0)</f>
        <v>0</v>
      </c>
      <c r="S386" s="59">
        <f>IF(AG386="1",I386,0)</f>
        <v>0</v>
      </c>
      <c r="T386" s="59">
        <f>IF(AG386="7",H386,0)</f>
        <v>0</v>
      </c>
      <c r="U386" s="59">
        <f>IF(AG386="7",I386,0)</f>
        <v>0</v>
      </c>
      <c r="V386" s="59">
        <f>IF(AG386="2",H386,0)</f>
        <v>0</v>
      </c>
      <c r="W386" s="59">
        <f>IF(AG386="2",I386,0)</f>
        <v>0</v>
      </c>
      <c r="X386" s="59">
        <f>IF(AG386="0",J386,0)</f>
        <v>0</v>
      </c>
      <c r="Y386" s="49"/>
      <c r="Z386" s="33">
        <f>IF(AD386=0,J386,0)</f>
        <v>0</v>
      </c>
      <c r="AA386" s="33">
        <f>IF(AD386=15,J386,0)</f>
        <v>0</v>
      </c>
      <c r="AB386" s="33">
        <f>IF(AD386=21,J386,0)</f>
        <v>0</v>
      </c>
      <c r="AD386" s="59">
        <v>21</v>
      </c>
      <c r="AE386" s="59">
        <f>G386*0.0197432424280646</f>
        <v>0</v>
      </c>
      <c r="AF386" s="59">
        <f>G386*(1-0.0197432424280646)</f>
        <v>0</v>
      </c>
      <c r="AG386" s="55" t="s">
        <v>13</v>
      </c>
      <c r="AM386" s="59">
        <f>F386*AE386</f>
        <v>0</v>
      </c>
      <c r="AN386" s="59">
        <f>F386*AF386</f>
        <v>0</v>
      </c>
      <c r="AO386" s="60" t="s">
        <v>1148</v>
      </c>
      <c r="AP386" s="60" t="s">
        <v>1177</v>
      </c>
      <c r="AQ386" s="49" t="s">
        <v>1182</v>
      </c>
      <c r="AS386" s="59">
        <f>AM386+AN386</f>
        <v>0</v>
      </c>
      <c r="AT386" s="59">
        <f>G386/(100-AU386)*100</f>
        <v>0</v>
      </c>
      <c r="AU386" s="59">
        <v>0</v>
      </c>
      <c r="AV386" s="59">
        <f>L386</f>
        <v>0.33755399999999997</v>
      </c>
    </row>
    <row r="387" spans="4:6" ht="12.75">
      <c r="D387" s="28" t="s">
        <v>830</v>
      </c>
      <c r="F387" s="34">
        <v>9.4</v>
      </c>
    </row>
    <row r="388" spans="1:48" ht="12.75">
      <c r="A388" s="10" t="s">
        <v>144</v>
      </c>
      <c r="B388" s="10"/>
      <c r="C388" s="10" t="s">
        <v>385</v>
      </c>
      <c r="D388" s="10" t="s">
        <v>831</v>
      </c>
      <c r="E388" s="10" t="s">
        <v>1084</v>
      </c>
      <c r="F388" s="33">
        <v>12</v>
      </c>
      <c r="G388" s="33">
        <v>0</v>
      </c>
      <c r="H388" s="33">
        <f>F388*AE388</f>
        <v>0</v>
      </c>
      <c r="I388" s="33">
        <f>J388-H388</f>
        <v>0</v>
      </c>
      <c r="J388" s="33">
        <f>F388*G388</f>
        <v>0</v>
      </c>
      <c r="K388" s="33">
        <v>0.016</v>
      </c>
      <c r="L388" s="33">
        <f>F388*K388</f>
        <v>0.192</v>
      </c>
      <c r="M388" s="55" t="s">
        <v>1113</v>
      </c>
      <c r="P388" s="59">
        <f>IF(AG388="5",J388,0)</f>
        <v>0</v>
      </c>
      <c r="R388" s="59">
        <f>IF(AG388="1",H388,0)</f>
        <v>0</v>
      </c>
      <c r="S388" s="59">
        <f>IF(AG388="1",I388,0)</f>
        <v>0</v>
      </c>
      <c r="T388" s="59">
        <f>IF(AG388="7",H388,0)</f>
        <v>0</v>
      </c>
      <c r="U388" s="59">
        <f>IF(AG388="7",I388,0)</f>
        <v>0</v>
      </c>
      <c r="V388" s="59">
        <f>IF(AG388="2",H388,0)</f>
        <v>0</v>
      </c>
      <c r="W388" s="59">
        <f>IF(AG388="2",I388,0)</f>
        <v>0</v>
      </c>
      <c r="X388" s="59">
        <f>IF(AG388="0",J388,0)</f>
        <v>0</v>
      </c>
      <c r="Y388" s="49"/>
      <c r="Z388" s="33">
        <f>IF(AD388=0,J388,0)</f>
        <v>0</v>
      </c>
      <c r="AA388" s="33">
        <f>IF(AD388=15,J388,0)</f>
        <v>0</v>
      </c>
      <c r="AB388" s="33">
        <f>IF(AD388=21,J388,0)</f>
        <v>0</v>
      </c>
      <c r="AD388" s="59">
        <v>21</v>
      </c>
      <c r="AE388" s="59">
        <f>G388*0.0251164010754804</f>
        <v>0</v>
      </c>
      <c r="AF388" s="59">
        <f>G388*(1-0.0251164010754804)</f>
        <v>0</v>
      </c>
      <c r="AG388" s="55" t="s">
        <v>13</v>
      </c>
      <c r="AM388" s="59">
        <f>F388*AE388</f>
        <v>0</v>
      </c>
      <c r="AN388" s="59">
        <f>F388*AF388</f>
        <v>0</v>
      </c>
      <c r="AO388" s="60" t="s">
        <v>1148</v>
      </c>
      <c r="AP388" s="60" t="s">
        <v>1177</v>
      </c>
      <c r="AQ388" s="49" t="s">
        <v>1182</v>
      </c>
      <c r="AS388" s="59">
        <f>AM388+AN388</f>
        <v>0</v>
      </c>
      <c r="AT388" s="59">
        <f>G388/(100-AU388)*100</f>
        <v>0</v>
      </c>
      <c r="AU388" s="59">
        <v>0</v>
      </c>
      <c r="AV388" s="59">
        <f>L388</f>
        <v>0.192</v>
      </c>
    </row>
    <row r="389" spans="4:6" ht="12.75">
      <c r="D389" s="28" t="s">
        <v>714</v>
      </c>
      <c r="F389" s="34">
        <v>12</v>
      </c>
    </row>
    <row r="390" spans="1:48" ht="12.75">
      <c r="A390" s="10" t="s">
        <v>145</v>
      </c>
      <c r="B390" s="10"/>
      <c r="C390" s="10" t="s">
        <v>386</v>
      </c>
      <c r="D390" s="10" t="s">
        <v>832</v>
      </c>
      <c r="E390" s="10" t="s">
        <v>1086</v>
      </c>
      <c r="F390" s="33">
        <v>65</v>
      </c>
      <c r="G390" s="33">
        <v>0</v>
      </c>
      <c r="H390" s="33">
        <f>F390*AE390</f>
        <v>0</v>
      </c>
      <c r="I390" s="33">
        <f>J390-H390</f>
        <v>0</v>
      </c>
      <c r="J390" s="33">
        <f>F390*G390</f>
        <v>0</v>
      </c>
      <c r="K390" s="33">
        <v>0.007</v>
      </c>
      <c r="L390" s="33">
        <f>F390*K390</f>
        <v>0.455</v>
      </c>
      <c r="M390" s="55" t="s">
        <v>1113</v>
      </c>
      <c r="P390" s="59">
        <f>IF(AG390="5",J390,0)</f>
        <v>0</v>
      </c>
      <c r="R390" s="59">
        <f>IF(AG390="1",H390,0)</f>
        <v>0</v>
      </c>
      <c r="S390" s="59">
        <f>IF(AG390="1",I390,0)</f>
        <v>0</v>
      </c>
      <c r="T390" s="59">
        <f>IF(AG390="7",H390,0)</f>
        <v>0</v>
      </c>
      <c r="U390" s="59">
        <f>IF(AG390="7",I390,0)</f>
        <v>0</v>
      </c>
      <c r="V390" s="59">
        <f>IF(AG390="2",H390,0)</f>
        <v>0</v>
      </c>
      <c r="W390" s="59">
        <f>IF(AG390="2",I390,0)</f>
        <v>0</v>
      </c>
      <c r="X390" s="59">
        <f>IF(AG390="0",J390,0)</f>
        <v>0</v>
      </c>
      <c r="Y390" s="49"/>
      <c r="Z390" s="33">
        <f>IF(AD390=0,J390,0)</f>
        <v>0</v>
      </c>
      <c r="AA390" s="33">
        <f>IF(AD390=15,J390,0)</f>
        <v>0</v>
      </c>
      <c r="AB390" s="33">
        <f>IF(AD390=21,J390,0)</f>
        <v>0</v>
      </c>
      <c r="AD390" s="59">
        <v>21</v>
      </c>
      <c r="AE390" s="59">
        <f>G390*0</f>
        <v>0</v>
      </c>
      <c r="AF390" s="59">
        <f>G390*(1-0)</f>
        <v>0</v>
      </c>
      <c r="AG390" s="55" t="s">
        <v>13</v>
      </c>
      <c r="AM390" s="59">
        <f>F390*AE390</f>
        <v>0</v>
      </c>
      <c r="AN390" s="59">
        <f>F390*AF390</f>
        <v>0</v>
      </c>
      <c r="AO390" s="60" t="s">
        <v>1148</v>
      </c>
      <c r="AP390" s="60" t="s">
        <v>1177</v>
      </c>
      <c r="AQ390" s="49" t="s">
        <v>1182</v>
      </c>
      <c r="AS390" s="59">
        <f>AM390+AN390</f>
        <v>0</v>
      </c>
      <c r="AT390" s="59">
        <f>G390/(100-AU390)*100</f>
        <v>0</v>
      </c>
      <c r="AU390" s="59">
        <v>0</v>
      </c>
      <c r="AV390" s="59">
        <f>L390</f>
        <v>0.455</v>
      </c>
    </row>
    <row r="391" spans="4:6" ht="12.75">
      <c r="D391" s="28" t="s">
        <v>71</v>
      </c>
      <c r="F391" s="34">
        <v>65</v>
      </c>
    </row>
    <row r="392" spans="1:48" ht="12.75">
      <c r="A392" s="10" t="s">
        <v>146</v>
      </c>
      <c r="B392" s="10"/>
      <c r="C392" s="10" t="s">
        <v>387</v>
      </c>
      <c r="D392" s="10" t="s">
        <v>833</v>
      </c>
      <c r="E392" s="10" t="s">
        <v>1084</v>
      </c>
      <c r="F392" s="33">
        <v>219.5</v>
      </c>
      <c r="G392" s="33">
        <v>0</v>
      </c>
      <c r="H392" s="33">
        <f>F392*AE392</f>
        <v>0</v>
      </c>
      <c r="I392" s="33">
        <f>J392-H392</f>
        <v>0</v>
      </c>
      <c r="J392" s="33">
        <f>F392*G392</f>
        <v>0</v>
      </c>
      <c r="K392" s="33">
        <v>0.00099</v>
      </c>
      <c r="L392" s="33">
        <f>F392*K392</f>
        <v>0.217305</v>
      </c>
      <c r="M392" s="55" t="s">
        <v>1113</v>
      </c>
      <c r="P392" s="59">
        <f>IF(AG392="5",J392,0)</f>
        <v>0</v>
      </c>
      <c r="R392" s="59">
        <f>IF(AG392="1",H392,0)</f>
        <v>0</v>
      </c>
      <c r="S392" s="59">
        <f>IF(AG392="1",I392,0)</f>
        <v>0</v>
      </c>
      <c r="T392" s="59">
        <f>IF(AG392="7",H392,0)</f>
        <v>0</v>
      </c>
      <c r="U392" s="59">
        <f>IF(AG392="7",I392,0)</f>
        <v>0</v>
      </c>
      <c r="V392" s="59">
        <f>IF(AG392="2",H392,0)</f>
        <v>0</v>
      </c>
      <c r="W392" s="59">
        <f>IF(AG392="2",I392,0)</f>
        <v>0</v>
      </c>
      <c r="X392" s="59">
        <f>IF(AG392="0",J392,0)</f>
        <v>0</v>
      </c>
      <c r="Y392" s="49"/>
      <c r="Z392" s="33">
        <f>IF(AD392=0,J392,0)</f>
        <v>0</v>
      </c>
      <c r="AA392" s="33">
        <f>IF(AD392=15,J392,0)</f>
        <v>0</v>
      </c>
      <c r="AB392" s="33">
        <f>IF(AD392=21,J392,0)</f>
        <v>0</v>
      </c>
      <c r="AD392" s="59">
        <v>21</v>
      </c>
      <c r="AE392" s="59">
        <f>G392*0.0311170212765957</f>
        <v>0</v>
      </c>
      <c r="AF392" s="59">
        <f>G392*(1-0.0311170212765957)</f>
        <v>0</v>
      </c>
      <c r="AG392" s="55" t="s">
        <v>13</v>
      </c>
      <c r="AM392" s="59">
        <f>F392*AE392</f>
        <v>0</v>
      </c>
      <c r="AN392" s="59">
        <f>F392*AF392</f>
        <v>0</v>
      </c>
      <c r="AO392" s="60" t="s">
        <v>1148</v>
      </c>
      <c r="AP392" s="60" t="s">
        <v>1177</v>
      </c>
      <c r="AQ392" s="49" t="s">
        <v>1182</v>
      </c>
      <c r="AS392" s="59">
        <f>AM392+AN392</f>
        <v>0</v>
      </c>
      <c r="AT392" s="59">
        <f>G392/(100-AU392)*100</f>
        <v>0</v>
      </c>
      <c r="AU392" s="59">
        <v>0</v>
      </c>
      <c r="AV392" s="59">
        <f>L392</f>
        <v>0.217305</v>
      </c>
    </row>
    <row r="393" spans="4:6" ht="12.75">
      <c r="D393" s="28" t="s">
        <v>834</v>
      </c>
      <c r="F393" s="34">
        <v>9</v>
      </c>
    </row>
    <row r="394" spans="4:6" ht="12.75">
      <c r="D394" s="28" t="s">
        <v>835</v>
      </c>
      <c r="F394" s="34">
        <v>8</v>
      </c>
    </row>
    <row r="395" spans="4:6" ht="12.75">
      <c r="D395" s="28" t="s">
        <v>836</v>
      </c>
      <c r="F395" s="34">
        <v>9.5</v>
      </c>
    </row>
    <row r="396" spans="4:6" ht="12.75">
      <c r="D396" s="28" t="s">
        <v>837</v>
      </c>
      <c r="F396" s="34">
        <v>20</v>
      </c>
    </row>
    <row r="397" spans="4:6" ht="12.75">
      <c r="D397" s="28" t="s">
        <v>838</v>
      </c>
      <c r="F397" s="34">
        <v>69</v>
      </c>
    </row>
    <row r="398" spans="4:6" ht="12.75">
      <c r="D398" s="28" t="s">
        <v>839</v>
      </c>
      <c r="F398" s="34">
        <v>104</v>
      </c>
    </row>
    <row r="399" spans="1:48" ht="12.75">
      <c r="A399" s="12" t="s">
        <v>147</v>
      </c>
      <c r="B399" s="12"/>
      <c r="C399" s="12" t="s">
        <v>388</v>
      </c>
      <c r="D399" s="12" t="s">
        <v>840</v>
      </c>
      <c r="E399" s="12" t="s">
        <v>1083</v>
      </c>
      <c r="F399" s="35">
        <v>3.7406</v>
      </c>
      <c r="G399" s="35">
        <v>0</v>
      </c>
      <c r="H399" s="35">
        <f>F399*AE399</f>
        <v>0</v>
      </c>
      <c r="I399" s="35">
        <f>J399-H399</f>
        <v>0</v>
      </c>
      <c r="J399" s="35">
        <f>F399*G399</f>
        <v>0</v>
      </c>
      <c r="K399" s="35">
        <v>0.55</v>
      </c>
      <c r="L399" s="35">
        <f>F399*K399</f>
        <v>2.0573300000000003</v>
      </c>
      <c r="M399" s="56" t="s">
        <v>1113</v>
      </c>
      <c r="P399" s="59">
        <f>IF(AG399="5",J399,0)</f>
        <v>0</v>
      </c>
      <c r="R399" s="59">
        <f>IF(AG399="1",H399,0)</f>
        <v>0</v>
      </c>
      <c r="S399" s="59">
        <f>IF(AG399="1",I399,0)</f>
        <v>0</v>
      </c>
      <c r="T399" s="59">
        <f>IF(AG399="7",H399,0)</f>
        <v>0</v>
      </c>
      <c r="U399" s="59">
        <f>IF(AG399="7",I399,0)</f>
        <v>0</v>
      </c>
      <c r="V399" s="59">
        <f>IF(AG399="2",H399,0)</f>
        <v>0</v>
      </c>
      <c r="W399" s="59">
        <f>IF(AG399="2",I399,0)</f>
        <v>0</v>
      </c>
      <c r="X399" s="59">
        <f>IF(AG399="0",J399,0)</f>
        <v>0</v>
      </c>
      <c r="Y399" s="49"/>
      <c r="Z399" s="35">
        <f>IF(AD399=0,J399,0)</f>
        <v>0</v>
      </c>
      <c r="AA399" s="35">
        <f>IF(AD399=15,J399,0)</f>
        <v>0</v>
      </c>
      <c r="AB399" s="35">
        <f>IF(AD399=21,J399,0)</f>
        <v>0</v>
      </c>
      <c r="AD399" s="59">
        <v>21</v>
      </c>
      <c r="AE399" s="59">
        <f>G399*1</f>
        <v>0</v>
      </c>
      <c r="AF399" s="59">
        <f>G399*(1-1)</f>
        <v>0</v>
      </c>
      <c r="AG399" s="56" t="s">
        <v>13</v>
      </c>
      <c r="AM399" s="59">
        <f>F399*AE399</f>
        <v>0</v>
      </c>
      <c r="AN399" s="59">
        <f>F399*AF399</f>
        <v>0</v>
      </c>
      <c r="AO399" s="60" t="s">
        <v>1148</v>
      </c>
      <c r="AP399" s="60" t="s">
        <v>1177</v>
      </c>
      <c r="AQ399" s="49" t="s">
        <v>1182</v>
      </c>
      <c r="AS399" s="59">
        <f>AM399+AN399</f>
        <v>0</v>
      </c>
      <c r="AT399" s="59">
        <f>G399/(100-AU399)*100</f>
        <v>0</v>
      </c>
      <c r="AU399" s="59">
        <v>0</v>
      </c>
      <c r="AV399" s="59">
        <f>L399</f>
        <v>2.0573300000000003</v>
      </c>
    </row>
    <row r="400" spans="4:6" ht="12.75">
      <c r="D400" s="28" t="s">
        <v>841</v>
      </c>
      <c r="F400" s="34">
        <v>3.17</v>
      </c>
    </row>
    <row r="401" spans="4:6" ht="12.75">
      <c r="D401" s="28" t="s">
        <v>842</v>
      </c>
      <c r="F401" s="34">
        <v>0.5706</v>
      </c>
    </row>
    <row r="402" spans="1:48" ht="12.75">
      <c r="A402" s="10" t="s">
        <v>148</v>
      </c>
      <c r="B402" s="10"/>
      <c r="C402" s="10" t="s">
        <v>389</v>
      </c>
      <c r="D402" s="10" t="s">
        <v>843</v>
      </c>
      <c r="E402" s="10" t="s">
        <v>1083</v>
      </c>
      <c r="F402" s="33">
        <v>3.17</v>
      </c>
      <c r="G402" s="33">
        <v>0</v>
      </c>
      <c r="H402" s="33">
        <f>F402*AE402</f>
        <v>0</v>
      </c>
      <c r="I402" s="33">
        <f>J402-H402</f>
        <v>0</v>
      </c>
      <c r="J402" s="33">
        <f>F402*G402</f>
        <v>0</v>
      </c>
      <c r="K402" s="33">
        <v>0.02357</v>
      </c>
      <c r="L402" s="33">
        <f>F402*K402</f>
        <v>0.0747169</v>
      </c>
      <c r="M402" s="55" t="s">
        <v>1113</v>
      </c>
      <c r="P402" s="59">
        <f>IF(AG402="5",J402,0)</f>
        <v>0</v>
      </c>
      <c r="R402" s="59">
        <f>IF(AG402="1",H402,0)</f>
        <v>0</v>
      </c>
      <c r="S402" s="59">
        <f>IF(AG402="1",I402,0)</f>
        <v>0</v>
      </c>
      <c r="T402" s="59">
        <f>IF(AG402="7",H402,0)</f>
        <v>0</v>
      </c>
      <c r="U402" s="59">
        <f>IF(AG402="7",I402,0)</f>
        <v>0</v>
      </c>
      <c r="V402" s="59">
        <f>IF(AG402="2",H402,0)</f>
        <v>0</v>
      </c>
      <c r="W402" s="59">
        <f>IF(AG402="2",I402,0)</f>
        <v>0</v>
      </c>
      <c r="X402" s="59">
        <f>IF(AG402="0",J402,0)</f>
        <v>0</v>
      </c>
      <c r="Y402" s="49"/>
      <c r="Z402" s="33">
        <f>IF(AD402=0,J402,0)</f>
        <v>0</v>
      </c>
      <c r="AA402" s="33">
        <f>IF(AD402=15,J402,0)</f>
        <v>0</v>
      </c>
      <c r="AB402" s="33">
        <f>IF(AD402=21,J402,0)</f>
        <v>0</v>
      </c>
      <c r="AD402" s="59">
        <v>21</v>
      </c>
      <c r="AE402" s="59">
        <f>G402*1</f>
        <v>0</v>
      </c>
      <c r="AF402" s="59">
        <f>G402*(1-1)</f>
        <v>0</v>
      </c>
      <c r="AG402" s="55" t="s">
        <v>13</v>
      </c>
      <c r="AM402" s="59">
        <f>F402*AE402</f>
        <v>0</v>
      </c>
      <c r="AN402" s="59">
        <f>F402*AF402</f>
        <v>0</v>
      </c>
      <c r="AO402" s="60" t="s">
        <v>1148</v>
      </c>
      <c r="AP402" s="60" t="s">
        <v>1177</v>
      </c>
      <c r="AQ402" s="49" t="s">
        <v>1182</v>
      </c>
      <c r="AS402" s="59">
        <f>AM402+AN402</f>
        <v>0</v>
      </c>
      <c r="AT402" s="59">
        <f>G402/(100-AU402)*100</f>
        <v>0</v>
      </c>
      <c r="AU402" s="59">
        <v>0</v>
      </c>
      <c r="AV402" s="59">
        <f>L402</f>
        <v>0.0747169</v>
      </c>
    </row>
    <row r="403" spans="4:6" ht="12.75">
      <c r="D403" s="28" t="s">
        <v>841</v>
      </c>
      <c r="F403" s="34">
        <v>3.17</v>
      </c>
    </row>
    <row r="404" spans="1:48" ht="12.75">
      <c r="A404" s="10" t="s">
        <v>149</v>
      </c>
      <c r="B404" s="10"/>
      <c r="C404" s="10" t="s">
        <v>390</v>
      </c>
      <c r="D404" s="10" t="s">
        <v>844</v>
      </c>
      <c r="E404" s="10" t="s">
        <v>1089</v>
      </c>
      <c r="F404" s="33">
        <v>1</v>
      </c>
      <c r="G404" s="33">
        <v>0</v>
      </c>
      <c r="H404" s="33">
        <f>F404*AE404</f>
        <v>0</v>
      </c>
      <c r="I404" s="33">
        <f>J404-H404</f>
        <v>0</v>
      </c>
      <c r="J404" s="33">
        <f>F404*G404</f>
        <v>0</v>
      </c>
      <c r="K404" s="33">
        <v>0.008</v>
      </c>
      <c r="L404" s="33">
        <f>F404*K404</f>
        <v>0.008</v>
      </c>
      <c r="M404" s="55" t="s">
        <v>1113</v>
      </c>
      <c r="P404" s="59">
        <f>IF(AG404="5",J404,0)</f>
        <v>0</v>
      </c>
      <c r="R404" s="59">
        <f>IF(AG404="1",H404,0)</f>
        <v>0</v>
      </c>
      <c r="S404" s="59">
        <f>IF(AG404="1",I404,0)</f>
        <v>0</v>
      </c>
      <c r="T404" s="59">
        <f>IF(AG404="7",H404,0)</f>
        <v>0</v>
      </c>
      <c r="U404" s="59">
        <f>IF(AG404="7",I404,0)</f>
        <v>0</v>
      </c>
      <c r="V404" s="59">
        <f>IF(AG404="2",H404,0)</f>
        <v>0</v>
      </c>
      <c r="W404" s="59">
        <f>IF(AG404="2",I404,0)</f>
        <v>0</v>
      </c>
      <c r="X404" s="59">
        <f>IF(AG404="0",J404,0)</f>
        <v>0</v>
      </c>
      <c r="Y404" s="49"/>
      <c r="Z404" s="33">
        <f>IF(AD404=0,J404,0)</f>
        <v>0</v>
      </c>
      <c r="AA404" s="33">
        <f>IF(AD404=15,J404,0)</f>
        <v>0</v>
      </c>
      <c r="AB404" s="33">
        <f>IF(AD404=21,J404,0)</f>
        <v>0</v>
      </c>
      <c r="AD404" s="59">
        <v>21</v>
      </c>
      <c r="AE404" s="59">
        <f>G404*0.816083620824291</f>
        <v>0</v>
      </c>
      <c r="AF404" s="59">
        <f>G404*(1-0.816083620824291)</f>
        <v>0</v>
      </c>
      <c r="AG404" s="55" t="s">
        <v>13</v>
      </c>
      <c r="AM404" s="59">
        <f>F404*AE404</f>
        <v>0</v>
      </c>
      <c r="AN404" s="59">
        <f>F404*AF404</f>
        <v>0</v>
      </c>
      <c r="AO404" s="60" t="s">
        <v>1148</v>
      </c>
      <c r="AP404" s="60" t="s">
        <v>1177</v>
      </c>
      <c r="AQ404" s="49" t="s">
        <v>1182</v>
      </c>
      <c r="AS404" s="59">
        <f>AM404+AN404</f>
        <v>0</v>
      </c>
      <c r="AT404" s="59">
        <f>G404/(100-AU404)*100</f>
        <v>0</v>
      </c>
      <c r="AU404" s="59">
        <v>0</v>
      </c>
      <c r="AV404" s="59">
        <f>L404</f>
        <v>0.008</v>
      </c>
    </row>
    <row r="405" spans="4:6" ht="12.75">
      <c r="D405" s="28" t="s">
        <v>845</v>
      </c>
      <c r="F405" s="34">
        <v>1</v>
      </c>
    </row>
    <row r="406" spans="4:6" ht="12.75">
      <c r="D406" s="28" t="s">
        <v>846</v>
      </c>
      <c r="F406" s="34">
        <v>0</v>
      </c>
    </row>
    <row r="407" spans="1:48" ht="12.75">
      <c r="A407" s="10" t="s">
        <v>150</v>
      </c>
      <c r="B407" s="10"/>
      <c r="C407" s="10" t="s">
        <v>391</v>
      </c>
      <c r="D407" s="10" t="s">
        <v>847</v>
      </c>
      <c r="E407" s="10" t="s">
        <v>1085</v>
      </c>
      <c r="F407" s="33">
        <v>7.662</v>
      </c>
      <c r="G407" s="33">
        <v>0</v>
      </c>
      <c r="H407" s="33">
        <f>F407*AE407</f>
        <v>0</v>
      </c>
      <c r="I407" s="33">
        <f>J407-H407</f>
        <v>0</v>
      </c>
      <c r="J407" s="33">
        <f>F407*G407</f>
        <v>0</v>
      </c>
      <c r="K407" s="33">
        <v>0</v>
      </c>
      <c r="L407" s="33">
        <f>F407*K407</f>
        <v>0</v>
      </c>
      <c r="M407" s="55" t="s">
        <v>1113</v>
      </c>
      <c r="P407" s="59">
        <f>IF(AG407="5",J407,0)</f>
        <v>0</v>
      </c>
      <c r="R407" s="59">
        <f>IF(AG407="1",H407,0)</f>
        <v>0</v>
      </c>
      <c r="S407" s="59">
        <f>IF(AG407="1",I407,0)</f>
        <v>0</v>
      </c>
      <c r="T407" s="59">
        <f>IF(AG407="7",H407,0)</f>
        <v>0</v>
      </c>
      <c r="U407" s="59">
        <f>IF(AG407="7",I407,0)</f>
        <v>0</v>
      </c>
      <c r="V407" s="59">
        <f>IF(AG407="2",H407,0)</f>
        <v>0</v>
      </c>
      <c r="W407" s="59">
        <f>IF(AG407="2",I407,0)</f>
        <v>0</v>
      </c>
      <c r="X407" s="59">
        <f>IF(AG407="0",J407,0)</f>
        <v>0</v>
      </c>
      <c r="Y407" s="49"/>
      <c r="Z407" s="33">
        <f>IF(AD407=0,J407,0)</f>
        <v>0</v>
      </c>
      <c r="AA407" s="33">
        <f>IF(AD407=15,J407,0)</f>
        <v>0</v>
      </c>
      <c r="AB407" s="33">
        <f>IF(AD407=21,J407,0)</f>
        <v>0</v>
      </c>
      <c r="AD407" s="59">
        <v>21</v>
      </c>
      <c r="AE407" s="59">
        <f>G407*0</f>
        <v>0</v>
      </c>
      <c r="AF407" s="59">
        <f>G407*(1-0)</f>
        <v>0</v>
      </c>
      <c r="AG407" s="55" t="s">
        <v>11</v>
      </c>
      <c r="AM407" s="59">
        <f>F407*AE407</f>
        <v>0</v>
      </c>
      <c r="AN407" s="59">
        <f>F407*AF407</f>
        <v>0</v>
      </c>
      <c r="AO407" s="60" t="s">
        <v>1148</v>
      </c>
      <c r="AP407" s="60" t="s">
        <v>1177</v>
      </c>
      <c r="AQ407" s="49" t="s">
        <v>1182</v>
      </c>
      <c r="AS407" s="59">
        <f>AM407+AN407</f>
        <v>0</v>
      </c>
      <c r="AT407" s="59">
        <f>G407/(100-AU407)*100</f>
        <v>0</v>
      </c>
      <c r="AU407" s="59">
        <v>0</v>
      </c>
      <c r="AV407" s="59">
        <f>L407</f>
        <v>0</v>
      </c>
    </row>
    <row r="408" spans="4:6" ht="12.75">
      <c r="D408" s="28" t="s">
        <v>848</v>
      </c>
      <c r="F408" s="34">
        <v>7.662</v>
      </c>
    </row>
    <row r="409" spans="1:37" ht="12.75">
      <c r="A409" s="11"/>
      <c r="B409" s="24"/>
      <c r="C409" s="24" t="s">
        <v>392</v>
      </c>
      <c r="D409" s="24" t="s">
        <v>849</v>
      </c>
      <c r="E409" s="11" t="s">
        <v>6</v>
      </c>
      <c r="F409" s="11" t="s">
        <v>6</v>
      </c>
      <c r="G409" s="11" t="s">
        <v>6</v>
      </c>
      <c r="H409" s="62">
        <f>SUM(H410:H415)</f>
        <v>0</v>
      </c>
      <c r="I409" s="62">
        <f>SUM(I410:I415)</f>
        <v>0</v>
      </c>
      <c r="J409" s="62">
        <f>H409+I409</f>
        <v>0</v>
      </c>
      <c r="K409" s="49"/>
      <c r="L409" s="62">
        <f>SUM(L410:L415)</f>
        <v>1.2701425</v>
      </c>
      <c r="M409" s="49"/>
      <c r="Y409" s="49"/>
      <c r="AI409" s="62">
        <f>SUM(Z410:Z415)</f>
        <v>0</v>
      </c>
      <c r="AJ409" s="62">
        <f>SUM(AA410:AA415)</f>
        <v>0</v>
      </c>
      <c r="AK409" s="62">
        <f>SUM(AB410:AB415)</f>
        <v>0</v>
      </c>
    </row>
    <row r="410" spans="1:48" ht="12.75">
      <c r="A410" s="10" t="s">
        <v>151</v>
      </c>
      <c r="B410" s="10"/>
      <c r="C410" s="10" t="s">
        <v>393</v>
      </c>
      <c r="D410" s="10" t="s">
        <v>850</v>
      </c>
      <c r="E410" s="10" t="s">
        <v>1086</v>
      </c>
      <c r="F410" s="33">
        <v>65</v>
      </c>
      <c r="G410" s="33">
        <v>0</v>
      </c>
      <c r="H410" s="33">
        <f>F410*AE410</f>
        <v>0</v>
      </c>
      <c r="I410" s="33">
        <f>J410-H410</f>
        <v>0</v>
      </c>
      <c r="J410" s="33">
        <f>F410*G410</f>
        <v>0</v>
      </c>
      <c r="K410" s="33">
        <v>8E-05</v>
      </c>
      <c r="L410" s="33">
        <f>F410*K410</f>
        <v>0.005200000000000001</v>
      </c>
      <c r="M410" s="55" t="s">
        <v>1113</v>
      </c>
      <c r="P410" s="59">
        <f>IF(AG410="5",J410,0)</f>
        <v>0</v>
      </c>
      <c r="R410" s="59">
        <f>IF(AG410="1",H410,0)</f>
        <v>0</v>
      </c>
      <c r="S410" s="59">
        <f>IF(AG410="1",I410,0)</f>
        <v>0</v>
      </c>
      <c r="T410" s="59">
        <f>IF(AG410="7",H410,0)</f>
        <v>0</v>
      </c>
      <c r="U410" s="59">
        <f>IF(AG410="7",I410,0)</f>
        <v>0</v>
      </c>
      <c r="V410" s="59">
        <f>IF(AG410="2",H410,0)</f>
        <v>0</v>
      </c>
      <c r="W410" s="59">
        <f>IF(AG410="2",I410,0)</f>
        <v>0</v>
      </c>
      <c r="X410" s="59">
        <f>IF(AG410="0",J410,0)</f>
        <v>0</v>
      </c>
      <c r="Y410" s="49"/>
      <c r="Z410" s="33">
        <f>IF(AD410=0,J410,0)</f>
        <v>0</v>
      </c>
      <c r="AA410" s="33">
        <f>IF(AD410=15,J410,0)</f>
        <v>0</v>
      </c>
      <c r="AB410" s="33">
        <f>IF(AD410=21,J410,0)</f>
        <v>0</v>
      </c>
      <c r="AD410" s="59">
        <v>21</v>
      </c>
      <c r="AE410" s="59">
        <f>G410*0.0390143737166324</f>
        <v>0</v>
      </c>
      <c r="AF410" s="59">
        <f>G410*(1-0.0390143737166324)</f>
        <v>0</v>
      </c>
      <c r="AG410" s="55" t="s">
        <v>13</v>
      </c>
      <c r="AM410" s="59">
        <f>F410*AE410</f>
        <v>0</v>
      </c>
      <c r="AN410" s="59">
        <f>F410*AF410</f>
        <v>0</v>
      </c>
      <c r="AO410" s="60" t="s">
        <v>1149</v>
      </c>
      <c r="AP410" s="60" t="s">
        <v>1177</v>
      </c>
      <c r="AQ410" s="49" t="s">
        <v>1182</v>
      </c>
      <c r="AS410" s="59">
        <f>AM410+AN410</f>
        <v>0</v>
      </c>
      <c r="AT410" s="59">
        <f>G410/(100-AU410)*100</f>
        <v>0</v>
      </c>
      <c r="AU410" s="59">
        <v>0</v>
      </c>
      <c r="AV410" s="59">
        <f>L410</f>
        <v>0.005200000000000001</v>
      </c>
    </row>
    <row r="411" spans="4:6" ht="12.75">
      <c r="D411" s="28" t="s">
        <v>851</v>
      </c>
      <c r="F411" s="34">
        <v>65</v>
      </c>
    </row>
    <row r="412" spans="1:48" ht="12.75">
      <c r="A412" s="12" t="s">
        <v>152</v>
      </c>
      <c r="B412" s="12"/>
      <c r="C412" s="12" t="s">
        <v>394</v>
      </c>
      <c r="D412" s="12" t="s">
        <v>852</v>
      </c>
      <c r="E412" s="12" t="s">
        <v>1086</v>
      </c>
      <c r="F412" s="35">
        <v>70.2</v>
      </c>
      <c r="G412" s="35">
        <v>0</v>
      </c>
      <c r="H412" s="35">
        <f>F412*AE412</f>
        <v>0</v>
      </c>
      <c r="I412" s="35">
        <f>J412-H412</f>
        <v>0</v>
      </c>
      <c r="J412" s="35">
        <f>F412*G412</f>
        <v>0</v>
      </c>
      <c r="K412" s="35">
        <v>0.0139</v>
      </c>
      <c r="L412" s="35">
        <f>F412*K412</f>
        <v>0.97578</v>
      </c>
      <c r="M412" s="56" t="s">
        <v>1113</v>
      </c>
      <c r="P412" s="59">
        <f>IF(AG412="5",J412,0)</f>
        <v>0</v>
      </c>
      <c r="R412" s="59">
        <f>IF(AG412="1",H412,0)</f>
        <v>0</v>
      </c>
      <c r="S412" s="59">
        <f>IF(AG412="1",I412,0)</f>
        <v>0</v>
      </c>
      <c r="T412" s="59">
        <f>IF(AG412="7",H412,0)</f>
        <v>0</v>
      </c>
      <c r="U412" s="59">
        <f>IF(AG412="7",I412,0)</f>
        <v>0</v>
      </c>
      <c r="V412" s="59">
        <f>IF(AG412="2",H412,0)</f>
        <v>0</v>
      </c>
      <c r="W412" s="59">
        <f>IF(AG412="2",I412,0)</f>
        <v>0</v>
      </c>
      <c r="X412" s="59">
        <f>IF(AG412="0",J412,0)</f>
        <v>0</v>
      </c>
      <c r="Y412" s="49"/>
      <c r="Z412" s="35">
        <f>IF(AD412=0,J412,0)</f>
        <v>0</v>
      </c>
      <c r="AA412" s="35">
        <f>IF(AD412=15,J412,0)</f>
        <v>0</v>
      </c>
      <c r="AB412" s="35">
        <f>IF(AD412=21,J412,0)</f>
        <v>0</v>
      </c>
      <c r="AD412" s="59">
        <v>21</v>
      </c>
      <c r="AE412" s="59">
        <f>G412*1</f>
        <v>0</v>
      </c>
      <c r="AF412" s="59">
        <f>G412*(1-1)</f>
        <v>0</v>
      </c>
      <c r="AG412" s="56" t="s">
        <v>13</v>
      </c>
      <c r="AM412" s="59">
        <f>F412*AE412</f>
        <v>0</v>
      </c>
      <c r="AN412" s="59">
        <f>F412*AF412</f>
        <v>0</v>
      </c>
      <c r="AO412" s="60" t="s">
        <v>1149</v>
      </c>
      <c r="AP412" s="60" t="s">
        <v>1177</v>
      </c>
      <c r="AQ412" s="49" t="s">
        <v>1182</v>
      </c>
      <c r="AS412" s="59">
        <f>AM412+AN412</f>
        <v>0</v>
      </c>
      <c r="AT412" s="59">
        <f>G412/(100-AU412)*100</f>
        <v>0</v>
      </c>
      <c r="AU412" s="59">
        <v>0</v>
      </c>
      <c r="AV412" s="59">
        <f>L412</f>
        <v>0.97578</v>
      </c>
    </row>
    <row r="413" spans="4:6" ht="12.75">
      <c r="D413" s="28" t="s">
        <v>71</v>
      </c>
      <c r="F413" s="34">
        <v>65</v>
      </c>
    </row>
    <row r="414" spans="4:6" ht="12.75">
      <c r="D414" s="28" t="s">
        <v>853</v>
      </c>
      <c r="F414" s="34">
        <v>5.2</v>
      </c>
    </row>
    <row r="415" spans="1:48" ht="12.75">
      <c r="A415" s="10" t="s">
        <v>153</v>
      </c>
      <c r="B415" s="10"/>
      <c r="C415" s="10" t="s">
        <v>395</v>
      </c>
      <c r="D415" s="10" t="s">
        <v>854</v>
      </c>
      <c r="E415" s="10" t="s">
        <v>1086</v>
      </c>
      <c r="F415" s="33">
        <v>6.875</v>
      </c>
      <c r="G415" s="33">
        <v>0</v>
      </c>
      <c r="H415" s="33">
        <f>F415*AE415</f>
        <v>0</v>
      </c>
      <c r="I415" s="33">
        <f>J415-H415</f>
        <v>0</v>
      </c>
      <c r="J415" s="33">
        <f>F415*G415</f>
        <v>0</v>
      </c>
      <c r="K415" s="33">
        <v>0.04206</v>
      </c>
      <c r="L415" s="33">
        <f>F415*K415</f>
        <v>0.2891625</v>
      </c>
      <c r="M415" s="55" t="s">
        <v>1115</v>
      </c>
      <c r="P415" s="59">
        <f>IF(AG415="5",J415,0)</f>
        <v>0</v>
      </c>
      <c r="R415" s="59">
        <f>IF(AG415="1",H415,0)</f>
        <v>0</v>
      </c>
      <c r="S415" s="59">
        <f>IF(AG415="1",I415,0)</f>
        <v>0</v>
      </c>
      <c r="T415" s="59">
        <f>IF(AG415="7",H415,0)</f>
        <v>0</v>
      </c>
      <c r="U415" s="59">
        <f>IF(AG415="7",I415,0)</f>
        <v>0</v>
      </c>
      <c r="V415" s="59">
        <f>IF(AG415="2",H415,0)</f>
        <v>0</v>
      </c>
      <c r="W415" s="59">
        <f>IF(AG415="2",I415,0)</f>
        <v>0</v>
      </c>
      <c r="X415" s="59">
        <f>IF(AG415="0",J415,0)</f>
        <v>0</v>
      </c>
      <c r="Y415" s="49"/>
      <c r="Z415" s="33">
        <f>IF(AD415=0,J415,0)</f>
        <v>0</v>
      </c>
      <c r="AA415" s="33">
        <f>IF(AD415=15,J415,0)</f>
        <v>0</v>
      </c>
      <c r="AB415" s="33">
        <f>IF(AD415=21,J415,0)</f>
        <v>0</v>
      </c>
      <c r="AD415" s="59">
        <v>21</v>
      </c>
      <c r="AE415" s="59">
        <f>G415*0.426666666666667</f>
        <v>0</v>
      </c>
      <c r="AF415" s="59">
        <f>G415*(1-0.426666666666667)</f>
        <v>0</v>
      </c>
      <c r="AG415" s="55" t="s">
        <v>13</v>
      </c>
      <c r="AM415" s="59">
        <f>F415*AE415</f>
        <v>0</v>
      </c>
      <c r="AN415" s="59">
        <f>F415*AF415</f>
        <v>0</v>
      </c>
      <c r="AO415" s="60" t="s">
        <v>1149</v>
      </c>
      <c r="AP415" s="60" t="s">
        <v>1177</v>
      </c>
      <c r="AQ415" s="49" t="s">
        <v>1182</v>
      </c>
      <c r="AS415" s="59">
        <f>AM415+AN415</f>
        <v>0</v>
      </c>
      <c r="AT415" s="59">
        <f>G415/(100-AU415)*100</f>
        <v>0</v>
      </c>
      <c r="AU415" s="59">
        <v>0</v>
      </c>
      <c r="AV415" s="59">
        <f>L415</f>
        <v>0.2891625</v>
      </c>
    </row>
    <row r="416" spans="4:6" ht="12.75">
      <c r="D416" s="28" t="s">
        <v>855</v>
      </c>
      <c r="F416" s="34">
        <v>6.875</v>
      </c>
    </row>
    <row r="417" spans="4:6" ht="12.75">
      <c r="D417" s="28" t="s">
        <v>856</v>
      </c>
      <c r="F417" s="34">
        <v>0</v>
      </c>
    </row>
    <row r="418" spans="1:37" ht="12.75">
      <c r="A418" s="11"/>
      <c r="B418" s="24"/>
      <c r="C418" s="24" t="s">
        <v>396</v>
      </c>
      <c r="D418" s="24" t="s">
        <v>857</v>
      </c>
      <c r="E418" s="11" t="s">
        <v>6</v>
      </c>
      <c r="F418" s="11" t="s">
        <v>6</v>
      </c>
      <c r="G418" s="11" t="s">
        <v>6</v>
      </c>
      <c r="H418" s="62">
        <f>SUM(H419:H440)</f>
        <v>0</v>
      </c>
      <c r="I418" s="62">
        <f>SUM(I419:I440)</f>
        <v>0</v>
      </c>
      <c r="J418" s="62">
        <f>H418+I418</f>
        <v>0</v>
      </c>
      <c r="K418" s="49"/>
      <c r="L418" s="62">
        <f>SUM(L419:L440)</f>
        <v>1.0278847999999998</v>
      </c>
      <c r="M418" s="49"/>
      <c r="Y418" s="49"/>
      <c r="AI418" s="62">
        <f>SUM(Z419:Z440)</f>
        <v>0</v>
      </c>
      <c r="AJ418" s="62">
        <f>SUM(AA419:AA440)</f>
        <v>0</v>
      </c>
      <c r="AK418" s="62">
        <f>SUM(AB419:AB440)</f>
        <v>0</v>
      </c>
    </row>
    <row r="419" spans="1:48" ht="12.75">
      <c r="A419" s="10" t="s">
        <v>154</v>
      </c>
      <c r="B419" s="10"/>
      <c r="C419" s="10" t="s">
        <v>397</v>
      </c>
      <c r="D419" s="10" t="s">
        <v>858</v>
      </c>
      <c r="E419" s="10" t="s">
        <v>1086</v>
      </c>
      <c r="F419" s="33">
        <v>65</v>
      </c>
      <c r="G419" s="33">
        <v>0</v>
      </c>
      <c r="H419" s="33">
        <f>F419*AE419</f>
        <v>0</v>
      </c>
      <c r="I419" s="33">
        <f>J419-H419</f>
        <v>0</v>
      </c>
      <c r="J419" s="33">
        <f>F419*G419</f>
        <v>0</v>
      </c>
      <c r="K419" s="33">
        <v>0.015</v>
      </c>
      <c r="L419" s="33">
        <f>F419*K419</f>
        <v>0.975</v>
      </c>
      <c r="M419" s="55" t="s">
        <v>1113</v>
      </c>
      <c r="P419" s="59">
        <f>IF(AG419="5",J419,0)</f>
        <v>0</v>
      </c>
      <c r="R419" s="59">
        <f>IF(AG419="1",H419,0)</f>
        <v>0</v>
      </c>
      <c r="S419" s="59">
        <f>IF(AG419="1",I419,0)</f>
        <v>0</v>
      </c>
      <c r="T419" s="59">
        <f>IF(AG419="7",H419,0)</f>
        <v>0</v>
      </c>
      <c r="U419" s="59">
        <f>IF(AG419="7",I419,0)</f>
        <v>0</v>
      </c>
      <c r="V419" s="59">
        <f>IF(AG419="2",H419,0)</f>
        <v>0</v>
      </c>
      <c r="W419" s="59">
        <f>IF(AG419="2",I419,0)</f>
        <v>0</v>
      </c>
      <c r="X419" s="59">
        <f>IF(AG419="0",J419,0)</f>
        <v>0</v>
      </c>
      <c r="Y419" s="49"/>
      <c r="Z419" s="33">
        <f>IF(AD419=0,J419,0)</f>
        <v>0</v>
      </c>
      <c r="AA419" s="33">
        <f>IF(AD419=15,J419,0)</f>
        <v>0</v>
      </c>
      <c r="AB419" s="33">
        <f>IF(AD419=21,J419,0)</f>
        <v>0</v>
      </c>
      <c r="AD419" s="59">
        <v>21</v>
      </c>
      <c r="AE419" s="59">
        <f>G419*0.536078006500542</f>
        <v>0</v>
      </c>
      <c r="AF419" s="59">
        <f>G419*(1-0.536078006500542)</f>
        <v>0</v>
      </c>
      <c r="AG419" s="55" t="s">
        <v>13</v>
      </c>
      <c r="AM419" s="59">
        <f>F419*AE419</f>
        <v>0</v>
      </c>
      <c r="AN419" s="59">
        <f>F419*AF419</f>
        <v>0</v>
      </c>
      <c r="AO419" s="60" t="s">
        <v>1150</v>
      </c>
      <c r="AP419" s="60" t="s">
        <v>1177</v>
      </c>
      <c r="AQ419" s="49" t="s">
        <v>1182</v>
      </c>
      <c r="AS419" s="59">
        <f>AM419+AN419</f>
        <v>0</v>
      </c>
      <c r="AT419" s="59">
        <f>G419/(100-AU419)*100</f>
        <v>0</v>
      </c>
      <c r="AU419" s="59">
        <v>0</v>
      </c>
      <c r="AV419" s="59">
        <f>L419</f>
        <v>0.975</v>
      </c>
    </row>
    <row r="420" spans="4:6" ht="12.75">
      <c r="D420" s="28" t="s">
        <v>71</v>
      </c>
      <c r="F420" s="34">
        <v>65</v>
      </c>
    </row>
    <row r="421" spans="1:48" ht="12.75">
      <c r="A421" s="10" t="s">
        <v>155</v>
      </c>
      <c r="B421" s="10"/>
      <c r="C421" s="10" t="s">
        <v>398</v>
      </c>
      <c r="D421" s="10" t="s">
        <v>859</v>
      </c>
      <c r="E421" s="10" t="s">
        <v>1084</v>
      </c>
      <c r="F421" s="33">
        <v>14.71</v>
      </c>
      <c r="G421" s="33">
        <v>0</v>
      </c>
      <c r="H421" s="33">
        <f>F421*AE421</f>
        <v>0</v>
      </c>
      <c r="I421" s="33">
        <f>J421-H421</f>
        <v>0</v>
      </c>
      <c r="J421" s="33">
        <f>F421*G421</f>
        <v>0</v>
      </c>
      <c r="K421" s="33">
        <v>0.00027</v>
      </c>
      <c r="L421" s="33">
        <f>F421*K421</f>
        <v>0.0039717</v>
      </c>
      <c r="M421" s="55" t="s">
        <v>1113</v>
      </c>
      <c r="P421" s="59">
        <f>IF(AG421="5",J421,0)</f>
        <v>0</v>
      </c>
      <c r="R421" s="59">
        <f>IF(AG421="1",H421,0)</f>
        <v>0</v>
      </c>
      <c r="S421" s="59">
        <f>IF(AG421="1",I421,0)</f>
        <v>0</v>
      </c>
      <c r="T421" s="59">
        <f>IF(AG421="7",H421,0)</f>
        <v>0</v>
      </c>
      <c r="U421" s="59">
        <f>IF(AG421="7",I421,0)</f>
        <v>0</v>
      </c>
      <c r="V421" s="59">
        <f>IF(AG421="2",H421,0)</f>
        <v>0</v>
      </c>
      <c r="W421" s="59">
        <f>IF(AG421="2",I421,0)</f>
        <v>0</v>
      </c>
      <c r="X421" s="59">
        <f>IF(AG421="0",J421,0)</f>
        <v>0</v>
      </c>
      <c r="Y421" s="49"/>
      <c r="Z421" s="33">
        <f>IF(AD421=0,J421,0)</f>
        <v>0</v>
      </c>
      <c r="AA421" s="33">
        <f>IF(AD421=15,J421,0)</f>
        <v>0</v>
      </c>
      <c r="AB421" s="33">
        <f>IF(AD421=21,J421,0)</f>
        <v>0</v>
      </c>
      <c r="AD421" s="59">
        <v>21</v>
      </c>
      <c r="AE421" s="59">
        <f>G421*0.757482219967813</f>
        <v>0</v>
      </c>
      <c r="AF421" s="59">
        <f>G421*(1-0.757482219967813)</f>
        <v>0</v>
      </c>
      <c r="AG421" s="55" t="s">
        <v>13</v>
      </c>
      <c r="AM421" s="59">
        <f>F421*AE421</f>
        <v>0</v>
      </c>
      <c r="AN421" s="59">
        <f>F421*AF421</f>
        <v>0</v>
      </c>
      <c r="AO421" s="60" t="s">
        <v>1150</v>
      </c>
      <c r="AP421" s="60" t="s">
        <v>1177</v>
      </c>
      <c r="AQ421" s="49" t="s">
        <v>1182</v>
      </c>
      <c r="AS421" s="59">
        <f>AM421+AN421</f>
        <v>0</v>
      </c>
      <c r="AT421" s="59">
        <f>G421/(100-AU421)*100</f>
        <v>0</v>
      </c>
      <c r="AU421" s="59">
        <v>0</v>
      </c>
      <c r="AV421" s="59">
        <f>L421</f>
        <v>0.0039717</v>
      </c>
    </row>
    <row r="422" spans="4:6" ht="12.75">
      <c r="D422" s="28" t="s">
        <v>860</v>
      </c>
      <c r="F422" s="34">
        <v>14.71</v>
      </c>
    </row>
    <row r="423" spans="1:48" ht="12.75">
      <c r="A423" s="10" t="s">
        <v>156</v>
      </c>
      <c r="B423" s="10"/>
      <c r="C423" s="10" t="s">
        <v>399</v>
      </c>
      <c r="D423" s="10" t="s">
        <v>861</v>
      </c>
      <c r="E423" s="10" t="s">
        <v>1084</v>
      </c>
      <c r="F423" s="33">
        <v>14.71</v>
      </c>
      <c r="G423" s="33">
        <v>0</v>
      </c>
      <c r="H423" s="33">
        <f>F423*AE423</f>
        <v>0</v>
      </c>
      <c r="I423" s="33">
        <f>J423-H423</f>
        <v>0</v>
      </c>
      <c r="J423" s="33">
        <f>F423*G423</f>
        <v>0</v>
      </c>
      <c r="K423" s="33">
        <v>0.00052</v>
      </c>
      <c r="L423" s="33">
        <f>F423*K423</f>
        <v>0.0076492</v>
      </c>
      <c r="M423" s="55" t="s">
        <v>1113</v>
      </c>
      <c r="P423" s="59">
        <f>IF(AG423="5",J423,0)</f>
        <v>0</v>
      </c>
      <c r="R423" s="59">
        <f>IF(AG423="1",H423,0)</f>
        <v>0</v>
      </c>
      <c r="S423" s="59">
        <f>IF(AG423="1",I423,0)</f>
        <v>0</v>
      </c>
      <c r="T423" s="59">
        <f>IF(AG423="7",H423,0)</f>
        <v>0</v>
      </c>
      <c r="U423" s="59">
        <f>IF(AG423="7",I423,0)</f>
        <v>0</v>
      </c>
      <c r="V423" s="59">
        <f>IF(AG423="2",H423,0)</f>
        <v>0</v>
      </c>
      <c r="W423" s="59">
        <f>IF(AG423="2",I423,0)</f>
        <v>0</v>
      </c>
      <c r="X423" s="59">
        <f>IF(AG423="0",J423,0)</f>
        <v>0</v>
      </c>
      <c r="Y423" s="49"/>
      <c r="Z423" s="33">
        <f>IF(AD423=0,J423,0)</f>
        <v>0</v>
      </c>
      <c r="AA423" s="33">
        <f>IF(AD423=15,J423,0)</f>
        <v>0</v>
      </c>
      <c r="AB423" s="33">
        <f>IF(AD423=21,J423,0)</f>
        <v>0</v>
      </c>
      <c r="AD423" s="59">
        <v>21</v>
      </c>
      <c r="AE423" s="59">
        <f>G423*0.77259606294834</f>
        <v>0</v>
      </c>
      <c r="AF423" s="59">
        <f>G423*(1-0.77259606294834)</f>
        <v>0</v>
      </c>
      <c r="AG423" s="55" t="s">
        <v>13</v>
      </c>
      <c r="AM423" s="59">
        <f>F423*AE423</f>
        <v>0</v>
      </c>
      <c r="AN423" s="59">
        <f>F423*AF423</f>
        <v>0</v>
      </c>
      <c r="AO423" s="60" t="s">
        <v>1150</v>
      </c>
      <c r="AP423" s="60" t="s">
        <v>1177</v>
      </c>
      <c r="AQ423" s="49" t="s">
        <v>1182</v>
      </c>
      <c r="AS423" s="59">
        <f>AM423+AN423</f>
        <v>0</v>
      </c>
      <c r="AT423" s="59">
        <f>G423/(100-AU423)*100</f>
        <v>0</v>
      </c>
      <c r="AU423" s="59">
        <v>0</v>
      </c>
      <c r="AV423" s="59">
        <f>L423</f>
        <v>0.0076492</v>
      </c>
    </row>
    <row r="424" spans="4:6" ht="12.75">
      <c r="D424" s="28" t="s">
        <v>860</v>
      </c>
      <c r="F424" s="34">
        <v>14.71</v>
      </c>
    </row>
    <row r="425" spans="1:48" ht="12.75">
      <c r="A425" s="10" t="s">
        <v>157</v>
      </c>
      <c r="B425" s="10"/>
      <c r="C425" s="10" t="s">
        <v>400</v>
      </c>
      <c r="D425" s="10" t="s">
        <v>862</v>
      </c>
      <c r="E425" s="10" t="s">
        <v>1084</v>
      </c>
      <c r="F425" s="33">
        <v>7.34</v>
      </c>
      <c r="G425" s="33">
        <v>0</v>
      </c>
      <c r="H425" s="33">
        <f>F425*AE425</f>
        <v>0</v>
      </c>
      <c r="I425" s="33">
        <f>J425-H425</f>
        <v>0</v>
      </c>
      <c r="J425" s="33">
        <f>F425*G425</f>
        <v>0</v>
      </c>
      <c r="K425" s="33">
        <v>0.00021</v>
      </c>
      <c r="L425" s="33">
        <f>F425*K425</f>
        <v>0.0015414</v>
      </c>
      <c r="M425" s="55" t="s">
        <v>1113</v>
      </c>
      <c r="P425" s="59">
        <f>IF(AG425="5",J425,0)</f>
        <v>0</v>
      </c>
      <c r="R425" s="59">
        <f>IF(AG425="1",H425,0)</f>
        <v>0</v>
      </c>
      <c r="S425" s="59">
        <f>IF(AG425="1",I425,0)</f>
        <v>0</v>
      </c>
      <c r="T425" s="59">
        <f>IF(AG425="7",H425,0)</f>
        <v>0</v>
      </c>
      <c r="U425" s="59">
        <f>IF(AG425="7",I425,0)</f>
        <v>0</v>
      </c>
      <c r="V425" s="59">
        <f>IF(AG425="2",H425,0)</f>
        <v>0</v>
      </c>
      <c r="W425" s="59">
        <f>IF(AG425="2",I425,0)</f>
        <v>0</v>
      </c>
      <c r="X425" s="59">
        <f>IF(AG425="0",J425,0)</f>
        <v>0</v>
      </c>
      <c r="Y425" s="49"/>
      <c r="Z425" s="33">
        <f>IF(AD425=0,J425,0)</f>
        <v>0</v>
      </c>
      <c r="AA425" s="33">
        <f>IF(AD425=15,J425,0)</f>
        <v>0</v>
      </c>
      <c r="AB425" s="33">
        <f>IF(AD425=21,J425,0)</f>
        <v>0</v>
      </c>
      <c r="AD425" s="59">
        <v>21</v>
      </c>
      <c r="AE425" s="59">
        <f>G425*0.696455104944706</f>
        <v>0</v>
      </c>
      <c r="AF425" s="59">
        <f>G425*(1-0.696455104944706)</f>
        <v>0</v>
      </c>
      <c r="AG425" s="55" t="s">
        <v>13</v>
      </c>
      <c r="AM425" s="59">
        <f>F425*AE425</f>
        <v>0</v>
      </c>
      <c r="AN425" s="59">
        <f>F425*AF425</f>
        <v>0</v>
      </c>
      <c r="AO425" s="60" t="s">
        <v>1150</v>
      </c>
      <c r="AP425" s="60" t="s">
        <v>1177</v>
      </c>
      <c r="AQ425" s="49" t="s">
        <v>1182</v>
      </c>
      <c r="AS425" s="59">
        <f>AM425+AN425</f>
        <v>0</v>
      </c>
      <c r="AT425" s="59">
        <f>G425/(100-AU425)*100</f>
        <v>0</v>
      </c>
      <c r="AU425" s="59">
        <v>0</v>
      </c>
      <c r="AV425" s="59">
        <f>L425</f>
        <v>0.0015414</v>
      </c>
    </row>
    <row r="426" spans="4:6" ht="12.75">
      <c r="D426" s="28" t="s">
        <v>863</v>
      </c>
      <c r="F426" s="34">
        <v>7.34</v>
      </c>
    </row>
    <row r="427" spans="1:48" ht="12.75">
      <c r="A427" s="10" t="s">
        <v>158</v>
      </c>
      <c r="B427" s="10"/>
      <c r="C427" s="10" t="s">
        <v>401</v>
      </c>
      <c r="D427" s="10" t="s">
        <v>864</v>
      </c>
      <c r="E427" s="10" t="s">
        <v>1088</v>
      </c>
      <c r="F427" s="33">
        <v>2</v>
      </c>
      <c r="G427" s="33">
        <v>0</v>
      </c>
      <c r="H427" s="33">
        <f>F427*AE427</f>
        <v>0</v>
      </c>
      <c r="I427" s="33">
        <f>J427-H427</f>
        <v>0</v>
      </c>
      <c r="J427" s="33">
        <f>F427*G427</f>
        <v>0</v>
      </c>
      <c r="K427" s="33">
        <v>0.00041</v>
      </c>
      <c r="L427" s="33">
        <f>F427*K427</f>
        <v>0.00082</v>
      </c>
      <c r="M427" s="55" t="s">
        <v>1113</v>
      </c>
      <c r="P427" s="59">
        <f>IF(AG427="5",J427,0)</f>
        <v>0</v>
      </c>
      <c r="R427" s="59">
        <f>IF(AG427="1",H427,0)</f>
        <v>0</v>
      </c>
      <c r="S427" s="59">
        <f>IF(AG427="1",I427,0)</f>
        <v>0</v>
      </c>
      <c r="T427" s="59">
        <f>IF(AG427="7",H427,0)</f>
        <v>0</v>
      </c>
      <c r="U427" s="59">
        <f>IF(AG427="7",I427,0)</f>
        <v>0</v>
      </c>
      <c r="V427" s="59">
        <f>IF(AG427="2",H427,0)</f>
        <v>0</v>
      </c>
      <c r="W427" s="59">
        <f>IF(AG427="2",I427,0)</f>
        <v>0</v>
      </c>
      <c r="X427" s="59">
        <f>IF(AG427="0",J427,0)</f>
        <v>0</v>
      </c>
      <c r="Y427" s="49"/>
      <c r="Z427" s="33">
        <f>IF(AD427=0,J427,0)</f>
        <v>0</v>
      </c>
      <c r="AA427" s="33">
        <f>IF(AD427=15,J427,0)</f>
        <v>0</v>
      </c>
      <c r="AB427" s="33">
        <f>IF(AD427=21,J427,0)</f>
        <v>0</v>
      </c>
      <c r="AD427" s="59">
        <v>21</v>
      </c>
      <c r="AE427" s="59">
        <f>G427*0.733755942947702</f>
        <v>0</v>
      </c>
      <c r="AF427" s="59">
        <f>G427*(1-0.733755942947702)</f>
        <v>0</v>
      </c>
      <c r="AG427" s="55" t="s">
        <v>13</v>
      </c>
      <c r="AM427" s="59">
        <f>F427*AE427</f>
        <v>0</v>
      </c>
      <c r="AN427" s="59">
        <f>F427*AF427</f>
        <v>0</v>
      </c>
      <c r="AO427" s="60" t="s">
        <v>1150</v>
      </c>
      <c r="AP427" s="60" t="s">
        <v>1177</v>
      </c>
      <c r="AQ427" s="49" t="s">
        <v>1182</v>
      </c>
      <c r="AS427" s="59">
        <f>AM427+AN427</f>
        <v>0</v>
      </c>
      <c r="AT427" s="59">
        <f>G427/(100-AU427)*100</f>
        <v>0</v>
      </c>
      <c r="AU427" s="59">
        <v>0</v>
      </c>
      <c r="AV427" s="59">
        <f>L427</f>
        <v>0.00082</v>
      </c>
    </row>
    <row r="428" spans="4:6" ht="12.75">
      <c r="D428" s="28" t="s">
        <v>8</v>
      </c>
      <c r="F428" s="34">
        <v>2</v>
      </c>
    </row>
    <row r="429" spans="1:48" ht="12.75">
      <c r="A429" s="10" t="s">
        <v>159</v>
      </c>
      <c r="B429" s="10"/>
      <c r="C429" s="10" t="s">
        <v>402</v>
      </c>
      <c r="D429" s="10" t="s">
        <v>865</v>
      </c>
      <c r="E429" s="10" t="s">
        <v>1084</v>
      </c>
      <c r="F429" s="33">
        <v>14.75</v>
      </c>
      <c r="G429" s="33">
        <v>0</v>
      </c>
      <c r="H429" s="33">
        <f>F429*AE429</f>
        <v>0</v>
      </c>
      <c r="I429" s="33">
        <f>J429-H429</f>
        <v>0</v>
      </c>
      <c r="J429" s="33">
        <f>F429*G429</f>
        <v>0</v>
      </c>
      <c r="K429" s="33">
        <v>0.0008</v>
      </c>
      <c r="L429" s="33">
        <f>F429*K429</f>
        <v>0.0118</v>
      </c>
      <c r="M429" s="55" t="s">
        <v>1113</v>
      </c>
      <c r="P429" s="59">
        <f>IF(AG429="5",J429,0)</f>
        <v>0</v>
      </c>
      <c r="R429" s="59">
        <f>IF(AG429="1",H429,0)</f>
        <v>0</v>
      </c>
      <c r="S429" s="59">
        <f>IF(AG429="1",I429,0)</f>
        <v>0</v>
      </c>
      <c r="T429" s="59">
        <f>IF(AG429="7",H429,0)</f>
        <v>0</v>
      </c>
      <c r="U429" s="59">
        <f>IF(AG429="7",I429,0)</f>
        <v>0</v>
      </c>
      <c r="V429" s="59">
        <f>IF(AG429="2",H429,0)</f>
        <v>0</v>
      </c>
      <c r="W429" s="59">
        <f>IF(AG429="2",I429,0)</f>
        <v>0</v>
      </c>
      <c r="X429" s="59">
        <f>IF(AG429="0",J429,0)</f>
        <v>0</v>
      </c>
      <c r="Y429" s="49"/>
      <c r="Z429" s="33">
        <f>IF(AD429=0,J429,0)</f>
        <v>0</v>
      </c>
      <c r="AA429" s="33">
        <f>IF(AD429=15,J429,0)</f>
        <v>0</v>
      </c>
      <c r="AB429" s="33">
        <f>IF(AD429=21,J429,0)</f>
        <v>0</v>
      </c>
      <c r="AD429" s="59">
        <v>21</v>
      </c>
      <c r="AE429" s="59">
        <f>G429*0.709967469227452</f>
        <v>0</v>
      </c>
      <c r="AF429" s="59">
        <f>G429*(1-0.709967469227452)</f>
        <v>0</v>
      </c>
      <c r="AG429" s="55" t="s">
        <v>13</v>
      </c>
      <c r="AM429" s="59">
        <f>F429*AE429</f>
        <v>0</v>
      </c>
      <c r="AN429" s="59">
        <f>F429*AF429</f>
        <v>0</v>
      </c>
      <c r="AO429" s="60" t="s">
        <v>1150</v>
      </c>
      <c r="AP429" s="60" t="s">
        <v>1177</v>
      </c>
      <c r="AQ429" s="49" t="s">
        <v>1182</v>
      </c>
      <c r="AS429" s="59">
        <f>AM429+AN429</f>
        <v>0</v>
      </c>
      <c r="AT429" s="59">
        <f>G429/(100-AU429)*100</f>
        <v>0</v>
      </c>
      <c r="AU429" s="59">
        <v>0</v>
      </c>
      <c r="AV429" s="59">
        <f>L429</f>
        <v>0.0118</v>
      </c>
    </row>
    <row r="430" spans="4:6" ht="12.75">
      <c r="D430" s="28" t="s">
        <v>866</v>
      </c>
      <c r="F430" s="34">
        <v>14.75</v>
      </c>
    </row>
    <row r="431" spans="1:48" ht="12.75">
      <c r="A431" s="10" t="s">
        <v>160</v>
      </c>
      <c r="B431" s="10"/>
      <c r="C431" s="10" t="s">
        <v>403</v>
      </c>
      <c r="D431" s="10" t="s">
        <v>867</v>
      </c>
      <c r="E431" s="10" t="s">
        <v>1084</v>
      </c>
      <c r="F431" s="33">
        <v>2</v>
      </c>
      <c r="G431" s="33">
        <v>0</v>
      </c>
      <c r="H431" s="33">
        <f>F431*AE431</f>
        <v>0</v>
      </c>
      <c r="I431" s="33">
        <f>J431-H431</f>
        <v>0</v>
      </c>
      <c r="J431" s="33">
        <f>F431*G431</f>
        <v>0</v>
      </c>
      <c r="K431" s="33">
        <v>0.00267</v>
      </c>
      <c r="L431" s="33">
        <f>F431*K431</f>
        <v>0.00534</v>
      </c>
      <c r="M431" s="55" t="s">
        <v>1113</v>
      </c>
      <c r="P431" s="59">
        <f>IF(AG431="5",J431,0)</f>
        <v>0</v>
      </c>
      <c r="R431" s="59">
        <f>IF(AG431="1",H431,0)</f>
        <v>0</v>
      </c>
      <c r="S431" s="59">
        <f>IF(AG431="1",I431,0)</f>
        <v>0</v>
      </c>
      <c r="T431" s="59">
        <f>IF(AG431="7",H431,0)</f>
        <v>0</v>
      </c>
      <c r="U431" s="59">
        <f>IF(AG431="7",I431,0)</f>
        <v>0</v>
      </c>
      <c r="V431" s="59">
        <f>IF(AG431="2",H431,0)</f>
        <v>0</v>
      </c>
      <c r="W431" s="59">
        <f>IF(AG431="2",I431,0)</f>
        <v>0</v>
      </c>
      <c r="X431" s="59">
        <f>IF(AG431="0",J431,0)</f>
        <v>0</v>
      </c>
      <c r="Y431" s="49"/>
      <c r="Z431" s="33">
        <f>IF(AD431=0,J431,0)</f>
        <v>0</v>
      </c>
      <c r="AA431" s="33">
        <f>IF(AD431=15,J431,0)</f>
        <v>0</v>
      </c>
      <c r="AB431" s="33">
        <f>IF(AD431=21,J431,0)</f>
        <v>0</v>
      </c>
      <c r="AD431" s="59">
        <v>21</v>
      </c>
      <c r="AE431" s="59">
        <f>G431*0.885674439723673</f>
        <v>0</v>
      </c>
      <c r="AF431" s="59">
        <f>G431*(1-0.885674439723673)</f>
        <v>0</v>
      </c>
      <c r="AG431" s="55" t="s">
        <v>13</v>
      </c>
      <c r="AM431" s="59">
        <f>F431*AE431</f>
        <v>0</v>
      </c>
      <c r="AN431" s="59">
        <f>F431*AF431</f>
        <v>0</v>
      </c>
      <c r="AO431" s="60" t="s">
        <v>1150</v>
      </c>
      <c r="AP431" s="60" t="s">
        <v>1177</v>
      </c>
      <c r="AQ431" s="49" t="s">
        <v>1182</v>
      </c>
      <c r="AS431" s="59">
        <f>AM431+AN431</f>
        <v>0</v>
      </c>
      <c r="AT431" s="59">
        <f>G431/(100-AU431)*100</f>
        <v>0</v>
      </c>
      <c r="AU431" s="59">
        <v>0</v>
      </c>
      <c r="AV431" s="59">
        <f>L431</f>
        <v>0.00534</v>
      </c>
    </row>
    <row r="432" spans="4:6" ht="12.75">
      <c r="D432" s="28" t="s">
        <v>868</v>
      </c>
      <c r="F432" s="34">
        <v>2</v>
      </c>
    </row>
    <row r="433" spans="1:48" ht="12.75">
      <c r="A433" s="10" t="s">
        <v>161</v>
      </c>
      <c r="B433" s="10"/>
      <c r="C433" s="10" t="s">
        <v>404</v>
      </c>
      <c r="D433" s="10" t="s">
        <v>869</v>
      </c>
      <c r="E433" s="10" t="s">
        <v>1086</v>
      </c>
      <c r="F433" s="33">
        <v>65</v>
      </c>
      <c r="G433" s="33">
        <v>0</v>
      </c>
      <c r="H433" s="33">
        <f>F433*AE433</f>
        <v>0</v>
      </c>
      <c r="I433" s="33">
        <f>J433-H433</f>
        <v>0</v>
      </c>
      <c r="J433" s="33">
        <f>F433*G433</f>
        <v>0</v>
      </c>
      <c r="K433" s="33">
        <v>4E-05</v>
      </c>
      <c r="L433" s="33">
        <f>F433*K433</f>
        <v>0.0026000000000000003</v>
      </c>
      <c r="M433" s="55" t="s">
        <v>1114</v>
      </c>
      <c r="P433" s="59">
        <f>IF(AG433="5",J433,0)</f>
        <v>0</v>
      </c>
      <c r="R433" s="59">
        <f>IF(AG433="1",H433,0)</f>
        <v>0</v>
      </c>
      <c r="S433" s="59">
        <f>IF(AG433="1",I433,0)</f>
        <v>0</v>
      </c>
      <c r="T433" s="59">
        <f>IF(AG433="7",H433,0)</f>
        <v>0</v>
      </c>
      <c r="U433" s="59">
        <f>IF(AG433="7",I433,0)</f>
        <v>0</v>
      </c>
      <c r="V433" s="59">
        <f>IF(AG433="2",H433,0)</f>
        <v>0</v>
      </c>
      <c r="W433" s="59">
        <f>IF(AG433="2",I433,0)</f>
        <v>0</v>
      </c>
      <c r="X433" s="59">
        <f>IF(AG433="0",J433,0)</f>
        <v>0</v>
      </c>
      <c r="Y433" s="49"/>
      <c r="Z433" s="33">
        <f>IF(AD433=0,J433,0)</f>
        <v>0</v>
      </c>
      <c r="AA433" s="33">
        <f>IF(AD433=15,J433,0)</f>
        <v>0</v>
      </c>
      <c r="AB433" s="33">
        <f>IF(AD433=21,J433,0)</f>
        <v>0</v>
      </c>
      <c r="AD433" s="59">
        <v>21</v>
      </c>
      <c r="AE433" s="59">
        <f>G433*0.0901196047841914</f>
        <v>0</v>
      </c>
      <c r="AF433" s="59">
        <f>G433*(1-0.0901196047841914)</f>
        <v>0</v>
      </c>
      <c r="AG433" s="55" t="s">
        <v>13</v>
      </c>
      <c r="AM433" s="59">
        <f>F433*AE433</f>
        <v>0</v>
      </c>
      <c r="AN433" s="59">
        <f>F433*AF433</f>
        <v>0</v>
      </c>
      <c r="AO433" s="60" t="s">
        <v>1150</v>
      </c>
      <c r="AP433" s="60" t="s">
        <v>1177</v>
      </c>
      <c r="AQ433" s="49" t="s">
        <v>1182</v>
      </c>
      <c r="AS433" s="59">
        <f>AM433+AN433</f>
        <v>0</v>
      </c>
      <c r="AT433" s="59">
        <f>G433/(100-AU433)*100</f>
        <v>0</v>
      </c>
      <c r="AU433" s="59">
        <v>0</v>
      </c>
      <c r="AV433" s="59">
        <f>L433</f>
        <v>0.0026000000000000003</v>
      </c>
    </row>
    <row r="434" spans="4:6" ht="12.75">
      <c r="D434" s="28" t="s">
        <v>870</v>
      </c>
      <c r="F434" s="34">
        <v>65</v>
      </c>
    </row>
    <row r="435" spans="1:48" ht="12.75">
      <c r="A435" s="12" t="s">
        <v>162</v>
      </c>
      <c r="B435" s="12"/>
      <c r="C435" s="12" t="s">
        <v>405</v>
      </c>
      <c r="D435" s="12" t="s">
        <v>871</v>
      </c>
      <c r="E435" s="12" t="s">
        <v>1086</v>
      </c>
      <c r="F435" s="35">
        <v>74.75</v>
      </c>
      <c r="G435" s="35">
        <v>0</v>
      </c>
      <c r="H435" s="35">
        <f>F435*AE435</f>
        <v>0</v>
      </c>
      <c r="I435" s="35">
        <f>J435-H435</f>
        <v>0</v>
      </c>
      <c r="J435" s="35">
        <f>F435*G435</f>
        <v>0</v>
      </c>
      <c r="K435" s="35">
        <v>0.00019</v>
      </c>
      <c r="L435" s="35">
        <f>F435*K435</f>
        <v>0.014202500000000002</v>
      </c>
      <c r="M435" s="56" t="s">
        <v>1113</v>
      </c>
      <c r="P435" s="59">
        <f>IF(AG435="5",J435,0)</f>
        <v>0</v>
      </c>
      <c r="R435" s="59">
        <f>IF(AG435="1",H435,0)</f>
        <v>0</v>
      </c>
      <c r="S435" s="59">
        <f>IF(AG435="1",I435,0)</f>
        <v>0</v>
      </c>
      <c r="T435" s="59">
        <f>IF(AG435="7",H435,0)</f>
        <v>0</v>
      </c>
      <c r="U435" s="59">
        <f>IF(AG435="7",I435,0)</f>
        <v>0</v>
      </c>
      <c r="V435" s="59">
        <f>IF(AG435="2",H435,0)</f>
        <v>0</v>
      </c>
      <c r="W435" s="59">
        <f>IF(AG435="2",I435,0)</f>
        <v>0</v>
      </c>
      <c r="X435" s="59">
        <f>IF(AG435="0",J435,0)</f>
        <v>0</v>
      </c>
      <c r="Y435" s="49"/>
      <c r="Z435" s="35">
        <f>IF(AD435=0,J435,0)</f>
        <v>0</v>
      </c>
      <c r="AA435" s="35">
        <f>IF(AD435=15,J435,0)</f>
        <v>0</v>
      </c>
      <c r="AB435" s="35">
        <f>IF(AD435=21,J435,0)</f>
        <v>0</v>
      </c>
      <c r="AD435" s="59">
        <v>21</v>
      </c>
      <c r="AE435" s="59">
        <f>G435*1</f>
        <v>0</v>
      </c>
      <c r="AF435" s="59">
        <f>G435*(1-1)</f>
        <v>0</v>
      </c>
      <c r="AG435" s="56" t="s">
        <v>13</v>
      </c>
      <c r="AM435" s="59">
        <f>F435*AE435</f>
        <v>0</v>
      </c>
      <c r="AN435" s="59">
        <f>F435*AF435</f>
        <v>0</v>
      </c>
      <c r="AO435" s="60" t="s">
        <v>1150</v>
      </c>
      <c r="AP435" s="60" t="s">
        <v>1177</v>
      </c>
      <c r="AQ435" s="49" t="s">
        <v>1182</v>
      </c>
      <c r="AS435" s="59">
        <f>AM435+AN435</f>
        <v>0</v>
      </c>
      <c r="AT435" s="59">
        <f>G435/(100-AU435)*100</f>
        <v>0</v>
      </c>
      <c r="AU435" s="59">
        <v>0</v>
      </c>
      <c r="AV435" s="59">
        <f>L435</f>
        <v>0.014202500000000002</v>
      </c>
    </row>
    <row r="436" spans="4:6" ht="12.75">
      <c r="D436" s="28" t="s">
        <v>870</v>
      </c>
      <c r="F436" s="34">
        <v>65</v>
      </c>
    </row>
    <row r="437" spans="4:6" ht="12.75">
      <c r="D437" s="28" t="s">
        <v>872</v>
      </c>
      <c r="F437" s="34">
        <v>9.75</v>
      </c>
    </row>
    <row r="438" spans="1:48" ht="12.75">
      <c r="A438" s="10" t="s">
        <v>163</v>
      </c>
      <c r="B438" s="10"/>
      <c r="C438" s="10" t="s">
        <v>406</v>
      </c>
      <c r="D438" s="10" t="s">
        <v>873</v>
      </c>
      <c r="E438" s="10" t="s">
        <v>1084</v>
      </c>
      <c r="F438" s="33">
        <v>8</v>
      </c>
      <c r="G438" s="33">
        <v>0</v>
      </c>
      <c r="H438" s="33">
        <f>F438*AE438</f>
        <v>0</v>
      </c>
      <c r="I438" s="33">
        <f>J438-H438</f>
        <v>0</v>
      </c>
      <c r="J438" s="33">
        <f>F438*G438</f>
        <v>0</v>
      </c>
      <c r="K438" s="33">
        <v>0.00062</v>
      </c>
      <c r="L438" s="33">
        <f>F438*K438</f>
        <v>0.00496</v>
      </c>
      <c r="M438" s="55" t="s">
        <v>1113</v>
      </c>
      <c r="P438" s="59">
        <f>IF(AG438="5",J438,0)</f>
        <v>0</v>
      </c>
      <c r="R438" s="59">
        <f>IF(AG438="1",H438,0)</f>
        <v>0</v>
      </c>
      <c r="S438" s="59">
        <f>IF(AG438="1",I438,0)</f>
        <v>0</v>
      </c>
      <c r="T438" s="59">
        <f>IF(AG438="7",H438,0)</f>
        <v>0</v>
      </c>
      <c r="U438" s="59">
        <f>IF(AG438="7",I438,0)</f>
        <v>0</v>
      </c>
      <c r="V438" s="59">
        <f>IF(AG438="2",H438,0)</f>
        <v>0</v>
      </c>
      <c r="W438" s="59">
        <f>IF(AG438="2",I438,0)</f>
        <v>0</v>
      </c>
      <c r="X438" s="59">
        <f>IF(AG438="0",J438,0)</f>
        <v>0</v>
      </c>
      <c r="Y438" s="49"/>
      <c r="Z438" s="33">
        <f>IF(AD438=0,J438,0)</f>
        <v>0</v>
      </c>
      <c r="AA438" s="33">
        <f>IF(AD438=15,J438,0)</f>
        <v>0</v>
      </c>
      <c r="AB438" s="33">
        <f>IF(AD438=21,J438,0)</f>
        <v>0</v>
      </c>
      <c r="AD438" s="59">
        <v>21</v>
      </c>
      <c r="AE438" s="59">
        <f>G438*0.695142857142857</f>
        <v>0</v>
      </c>
      <c r="AF438" s="59">
        <f>G438*(1-0.695142857142857)</f>
        <v>0</v>
      </c>
      <c r="AG438" s="55" t="s">
        <v>13</v>
      </c>
      <c r="AM438" s="59">
        <f>F438*AE438</f>
        <v>0</v>
      </c>
      <c r="AN438" s="59">
        <f>F438*AF438</f>
        <v>0</v>
      </c>
      <c r="AO438" s="60" t="s">
        <v>1150</v>
      </c>
      <c r="AP438" s="60" t="s">
        <v>1177</v>
      </c>
      <c r="AQ438" s="49" t="s">
        <v>1182</v>
      </c>
      <c r="AS438" s="59">
        <f>AM438+AN438</f>
        <v>0</v>
      </c>
      <c r="AT438" s="59">
        <f>G438/(100-AU438)*100</f>
        <v>0</v>
      </c>
      <c r="AU438" s="59">
        <v>0</v>
      </c>
      <c r="AV438" s="59">
        <f>L438</f>
        <v>0.00496</v>
      </c>
    </row>
    <row r="439" spans="4:6" ht="12.75">
      <c r="D439" s="28" t="s">
        <v>14</v>
      </c>
      <c r="F439" s="34">
        <v>8</v>
      </c>
    </row>
    <row r="440" spans="1:48" ht="12.75">
      <c r="A440" s="10" t="s">
        <v>164</v>
      </c>
      <c r="B440" s="10"/>
      <c r="C440" s="10" t="s">
        <v>407</v>
      </c>
      <c r="D440" s="10" t="s">
        <v>874</v>
      </c>
      <c r="E440" s="10" t="s">
        <v>1085</v>
      </c>
      <c r="F440" s="33">
        <v>1.027</v>
      </c>
      <c r="G440" s="33">
        <v>0</v>
      </c>
      <c r="H440" s="33">
        <f>F440*AE440</f>
        <v>0</v>
      </c>
      <c r="I440" s="33">
        <f>J440-H440</f>
        <v>0</v>
      </c>
      <c r="J440" s="33">
        <f>F440*G440</f>
        <v>0</v>
      </c>
      <c r="K440" s="33">
        <v>0</v>
      </c>
      <c r="L440" s="33">
        <f>F440*K440</f>
        <v>0</v>
      </c>
      <c r="M440" s="55" t="s">
        <v>1113</v>
      </c>
      <c r="P440" s="59">
        <f>IF(AG440="5",J440,0)</f>
        <v>0</v>
      </c>
      <c r="R440" s="59">
        <f>IF(AG440="1",H440,0)</f>
        <v>0</v>
      </c>
      <c r="S440" s="59">
        <f>IF(AG440="1",I440,0)</f>
        <v>0</v>
      </c>
      <c r="T440" s="59">
        <f>IF(AG440="7",H440,0)</f>
        <v>0</v>
      </c>
      <c r="U440" s="59">
        <f>IF(AG440="7",I440,0)</f>
        <v>0</v>
      </c>
      <c r="V440" s="59">
        <f>IF(AG440="2",H440,0)</f>
        <v>0</v>
      </c>
      <c r="W440" s="59">
        <f>IF(AG440="2",I440,0)</f>
        <v>0</v>
      </c>
      <c r="X440" s="59">
        <f>IF(AG440="0",J440,0)</f>
        <v>0</v>
      </c>
      <c r="Y440" s="49"/>
      <c r="Z440" s="33">
        <f>IF(AD440=0,J440,0)</f>
        <v>0</v>
      </c>
      <c r="AA440" s="33">
        <f>IF(AD440=15,J440,0)</f>
        <v>0</v>
      </c>
      <c r="AB440" s="33">
        <f>IF(AD440=21,J440,0)</f>
        <v>0</v>
      </c>
      <c r="AD440" s="59">
        <v>21</v>
      </c>
      <c r="AE440" s="59">
        <f>G440*0</f>
        <v>0</v>
      </c>
      <c r="AF440" s="59">
        <f>G440*(1-0)</f>
        <v>0</v>
      </c>
      <c r="AG440" s="55" t="s">
        <v>11</v>
      </c>
      <c r="AM440" s="59">
        <f>F440*AE440</f>
        <v>0</v>
      </c>
      <c r="AN440" s="59">
        <f>F440*AF440</f>
        <v>0</v>
      </c>
      <c r="AO440" s="60" t="s">
        <v>1150</v>
      </c>
      <c r="AP440" s="60" t="s">
        <v>1177</v>
      </c>
      <c r="AQ440" s="49" t="s">
        <v>1182</v>
      </c>
      <c r="AS440" s="59">
        <f>AM440+AN440</f>
        <v>0</v>
      </c>
      <c r="AT440" s="59">
        <f>G440/(100-AU440)*100</f>
        <v>0</v>
      </c>
      <c r="AU440" s="59">
        <v>0</v>
      </c>
      <c r="AV440" s="59">
        <f>L440</f>
        <v>0</v>
      </c>
    </row>
    <row r="441" spans="4:6" ht="12.75">
      <c r="D441" s="28" t="s">
        <v>875</v>
      </c>
      <c r="F441" s="34">
        <v>1.027</v>
      </c>
    </row>
    <row r="442" spans="1:37" ht="12.75">
      <c r="A442" s="11"/>
      <c r="B442" s="24"/>
      <c r="C442" s="24" t="s">
        <v>408</v>
      </c>
      <c r="D442" s="24" t="s">
        <v>876</v>
      </c>
      <c r="E442" s="11" t="s">
        <v>6</v>
      </c>
      <c r="F442" s="11" t="s">
        <v>6</v>
      </c>
      <c r="G442" s="11" t="s">
        <v>6</v>
      </c>
      <c r="H442" s="62">
        <f>SUM(H443:H443)</f>
        <v>0</v>
      </c>
      <c r="I442" s="62">
        <f>SUM(I443:I443)</f>
        <v>0</v>
      </c>
      <c r="J442" s="62">
        <f>H442+I442</f>
        <v>0</v>
      </c>
      <c r="K442" s="49"/>
      <c r="L442" s="62">
        <f>SUM(L443:L443)</f>
        <v>4.355</v>
      </c>
      <c r="M442" s="49"/>
      <c r="Y442" s="49"/>
      <c r="AI442" s="62">
        <f>SUM(Z443:Z443)</f>
        <v>0</v>
      </c>
      <c r="AJ442" s="62">
        <f>SUM(AA443:AA443)</f>
        <v>0</v>
      </c>
      <c r="AK442" s="62">
        <f>SUM(AB443:AB443)</f>
        <v>0</v>
      </c>
    </row>
    <row r="443" spans="1:48" ht="12.75">
      <c r="A443" s="10" t="s">
        <v>165</v>
      </c>
      <c r="B443" s="10"/>
      <c r="C443" s="10" t="s">
        <v>409</v>
      </c>
      <c r="D443" s="10" t="s">
        <v>877</v>
      </c>
      <c r="E443" s="10" t="s">
        <v>1086</v>
      </c>
      <c r="F443" s="33">
        <v>65</v>
      </c>
      <c r="G443" s="33">
        <v>0</v>
      </c>
      <c r="H443" s="33">
        <f>F443*AE443</f>
        <v>0</v>
      </c>
      <c r="I443" s="33">
        <f>J443-H443</f>
        <v>0</v>
      </c>
      <c r="J443" s="33">
        <f>F443*G443</f>
        <v>0</v>
      </c>
      <c r="K443" s="33">
        <v>0.067</v>
      </c>
      <c r="L443" s="33">
        <f>F443*K443</f>
        <v>4.355</v>
      </c>
      <c r="M443" s="55" t="s">
        <v>1113</v>
      </c>
      <c r="P443" s="59">
        <f>IF(AG443="5",J443,0)</f>
        <v>0</v>
      </c>
      <c r="R443" s="59">
        <f>IF(AG443="1",H443,0)</f>
        <v>0</v>
      </c>
      <c r="S443" s="59">
        <f>IF(AG443="1",I443,0)</f>
        <v>0</v>
      </c>
      <c r="T443" s="59">
        <f>IF(AG443="7",H443,0)</f>
        <v>0</v>
      </c>
      <c r="U443" s="59">
        <f>IF(AG443="7",I443,0)</f>
        <v>0</v>
      </c>
      <c r="V443" s="59">
        <f>IF(AG443="2",H443,0)</f>
        <v>0</v>
      </c>
      <c r="W443" s="59">
        <f>IF(AG443="2",I443,0)</f>
        <v>0</v>
      </c>
      <c r="X443" s="59">
        <f>IF(AG443="0",J443,0)</f>
        <v>0</v>
      </c>
      <c r="Y443" s="49"/>
      <c r="Z443" s="33">
        <f>IF(AD443=0,J443,0)</f>
        <v>0</v>
      </c>
      <c r="AA443" s="33">
        <f>IF(AD443=15,J443,0)</f>
        <v>0</v>
      </c>
      <c r="AB443" s="33">
        <f>IF(AD443=21,J443,0)</f>
        <v>0</v>
      </c>
      <c r="AD443" s="59">
        <v>21</v>
      </c>
      <c r="AE443" s="59">
        <f>G443*0</f>
        <v>0</v>
      </c>
      <c r="AF443" s="59">
        <f>G443*(1-0)</f>
        <v>0</v>
      </c>
      <c r="AG443" s="55" t="s">
        <v>13</v>
      </c>
      <c r="AM443" s="59">
        <f>F443*AE443</f>
        <v>0</v>
      </c>
      <c r="AN443" s="59">
        <f>F443*AF443</f>
        <v>0</v>
      </c>
      <c r="AO443" s="60" t="s">
        <v>1151</v>
      </c>
      <c r="AP443" s="60" t="s">
        <v>1177</v>
      </c>
      <c r="AQ443" s="49" t="s">
        <v>1182</v>
      </c>
      <c r="AS443" s="59">
        <f>AM443+AN443</f>
        <v>0</v>
      </c>
      <c r="AT443" s="59">
        <f>G443/(100-AU443)*100</f>
        <v>0</v>
      </c>
      <c r="AU443" s="59">
        <v>0</v>
      </c>
      <c r="AV443" s="59">
        <f>L443</f>
        <v>4.355</v>
      </c>
    </row>
    <row r="444" spans="4:6" ht="12.75">
      <c r="D444" s="28" t="s">
        <v>878</v>
      </c>
      <c r="F444" s="34">
        <v>65</v>
      </c>
    </row>
    <row r="445" spans="1:37" ht="12.75">
      <c r="A445" s="11"/>
      <c r="B445" s="24"/>
      <c r="C445" s="24" t="s">
        <v>410</v>
      </c>
      <c r="D445" s="24" t="s">
        <v>879</v>
      </c>
      <c r="E445" s="11" t="s">
        <v>6</v>
      </c>
      <c r="F445" s="11" t="s">
        <v>6</v>
      </c>
      <c r="G445" s="11" t="s">
        <v>6</v>
      </c>
      <c r="H445" s="62">
        <f>SUM(H446:H470)</f>
        <v>0</v>
      </c>
      <c r="I445" s="62">
        <f>SUM(I446:I470)</f>
        <v>0</v>
      </c>
      <c r="J445" s="62">
        <f>H445+I445</f>
        <v>0</v>
      </c>
      <c r="K445" s="49"/>
      <c r="L445" s="62">
        <f>SUM(L446:L470)</f>
        <v>0.16823000000000002</v>
      </c>
      <c r="M445" s="49"/>
      <c r="Y445" s="49"/>
      <c r="AI445" s="62">
        <f>SUM(Z446:Z470)</f>
        <v>0</v>
      </c>
      <c r="AJ445" s="62">
        <f>SUM(AA446:AA470)</f>
        <v>0</v>
      </c>
      <c r="AK445" s="62">
        <f>SUM(AB446:AB470)</f>
        <v>0</v>
      </c>
    </row>
    <row r="446" spans="1:48" ht="12.75">
      <c r="A446" s="10" t="s">
        <v>166</v>
      </c>
      <c r="B446" s="10"/>
      <c r="C446" s="10" t="s">
        <v>411</v>
      </c>
      <c r="D446" s="10" t="s">
        <v>880</v>
      </c>
      <c r="E446" s="10" t="s">
        <v>1088</v>
      </c>
      <c r="F446" s="33">
        <v>1</v>
      </c>
      <c r="G446" s="33">
        <v>0</v>
      </c>
      <c r="H446" s="33">
        <f>F446*AE446</f>
        <v>0</v>
      </c>
      <c r="I446" s="33">
        <f>J446-H446</f>
        <v>0</v>
      </c>
      <c r="J446" s="33">
        <f>F446*G446</f>
        <v>0</v>
      </c>
      <c r="K446" s="33">
        <v>0.00124</v>
      </c>
      <c r="L446" s="33">
        <f>F446*K446</f>
        <v>0.00124</v>
      </c>
      <c r="M446" s="55" t="s">
        <v>1113</v>
      </c>
      <c r="P446" s="59">
        <f>IF(AG446="5",J446,0)</f>
        <v>0</v>
      </c>
      <c r="R446" s="59">
        <f>IF(AG446="1",H446,0)</f>
        <v>0</v>
      </c>
      <c r="S446" s="59">
        <f>IF(AG446="1",I446,0)</f>
        <v>0</v>
      </c>
      <c r="T446" s="59">
        <f>IF(AG446="7",H446,0)</f>
        <v>0</v>
      </c>
      <c r="U446" s="59">
        <f>IF(AG446="7",I446,0)</f>
        <v>0</v>
      </c>
      <c r="V446" s="59">
        <f>IF(AG446="2",H446,0)</f>
        <v>0</v>
      </c>
      <c r="W446" s="59">
        <f>IF(AG446="2",I446,0)</f>
        <v>0</v>
      </c>
      <c r="X446" s="59">
        <f>IF(AG446="0",J446,0)</f>
        <v>0</v>
      </c>
      <c r="Y446" s="49"/>
      <c r="Z446" s="33">
        <f>IF(AD446=0,J446,0)</f>
        <v>0</v>
      </c>
      <c r="AA446" s="33">
        <f>IF(AD446=15,J446,0)</f>
        <v>0</v>
      </c>
      <c r="AB446" s="33">
        <f>IF(AD446=21,J446,0)</f>
        <v>0</v>
      </c>
      <c r="AD446" s="59">
        <v>21</v>
      </c>
      <c r="AE446" s="59">
        <f>G446*0.822447892785693</f>
        <v>0</v>
      </c>
      <c r="AF446" s="59">
        <f>G446*(1-0.822447892785693)</f>
        <v>0</v>
      </c>
      <c r="AG446" s="55" t="s">
        <v>13</v>
      </c>
      <c r="AM446" s="59">
        <f>F446*AE446</f>
        <v>0</v>
      </c>
      <c r="AN446" s="59">
        <f>F446*AF446</f>
        <v>0</v>
      </c>
      <c r="AO446" s="60" t="s">
        <v>1152</v>
      </c>
      <c r="AP446" s="60" t="s">
        <v>1177</v>
      </c>
      <c r="AQ446" s="49" t="s">
        <v>1182</v>
      </c>
      <c r="AS446" s="59">
        <f>AM446+AN446</f>
        <v>0</v>
      </c>
      <c r="AT446" s="59">
        <f>G446/(100-AU446)*100</f>
        <v>0</v>
      </c>
      <c r="AU446" s="59">
        <v>0</v>
      </c>
      <c r="AV446" s="59">
        <f>L446</f>
        <v>0.00124</v>
      </c>
    </row>
    <row r="447" spans="4:6" ht="12.75">
      <c r="D447" s="28" t="s">
        <v>881</v>
      </c>
      <c r="F447" s="34">
        <v>1</v>
      </c>
    </row>
    <row r="448" spans="1:48" ht="12.75">
      <c r="A448" s="10" t="s">
        <v>167</v>
      </c>
      <c r="B448" s="10"/>
      <c r="C448" s="10" t="s">
        <v>412</v>
      </c>
      <c r="D448" s="10" t="s">
        <v>882</v>
      </c>
      <c r="E448" s="10" t="s">
        <v>1088</v>
      </c>
      <c r="F448" s="33">
        <v>2</v>
      </c>
      <c r="G448" s="33">
        <v>0</v>
      </c>
      <c r="H448" s="33">
        <f>F448*AE448</f>
        <v>0</v>
      </c>
      <c r="I448" s="33">
        <f>J448-H448</f>
        <v>0</v>
      </c>
      <c r="J448" s="33">
        <f>F448*G448</f>
        <v>0</v>
      </c>
      <c r="K448" s="33">
        <v>0.00164</v>
      </c>
      <c r="L448" s="33">
        <f>F448*K448</f>
        <v>0.00328</v>
      </c>
      <c r="M448" s="55" t="s">
        <v>1113</v>
      </c>
      <c r="P448" s="59">
        <f>IF(AG448="5",J448,0)</f>
        <v>0</v>
      </c>
      <c r="R448" s="59">
        <f>IF(AG448="1",H448,0)</f>
        <v>0</v>
      </c>
      <c r="S448" s="59">
        <f>IF(AG448="1",I448,0)</f>
        <v>0</v>
      </c>
      <c r="T448" s="59">
        <f>IF(AG448="7",H448,0)</f>
        <v>0</v>
      </c>
      <c r="U448" s="59">
        <f>IF(AG448="7",I448,0)</f>
        <v>0</v>
      </c>
      <c r="V448" s="59">
        <f>IF(AG448="2",H448,0)</f>
        <v>0</v>
      </c>
      <c r="W448" s="59">
        <f>IF(AG448="2",I448,0)</f>
        <v>0</v>
      </c>
      <c r="X448" s="59">
        <f>IF(AG448="0",J448,0)</f>
        <v>0</v>
      </c>
      <c r="Y448" s="49"/>
      <c r="Z448" s="33">
        <f>IF(AD448=0,J448,0)</f>
        <v>0</v>
      </c>
      <c r="AA448" s="33">
        <f>IF(AD448=15,J448,0)</f>
        <v>0</v>
      </c>
      <c r="AB448" s="33">
        <f>IF(AD448=21,J448,0)</f>
        <v>0</v>
      </c>
      <c r="AD448" s="59">
        <v>21</v>
      </c>
      <c r="AE448" s="59">
        <f>G448*0.852705378353903</f>
        <v>0</v>
      </c>
      <c r="AF448" s="59">
        <f>G448*(1-0.852705378353903)</f>
        <v>0</v>
      </c>
      <c r="AG448" s="55" t="s">
        <v>13</v>
      </c>
      <c r="AM448" s="59">
        <f>F448*AE448</f>
        <v>0</v>
      </c>
      <c r="AN448" s="59">
        <f>F448*AF448</f>
        <v>0</v>
      </c>
      <c r="AO448" s="60" t="s">
        <v>1152</v>
      </c>
      <c r="AP448" s="60" t="s">
        <v>1177</v>
      </c>
      <c r="AQ448" s="49" t="s">
        <v>1182</v>
      </c>
      <c r="AS448" s="59">
        <f>AM448+AN448</f>
        <v>0</v>
      </c>
      <c r="AT448" s="59">
        <f>G448/(100-AU448)*100</f>
        <v>0</v>
      </c>
      <c r="AU448" s="59">
        <v>0</v>
      </c>
      <c r="AV448" s="59">
        <f>L448</f>
        <v>0.00328</v>
      </c>
    </row>
    <row r="449" spans="4:6" ht="12.75">
      <c r="D449" s="28" t="s">
        <v>883</v>
      </c>
      <c r="F449" s="34">
        <v>2</v>
      </c>
    </row>
    <row r="450" spans="1:48" ht="12.75">
      <c r="A450" s="10" t="s">
        <v>168</v>
      </c>
      <c r="B450" s="10"/>
      <c r="C450" s="10" t="s">
        <v>413</v>
      </c>
      <c r="D450" s="10" t="s">
        <v>884</v>
      </c>
      <c r="E450" s="10" t="s">
        <v>1088</v>
      </c>
      <c r="F450" s="33">
        <v>16</v>
      </c>
      <c r="G450" s="33">
        <v>0</v>
      </c>
      <c r="H450" s="33">
        <f>F450*AE450</f>
        <v>0</v>
      </c>
      <c r="I450" s="33">
        <f>J450-H450</f>
        <v>0</v>
      </c>
      <c r="J450" s="33">
        <f>F450*G450</f>
        <v>0</v>
      </c>
      <c r="K450" s="33">
        <v>0.00184</v>
      </c>
      <c r="L450" s="33">
        <f>F450*K450</f>
        <v>0.02944</v>
      </c>
      <c r="M450" s="55" t="s">
        <v>1113</v>
      </c>
      <c r="P450" s="59">
        <f>IF(AG450="5",J450,0)</f>
        <v>0</v>
      </c>
      <c r="R450" s="59">
        <f>IF(AG450="1",H450,0)</f>
        <v>0</v>
      </c>
      <c r="S450" s="59">
        <f>IF(AG450="1",I450,0)</f>
        <v>0</v>
      </c>
      <c r="T450" s="59">
        <f>IF(AG450="7",H450,0)</f>
        <v>0</v>
      </c>
      <c r="U450" s="59">
        <f>IF(AG450="7",I450,0)</f>
        <v>0</v>
      </c>
      <c r="V450" s="59">
        <f>IF(AG450="2",H450,0)</f>
        <v>0</v>
      </c>
      <c r="W450" s="59">
        <f>IF(AG450="2",I450,0)</f>
        <v>0</v>
      </c>
      <c r="X450" s="59">
        <f>IF(AG450="0",J450,0)</f>
        <v>0</v>
      </c>
      <c r="Y450" s="49"/>
      <c r="Z450" s="33">
        <f>IF(AD450=0,J450,0)</f>
        <v>0</v>
      </c>
      <c r="AA450" s="33">
        <f>IF(AD450=15,J450,0)</f>
        <v>0</v>
      </c>
      <c r="AB450" s="33">
        <f>IF(AD450=21,J450,0)</f>
        <v>0</v>
      </c>
      <c r="AD450" s="59">
        <v>21</v>
      </c>
      <c r="AE450" s="59">
        <f>G450*0.864292690362429</f>
        <v>0</v>
      </c>
      <c r="AF450" s="59">
        <f>G450*(1-0.864292690362429)</f>
        <v>0</v>
      </c>
      <c r="AG450" s="55" t="s">
        <v>13</v>
      </c>
      <c r="AM450" s="59">
        <f>F450*AE450</f>
        <v>0</v>
      </c>
      <c r="AN450" s="59">
        <f>F450*AF450</f>
        <v>0</v>
      </c>
      <c r="AO450" s="60" t="s">
        <v>1152</v>
      </c>
      <c r="AP450" s="60" t="s">
        <v>1177</v>
      </c>
      <c r="AQ450" s="49" t="s">
        <v>1182</v>
      </c>
      <c r="AS450" s="59">
        <f>AM450+AN450</f>
        <v>0</v>
      </c>
      <c r="AT450" s="59">
        <f>G450/(100-AU450)*100</f>
        <v>0</v>
      </c>
      <c r="AU450" s="59">
        <v>0</v>
      </c>
      <c r="AV450" s="59">
        <f>L450</f>
        <v>0.02944</v>
      </c>
    </row>
    <row r="451" spans="4:6" ht="12.75">
      <c r="D451" s="28" t="s">
        <v>885</v>
      </c>
      <c r="F451" s="34">
        <v>16</v>
      </c>
    </row>
    <row r="452" spans="1:48" ht="12.75">
      <c r="A452" s="10" t="s">
        <v>169</v>
      </c>
      <c r="B452" s="10"/>
      <c r="C452" s="10" t="s">
        <v>414</v>
      </c>
      <c r="D452" s="10" t="s">
        <v>886</v>
      </c>
      <c r="E452" s="10" t="s">
        <v>1088</v>
      </c>
      <c r="F452" s="33">
        <v>2</v>
      </c>
      <c r="G452" s="33">
        <v>0</v>
      </c>
      <c r="H452" s="33">
        <f>F452*AE452</f>
        <v>0</v>
      </c>
      <c r="I452" s="33">
        <f>J452-H452</f>
        <v>0</v>
      </c>
      <c r="J452" s="33">
        <f>F452*G452</f>
        <v>0</v>
      </c>
      <c r="K452" s="33">
        <v>0.00266</v>
      </c>
      <c r="L452" s="33">
        <f>F452*K452</f>
        <v>0.00532</v>
      </c>
      <c r="M452" s="55" t="s">
        <v>1113</v>
      </c>
      <c r="P452" s="59">
        <f>IF(AG452="5",J452,0)</f>
        <v>0</v>
      </c>
      <c r="R452" s="59">
        <f>IF(AG452="1",H452,0)</f>
        <v>0</v>
      </c>
      <c r="S452" s="59">
        <f>IF(AG452="1",I452,0)</f>
        <v>0</v>
      </c>
      <c r="T452" s="59">
        <f>IF(AG452="7",H452,0)</f>
        <v>0</v>
      </c>
      <c r="U452" s="59">
        <f>IF(AG452="7",I452,0)</f>
        <v>0</v>
      </c>
      <c r="V452" s="59">
        <f>IF(AG452="2",H452,0)</f>
        <v>0</v>
      </c>
      <c r="W452" s="59">
        <f>IF(AG452="2",I452,0)</f>
        <v>0</v>
      </c>
      <c r="X452" s="59">
        <f>IF(AG452="0",J452,0)</f>
        <v>0</v>
      </c>
      <c r="Y452" s="49"/>
      <c r="Z452" s="33">
        <f>IF(AD452=0,J452,0)</f>
        <v>0</v>
      </c>
      <c r="AA452" s="33">
        <f>IF(AD452=15,J452,0)</f>
        <v>0</v>
      </c>
      <c r="AB452" s="33">
        <f>IF(AD452=21,J452,0)</f>
        <v>0</v>
      </c>
      <c r="AD452" s="59">
        <v>21</v>
      </c>
      <c r="AE452" s="59">
        <f>G452*0.888118058802297</f>
        <v>0</v>
      </c>
      <c r="AF452" s="59">
        <f>G452*(1-0.888118058802297)</f>
        <v>0</v>
      </c>
      <c r="AG452" s="55" t="s">
        <v>13</v>
      </c>
      <c r="AM452" s="59">
        <f>F452*AE452</f>
        <v>0</v>
      </c>
      <c r="AN452" s="59">
        <f>F452*AF452</f>
        <v>0</v>
      </c>
      <c r="AO452" s="60" t="s">
        <v>1152</v>
      </c>
      <c r="AP452" s="60" t="s">
        <v>1177</v>
      </c>
      <c r="AQ452" s="49" t="s">
        <v>1182</v>
      </c>
      <c r="AS452" s="59">
        <f>AM452+AN452</f>
        <v>0</v>
      </c>
      <c r="AT452" s="59">
        <f>G452/(100-AU452)*100</f>
        <v>0</v>
      </c>
      <c r="AU452" s="59">
        <v>0</v>
      </c>
      <c r="AV452" s="59">
        <f>L452</f>
        <v>0.00532</v>
      </c>
    </row>
    <row r="453" spans="4:6" ht="12.75">
      <c r="D453" s="28" t="s">
        <v>887</v>
      </c>
      <c r="F453" s="34">
        <v>2</v>
      </c>
    </row>
    <row r="454" spans="1:48" ht="12.75">
      <c r="A454" s="10" t="s">
        <v>170</v>
      </c>
      <c r="B454" s="10"/>
      <c r="C454" s="10" t="s">
        <v>415</v>
      </c>
      <c r="D454" s="10" t="s">
        <v>888</v>
      </c>
      <c r="E454" s="10" t="s">
        <v>1088</v>
      </c>
      <c r="F454" s="33">
        <v>1</v>
      </c>
      <c r="G454" s="33">
        <v>0</v>
      </c>
      <c r="H454" s="33">
        <f>F454*AE454</f>
        <v>0</v>
      </c>
      <c r="I454" s="33">
        <f>J454-H454</f>
        <v>0</v>
      </c>
      <c r="J454" s="33">
        <f>F454*G454</f>
        <v>0</v>
      </c>
      <c r="K454" s="33">
        <v>1E-05</v>
      </c>
      <c r="L454" s="33">
        <f>F454*K454</f>
        <v>1E-05</v>
      </c>
      <c r="M454" s="55" t="s">
        <v>1113</v>
      </c>
      <c r="P454" s="59">
        <f>IF(AG454="5",J454,0)</f>
        <v>0</v>
      </c>
      <c r="R454" s="59">
        <f>IF(AG454="1",H454,0)</f>
        <v>0</v>
      </c>
      <c r="S454" s="59">
        <f>IF(AG454="1",I454,0)</f>
        <v>0</v>
      </c>
      <c r="T454" s="59">
        <f>IF(AG454="7",H454,0)</f>
        <v>0</v>
      </c>
      <c r="U454" s="59">
        <f>IF(AG454="7",I454,0)</f>
        <v>0</v>
      </c>
      <c r="V454" s="59">
        <f>IF(AG454="2",H454,0)</f>
        <v>0</v>
      </c>
      <c r="W454" s="59">
        <f>IF(AG454="2",I454,0)</f>
        <v>0</v>
      </c>
      <c r="X454" s="59">
        <f>IF(AG454="0",J454,0)</f>
        <v>0</v>
      </c>
      <c r="Y454" s="49"/>
      <c r="Z454" s="33">
        <f>IF(AD454=0,J454,0)</f>
        <v>0</v>
      </c>
      <c r="AA454" s="33">
        <f>IF(AD454=15,J454,0)</f>
        <v>0</v>
      </c>
      <c r="AB454" s="33">
        <f>IF(AD454=21,J454,0)</f>
        <v>0</v>
      </c>
      <c r="AD454" s="59">
        <v>21</v>
      </c>
      <c r="AE454" s="59">
        <f>G454*0.0130833333333333</f>
        <v>0</v>
      </c>
      <c r="AF454" s="59">
        <f>G454*(1-0.0130833333333333)</f>
        <v>0</v>
      </c>
      <c r="AG454" s="55" t="s">
        <v>13</v>
      </c>
      <c r="AM454" s="59">
        <f>F454*AE454</f>
        <v>0</v>
      </c>
      <c r="AN454" s="59">
        <f>F454*AF454</f>
        <v>0</v>
      </c>
      <c r="AO454" s="60" t="s">
        <v>1152</v>
      </c>
      <c r="AP454" s="60" t="s">
        <v>1177</v>
      </c>
      <c r="AQ454" s="49" t="s">
        <v>1182</v>
      </c>
      <c r="AS454" s="59">
        <f>AM454+AN454</f>
        <v>0</v>
      </c>
      <c r="AT454" s="59">
        <f>G454/(100-AU454)*100</f>
        <v>0</v>
      </c>
      <c r="AU454" s="59">
        <v>0</v>
      </c>
      <c r="AV454" s="59">
        <f>L454</f>
        <v>1E-05</v>
      </c>
    </row>
    <row r="455" spans="4:6" ht="12.75">
      <c r="D455" s="28" t="s">
        <v>7</v>
      </c>
      <c r="F455" s="34">
        <v>1</v>
      </c>
    </row>
    <row r="456" spans="1:48" ht="12.75">
      <c r="A456" s="10" t="s">
        <v>171</v>
      </c>
      <c r="B456" s="10"/>
      <c r="C456" s="10" t="s">
        <v>416</v>
      </c>
      <c r="D456" s="10" t="s">
        <v>889</v>
      </c>
      <c r="E456" s="10" t="s">
        <v>1091</v>
      </c>
      <c r="F456" s="33">
        <v>3</v>
      </c>
      <c r="G456" s="33">
        <v>0</v>
      </c>
      <c r="H456" s="33">
        <f>F456*AE456</f>
        <v>0</v>
      </c>
      <c r="I456" s="33">
        <f>J456-H456</f>
        <v>0</v>
      </c>
      <c r="J456" s="33">
        <f>F456*G456</f>
        <v>0</v>
      </c>
      <c r="K456" s="33">
        <v>0.00028</v>
      </c>
      <c r="L456" s="33">
        <f>F456*K456</f>
        <v>0.0008399999999999999</v>
      </c>
      <c r="M456" s="55" t="s">
        <v>1113</v>
      </c>
      <c r="P456" s="59">
        <f>IF(AG456="5",J456,0)</f>
        <v>0</v>
      </c>
      <c r="R456" s="59">
        <f>IF(AG456="1",H456,0)</f>
        <v>0</v>
      </c>
      <c r="S456" s="59">
        <f>IF(AG456="1",I456,0)</f>
        <v>0</v>
      </c>
      <c r="T456" s="59">
        <f>IF(AG456="7",H456,0)</f>
        <v>0</v>
      </c>
      <c r="U456" s="59">
        <f>IF(AG456="7",I456,0)</f>
        <v>0</v>
      </c>
      <c r="V456" s="59">
        <f>IF(AG456="2",H456,0)</f>
        <v>0</v>
      </c>
      <c r="W456" s="59">
        <f>IF(AG456="2",I456,0)</f>
        <v>0</v>
      </c>
      <c r="X456" s="59">
        <f>IF(AG456="0",J456,0)</f>
        <v>0</v>
      </c>
      <c r="Y456" s="49"/>
      <c r="Z456" s="33">
        <f>IF(AD456=0,J456,0)</f>
        <v>0</v>
      </c>
      <c r="AA456" s="33">
        <f>IF(AD456=15,J456,0)</f>
        <v>0</v>
      </c>
      <c r="AB456" s="33">
        <f>IF(AD456=21,J456,0)</f>
        <v>0</v>
      </c>
      <c r="AD456" s="59">
        <v>21</v>
      </c>
      <c r="AE456" s="59">
        <f>G456*0.00404907975460123</f>
        <v>0</v>
      </c>
      <c r="AF456" s="59">
        <f>G456*(1-0.00404907975460123)</f>
        <v>0</v>
      </c>
      <c r="AG456" s="55" t="s">
        <v>13</v>
      </c>
      <c r="AM456" s="59">
        <f>F456*AE456</f>
        <v>0</v>
      </c>
      <c r="AN456" s="59">
        <f>F456*AF456</f>
        <v>0</v>
      </c>
      <c r="AO456" s="60" t="s">
        <v>1152</v>
      </c>
      <c r="AP456" s="60" t="s">
        <v>1177</v>
      </c>
      <c r="AQ456" s="49" t="s">
        <v>1182</v>
      </c>
      <c r="AS456" s="59">
        <f>AM456+AN456</f>
        <v>0</v>
      </c>
      <c r="AT456" s="59">
        <f>G456/(100-AU456)*100</f>
        <v>0</v>
      </c>
      <c r="AU456" s="59">
        <v>0</v>
      </c>
      <c r="AV456" s="59">
        <f>L456</f>
        <v>0.0008399999999999999</v>
      </c>
    </row>
    <row r="457" spans="4:6" ht="12.75">
      <c r="D457" s="28" t="s">
        <v>9</v>
      </c>
      <c r="F457" s="34">
        <v>3</v>
      </c>
    </row>
    <row r="458" spans="1:48" ht="12.75">
      <c r="A458" s="10" t="s">
        <v>172</v>
      </c>
      <c r="B458" s="10"/>
      <c r="C458" s="10" t="s">
        <v>417</v>
      </c>
      <c r="D458" s="10" t="s">
        <v>890</v>
      </c>
      <c r="E458" s="10" t="s">
        <v>1089</v>
      </c>
      <c r="F458" s="33">
        <v>10</v>
      </c>
      <c r="G458" s="33">
        <v>0</v>
      </c>
      <c r="H458" s="33">
        <f>F458*AE458</f>
        <v>0</v>
      </c>
      <c r="I458" s="33">
        <f>J458-H458</f>
        <v>0</v>
      </c>
      <c r="J458" s="33">
        <f>F458*G458</f>
        <v>0</v>
      </c>
      <c r="K458" s="33">
        <v>0.0002</v>
      </c>
      <c r="L458" s="33">
        <f>F458*K458</f>
        <v>0.002</v>
      </c>
      <c r="M458" s="55" t="s">
        <v>1115</v>
      </c>
      <c r="P458" s="59">
        <f>IF(AG458="5",J458,0)</f>
        <v>0</v>
      </c>
      <c r="R458" s="59">
        <f>IF(AG458="1",H458,0)</f>
        <v>0</v>
      </c>
      <c r="S458" s="59">
        <f>IF(AG458="1",I458,0)</f>
        <v>0</v>
      </c>
      <c r="T458" s="59">
        <f>IF(AG458="7",H458,0)</f>
        <v>0</v>
      </c>
      <c r="U458" s="59">
        <f>IF(AG458="7",I458,0)</f>
        <v>0</v>
      </c>
      <c r="V458" s="59">
        <f>IF(AG458="2",H458,0)</f>
        <v>0</v>
      </c>
      <c r="W458" s="59">
        <f>IF(AG458="2",I458,0)</f>
        <v>0</v>
      </c>
      <c r="X458" s="59">
        <f>IF(AG458="0",J458,0)</f>
        <v>0</v>
      </c>
      <c r="Y458" s="49"/>
      <c r="Z458" s="33">
        <f>IF(AD458=0,J458,0)</f>
        <v>0</v>
      </c>
      <c r="AA458" s="33">
        <f>IF(AD458=15,J458,0)</f>
        <v>0</v>
      </c>
      <c r="AB458" s="33">
        <f>IF(AD458=21,J458,0)</f>
        <v>0</v>
      </c>
      <c r="AD458" s="59">
        <v>21</v>
      </c>
      <c r="AE458" s="59">
        <f>G458*0.043514</f>
        <v>0</v>
      </c>
      <c r="AF458" s="59">
        <f>G458*(1-0.043514)</f>
        <v>0</v>
      </c>
      <c r="AG458" s="55" t="s">
        <v>13</v>
      </c>
      <c r="AM458" s="59">
        <f>F458*AE458</f>
        <v>0</v>
      </c>
      <c r="AN458" s="59">
        <f>F458*AF458</f>
        <v>0</v>
      </c>
      <c r="AO458" s="60" t="s">
        <v>1152</v>
      </c>
      <c r="AP458" s="60" t="s">
        <v>1177</v>
      </c>
      <c r="AQ458" s="49" t="s">
        <v>1182</v>
      </c>
      <c r="AS458" s="59">
        <f>AM458+AN458</f>
        <v>0</v>
      </c>
      <c r="AT458" s="59">
        <f>G458/(100-AU458)*100</f>
        <v>0</v>
      </c>
      <c r="AU458" s="59">
        <v>0</v>
      </c>
      <c r="AV458" s="59">
        <f>L458</f>
        <v>0.002</v>
      </c>
    </row>
    <row r="459" spans="4:6" ht="12.75">
      <c r="D459" s="28" t="s">
        <v>891</v>
      </c>
      <c r="F459" s="34">
        <v>10</v>
      </c>
    </row>
    <row r="460" spans="4:6" ht="12.75">
      <c r="D460" s="28" t="s">
        <v>892</v>
      </c>
      <c r="F460" s="34">
        <v>0</v>
      </c>
    </row>
    <row r="461" spans="4:6" ht="12.75">
      <c r="D461" s="28" t="s">
        <v>893</v>
      </c>
      <c r="F461" s="34">
        <v>0</v>
      </c>
    </row>
    <row r="462" spans="1:48" ht="12.75">
      <c r="A462" s="10" t="s">
        <v>173</v>
      </c>
      <c r="B462" s="10"/>
      <c r="C462" s="10" t="s">
        <v>418</v>
      </c>
      <c r="D462" s="10" t="s">
        <v>894</v>
      </c>
      <c r="E462" s="10" t="s">
        <v>1088</v>
      </c>
      <c r="F462" s="33">
        <v>1</v>
      </c>
      <c r="G462" s="33">
        <v>0</v>
      </c>
      <c r="H462" s="33">
        <f>F462*AE462</f>
        <v>0</v>
      </c>
      <c r="I462" s="33">
        <f>J462-H462</f>
        <v>0</v>
      </c>
      <c r="J462" s="33">
        <f>F462*G462</f>
        <v>0</v>
      </c>
      <c r="K462" s="33">
        <v>0.025</v>
      </c>
      <c r="L462" s="33">
        <f>F462*K462</f>
        <v>0.025</v>
      </c>
      <c r="M462" s="55" t="s">
        <v>1115</v>
      </c>
      <c r="P462" s="59">
        <f>IF(AG462="5",J462,0)</f>
        <v>0</v>
      </c>
      <c r="R462" s="59">
        <f>IF(AG462="1",H462,0)</f>
        <v>0</v>
      </c>
      <c r="S462" s="59">
        <f>IF(AG462="1",I462,0)</f>
        <v>0</v>
      </c>
      <c r="T462" s="59">
        <f>IF(AG462="7",H462,0)</f>
        <v>0</v>
      </c>
      <c r="U462" s="59">
        <f>IF(AG462="7",I462,0)</f>
        <v>0</v>
      </c>
      <c r="V462" s="59">
        <f>IF(AG462="2",H462,0)</f>
        <v>0</v>
      </c>
      <c r="W462" s="59">
        <f>IF(AG462="2",I462,0)</f>
        <v>0</v>
      </c>
      <c r="X462" s="59">
        <f>IF(AG462="0",J462,0)</f>
        <v>0</v>
      </c>
      <c r="Y462" s="49"/>
      <c r="Z462" s="33">
        <f>IF(AD462=0,J462,0)</f>
        <v>0</v>
      </c>
      <c r="AA462" s="33">
        <f>IF(AD462=15,J462,0)</f>
        <v>0</v>
      </c>
      <c r="AB462" s="33">
        <f>IF(AD462=21,J462,0)</f>
        <v>0</v>
      </c>
      <c r="AD462" s="59">
        <v>21</v>
      </c>
      <c r="AE462" s="59">
        <f>G462*0.912086589229145</f>
        <v>0</v>
      </c>
      <c r="AF462" s="59">
        <f>G462*(1-0.912086589229145)</f>
        <v>0</v>
      </c>
      <c r="AG462" s="55" t="s">
        <v>13</v>
      </c>
      <c r="AM462" s="59">
        <f>F462*AE462</f>
        <v>0</v>
      </c>
      <c r="AN462" s="59">
        <f>F462*AF462</f>
        <v>0</v>
      </c>
      <c r="AO462" s="60" t="s">
        <v>1152</v>
      </c>
      <c r="AP462" s="60" t="s">
        <v>1177</v>
      </c>
      <c r="AQ462" s="49" t="s">
        <v>1182</v>
      </c>
      <c r="AS462" s="59">
        <f>AM462+AN462</f>
        <v>0</v>
      </c>
      <c r="AT462" s="59">
        <f>G462/(100-AU462)*100</f>
        <v>0</v>
      </c>
      <c r="AU462" s="59">
        <v>0</v>
      </c>
      <c r="AV462" s="59">
        <f>L462</f>
        <v>0.025</v>
      </c>
    </row>
    <row r="463" spans="4:6" ht="12.75">
      <c r="D463" s="28" t="s">
        <v>895</v>
      </c>
      <c r="F463" s="34">
        <v>1</v>
      </c>
    </row>
    <row r="464" spans="1:48" ht="12.75">
      <c r="A464" s="10" t="s">
        <v>174</v>
      </c>
      <c r="B464" s="10"/>
      <c r="C464" s="10" t="s">
        <v>419</v>
      </c>
      <c r="D464" s="10" t="s">
        <v>896</v>
      </c>
      <c r="E464" s="10" t="s">
        <v>1088</v>
      </c>
      <c r="F464" s="33">
        <v>1</v>
      </c>
      <c r="G464" s="33">
        <v>0</v>
      </c>
      <c r="H464" s="33">
        <f>F464*AE464</f>
        <v>0</v>
      </c>
      <c r="I464" s="33">
        <f>J464-H464</f>
        <v>0</v>
      </c>
      <c r="J464" s="33">
        <f>F464*G464</f>
        <v>0</v>
      </c>
      <c r="K464" s="33">
        <v>0.031</v>
      </c>
      <c r="L464" s="33">
        <f>F464*K464</f>
        <v>0.031</v>
      </c>
      <c r="M464" s="55" t="s">
        <v>1115</v>
      </c>
      <c r="P464" s="59">
        <f>IF(AG464="5",J464,0)</f>
        <v>0</v>
      </c>
      <c r="R464" s="59">
        <f>IF(AG464="1",H464,0)</f>
        <v>0</v>
      </c>
      <c r="S464" s="59">
        <f>IF(AG464="1",I464,0)</f>
        <v>0</v>
      </c>
      <c r="T464" s="59">
        <f>IF(AG464="7",H464,0)</f>
        <v>0</v>
      </c>
      <c r="U464" s="59">
        <f>IF(AG464="7",I464,0)</f>
        <v>0</v>
      </c>
      <c r="V464" s="59">
        <f>IF(AG464="2",H464,0)</f>
        <v>0</v>
      </c>
      <c r="W464" s="59">
        <f>IF(AG464="2",I464,0)</f>
        <v>0</v>
      </c>
      <c r="X464" s="59">
        <f>IF(AG464="0",J464,0)</f>
        <v>0</v>
      </c>
      <c r="Y464" s="49"/>
      <c r="Z464" s="33">
        <f>IF(AD464=0,J464,0)</f>
        <v>0</v>
      </c>
      <c r="AA464" s="33">
        <f>IF(AD464=15,J464,0)</f>
        <v>0</v>
      </c>
      <c r="AB464" s="33">
        <f>IF(AD464=21,J464,0)</f>
        <v>0</v>
      </c>
      <c r="AD464" s="59">
        <v>21</v>
      </c>
      <c r="AE464" s="59">
        <f>G464*0.906980452674897</f>
        <v>0</v>
      </c>
      <c r="AF464" s="59">
        <f>G464*(1-0.906980452674897)</f>
        <v>0</v>
      </c>
      <c r="AG464" s="55" t="s">
        <v>13</v>
      </c>
      <c r="AM464" s="59">
        <f>F464*AE464</f>
        <v>0</v>
      </c>
      <c r="AN464" s="59">
        <f>F464*AF464</f>
        <v>0</v>
      </c>
      <c r="AO464" s="60" t="s">
        <v>1152</v>
      </c>
      <c r="AP464" s="60" t="s">
        <v>1177</v>
      </c>
      <c r="AQ464" s="49" t="s">
        <v>1182</v>
      </c>
      <c r="AS464" s="59">
        <f>AM464+AN464</f>
        <v>0</v>
      </c>
      <c r="AT464" s="59">
        <f>G464/(100-AU464)*100</f>
        <v>0</v>
      </c>
      <c r="AU464" s="59">
        <v>0</v>
      </c>
      <c r="AV464" s="59">
        <f>L464</f>
        <v>0.031</v>
      </c>
    </row>
    <row r="465" spans="4:6" ht="12.75">
      <c r="D465" s="28" t="s">
        <v>897</v>
      </c>
      <c r="F465" s="34">
        <v>1</v>
      </c>
    </row>
    <row r="466" spans="1:48" ht="12.75">
      <c r="A466" s="10" t="s">
        <v>175</v>
      </c>
      <c r="B466" s="10"/>
      <c r="C466" s="10" t="s">
        <v>420</v>
      </c>
      <c r="D466" s="10" t="s">
        <v>898</v>
      </c>
      <c r="E466" s="10" t="s">
        <v>1088</v>
      </c>
      <c r="F466" s="33">
        <v>1</v>
      </c>
      <c r="G466" s="33">
        <v>0</v>
      </c>
      <c r="H466" s="33">
        <f>F466*AE466</f>
        <v>0</v>
      </c>
      <c r="I466" s="33">
        <f>J466-H466</f>
        <v>0</v>
      </c>
      <c r="J466" s="33">
        <f>F466*G466</f>
        <v>0</v>
      </c>
      <c r="K466" s="33">
        <v>0.025</v>
      </c>
      <c r="L466" s="33">
        <f>F466*K466</f>
        <v>0.025</v>
      </c>
      <c r="M466" s="55" t="s">
        <v>1115</v>
      </c>
      <c r="P466" s="59">
        <f>IF(AG466="5",J466,0)</f>
        <v>0</v>
      </c>
      <c r="R466" s="59">
        <f>IF(AG466="1",H466,0)</f>
        <v>0</v>
      </c>
      <c r="S466" s="59">
        <f>IF(AG466="1",I466,0)</f>
        <v>0</v>
      </c>
      <c r="T466" s="59">
        <f>IF(AG466="7",H466,0)</f>
        <v>0</v>
      </c>
      <c r="U466" s="59">
        <f>IF(AG466="7",I466,0)</f>
        <v>0</v>
      </c>
      <c r="V466" s="59">
        <f>IF(AG466="2",H466,0)</f>
        <v>0</v>
      </c>
      <c r="W466" s="59">
        <f>IF(AG466="2",I466,0)</f>
        <v>0</v>
      </c>
      <c r="X466" s="59">
        <f>IF(AG466="0",J466,0)</f>
        <v>0</v>
      </c>
      <c r="Y466" s="49"/>
      <c r="Z466" s="33">
        <f>IF(AD466=0,J466,0)</f>
        <v>0</v>
      </c>
      <c r="AA466" s="33">
        <f>IF(AD466=15,J466,0)</f>
        <v>0</v>
      </c>
      <c r="AB466" s="33">
        <f>IF(AD466=21,J466,0)</f>
        <v>0</v>
      </c>
      <c r="AD466" s="59">
        <v>21</v>
      </c>
      <c r="AE466" s="59">
        <f>G466*0.912086322137449</f>
        <v>0</v>
      </c>
      <c r="AF466" s="59">
        <f>G466*(1-0.912086322137449)</f>
        <v>0</v>
      </c>
      <c r="AG466" s="55" t="s">
        <v>13</v>
      </c>
      <c r="AM466" s="59">
        <f>F466*AE466</f>
        <v>0</v>
      </c>
      <c r="AN466" s="59">
        <f>F466*AF466</f>
        <v>0</v>
      </c>
      <c r="AO466" s="60" t="s">
        <v>1152</v>
      </c>
      <c r="AP466" s="60" t="s">
        <v>1177</v>
      </c>
      <c r="AQ466" s="49" t="s">
        <v>1182</v>
      </c>
      <c r="AS466" s="59">
        <f>AM466+AN466</f>
        <v>0</v>
      </c>
      <c r="AT466" s="59">
        <f>G466/(100-AU466)*100</f>
        <v>0</v>
      </c>
      <c r="AU466" s="59">
        <v>0</v>
      </c>
      <c r="AV466" s="59">
        <f>L466</f>
        <v>0.025</v>
      </c>
    </row>
    <row r="467" spans="4:6" ht="12.75">
      <c r="D467" s="28" t="s">
        <v>899</v>
      </c>
      <c r="F467" s="34">
        <v>1</v>
      </c>
    </row>
    <row r="468" spans="1:48" ht="12.75">
      <c r="A468" s="10" t="s">
        <v>176</v>
      </c>
      <c r="B468" s="10"/>
      <c r="C468" s="10" t="s">
        <v>421</v>
      </c>
      <c r="D468" s="10" t="s">
        <v>900</v>
      </c>
      <c r="E468" s="10" t="s">
        <v>1088</v>
      </c>
      <c r="F468" s="33">
        <v>1</v>
      </c>
      <c r="G468" s="33">
        <v>0</v>
      </c>
      <c r="H468" s="33">
        <f>F468*AE468</f>
        <v>0</v>
      </c>
      <c r="I468" s="33">
        <f>J468-H468</f>
        <v>0</v>
      </c>
      <c r="J468" s="33">
        <f>F468*G468</f>
        <v>0</v>
      </c>
      <c r="K468" s="33">
        <v>0.0451</v>
      </c>
      <c r="L468" s="33">
        <f>F468*K468</f>
        <v>0.0451</v>
      </c>
      <c r="M468" s="55" t="s">
        <v>1115</v>
      </c>
      <c r="P468" s="59">
        <f>IF(AG468="5",J468,0)</f>
        <v>0</v>
      </c>
      <c r="R468" s="59">
        <f>IF(AG468="1",H468,0)</f>
        <v>0</v>
      </c>
      <c r="S468" s="59">
        <f>IF(AG468="1",I468,0)</f>
        <v>0</v>
      </c>
      <c r="T468" s="59">
        <f>IF(AG468="7",H468,0)</f>
        <v>0</v>
      </c>
      <c r="U468" s="59">
        <f>IF(AG468="7",I468,0)</f>
        <v>0</v>
      </c>
      <c r="V468" s="59">
        <f>IF(AG468="2",H468,0)</f>
        <v>0</v>
      </c>
      <c r="W468" s="59">
        <f>IF(AG468="2",I468,0)</f>
        <v>0</v>
      </c>
      <c r="X468" s="59">
        <f>IF(AG468="0",J468,0)</f>
        <v>0</v>
      </c>
      <c r="Y468" s="49"/>
      <c r="Z468" s="33">
        <f>IF(AD468=0,J468,0)</f>
        <v>0</v>
      </c>
      <c r="AA468" s="33">
        <f>IF(AD468=15,J468,0)</f>
        <v>0</v>
      </c>
      <c r="AB468" s="33">
        <f>IF(AD468=21,J468,0)</f>
        <v>0</v>
      </c>
      <c r="AD468" s="59">
        <v>21</v>
      </c>
      <c r="AE468" s="59">
        <f>G468*0.927112716046235</f>
        <v>0</v>
      </c>
      <c r="AF468" s="59">
        <f>G468*(1-0.927112716046235)</f>
        <v>0</v>
      </c>
      <c r="AG468" s="55" t="s">
        <v>13</v>
      </c>
      <c r="AM468" s="59">
        <f>F468*AE468</f>
        <v>0</v>
      </c>
      <c r="AN468" s="59">
        <f>F468*AF468</f>
        <v>0</v>
      </c>
      <c r="AO468" s="60" t="s">
        <v>1152</v>
      </c>
      <c r="AP468" s="60" t="s">
        <v>1177</v>
      </c>
      <c r="AQ468" s="49" t="s">
        <v>1182</v>
      </c>
      <c r="AS468" s="59">
        <f>AM468+AN468</f>
        <v>0</v>
      </c>
      <c r="AT468" s="59">
        <f>G468/(100-AU468)*100</f>
        <v>0</v>
      </c>
      <c r="AU468" s="59">
        <v>0</v>
      </c>
      <c r="AV468" s="59">
        <f>L468</f>
        <v>0.0451</v>
      </c>
    </row>
    <row r="469" spans="4:6" ht="12.75">
      <c r="D469" s="28" t="s">
        <v>901</v>
      </c>
      <c r="F469" s="34">
        <v>1</v>
      </c>
    </row>
    <row r="470" spans="1:48" ht="12.75">
      <c r="A470" s="10" t="s">
        <v>177</v>
      </c>
      <c r="B470" s="10"/>
      <c r="C470" s="10" t="s">
        <v>422</v>
      </c>
      <c r="D470" s="10" t="s">
        <v>902</v>
      </c>
      <c r="E470" s="10" t="s">
        <v>1085</v>
      </c>
      <c r="F470" s="33">
        <v>0.168</v>
      </c>
      <c r="G470" s="33">
        <v>0</v>
      </c>
      <c r="H470" s="33">
        <f>F470*AE470</f>
        <v>0</v>
      </c>
      <c r="I470" s="33">
        <f>J470-H470</f>
        <v>0</v>
      </c>
      <c r="J470" s="33">
        <f>F470*G470</f>
        <v>0</v>
      </c>
      <c r="K470" s="33">
        <v>0</v>
      </c>
      <c r="L470" s="33">
        <f>F470*K470</f>
        <v>0</v>
      </c>
      <c r="M470" s="55" t="s">
        <v>1115</v>
      </c>
      <c r="P470" s="59">
        <f>IF(AG470="5",J470,0)</f>
        <v>0</v>
      </c>
      <c r="R470" s="59">
        <f>IF(AG470="1",H470,0)</f>
        <v>0</v>
      </c>
      <c r="S470" s="59">
        <f>IF(AG470="1",I470,0)</f>
        <v>0</v>
      </c>
      <c r="T470" s="59">
        <f>IF(AG470="7",H470,0)</f>
        <v>0</v>
      </c>
      <c r="U470" s="59">
        <f>IF(AG470="7",I470,0)</f>
        <v>0</v>
      </c>
      <c r="V470" s="59">
        <f>IF(AG470="2",H470,0)</f>
        <v>0</v>
      </c>
      <c r="W470" s="59">
        <f>IF(AG470="2",I470,0)</f>
        <v>0</v>
      </c>
      <c r="X470" s="59">
        <f>IF(AG470="0",J470,0)</f>
        <v>0</v>
      </c>
      <c r="Y470" s="49"/>
      <c r="Z470" s="33">
        <f>IF(AD470=0,J470,0)</f>
        <v>0</v>
      </c>
      <c r="AA470" s="33">
        <f>IF(AD470=15,J470,0)</f>
        <v>0</v>
      </c>
      <c r="AB470" s="33">
        <f>IF(AD470=21,J470,0)</f>
        <v>0</v>
      </c>
      <c r="AD470" s="59">
        <v>21</v>
      </c>
      <c r="AE470" s="59">
        <f>G470*0</f>
        <v>0</v>
      </c>
      <c r="AF470" s="59">
        <f>G470*(1-0)</f>
        <v>0</v>
      </c>
      <c r="AG470" s="55" t="s">
        <v>11</v>
      </c>
      <c r="AM470" s="59">
        <f>F470*AE470</f>
        <v>0</v>
      </c>
      <c r="AN470" s="59">
        <f>F470*AF470</f>
        <v>0</v>
      </c>
      <c r="AO470" s="60" t="s">
        <v>1152</v>
      </c>
      <c r="AP470" s="60" t="s">
        <v>1177</v>
      </c>
      <c r="AQ470" s="49" t="s">
        <v>1182</v>
      </c>
      <c r="AS470" s="59">
        <f>AM470+AN470</f>
        <v>0</v>
      </c>
      <c r="AT470" s="59">
        <f>G470/(100-AU470)*100</f>
        <v>0</v>
      </c>
      <c r="AU470" s="59">
        <v>0</v>
      </c>
      <c r="AV470" s="59">
        <f>L470</f>
        <v>0</v>
      </c>
    </row>
    <row r="471" spans="4:6" ht="12.75">
      <c r="D471" s="28" t="s">
        <v>903</v>
      </c>
      <c r="F471" s="34">
        <v>0.168</v>
      </c>
    </row>
    <row r="472" spans="1:37" ht="12.75">
      <c r="A472" s="11"/>
      <c r="B472" s="24"/>
      <c r="C472" s="24" t="s">
        <v>423</v>
      </c>
      <c r="D472" s="24" t="s">
        <v>904</v>
      </c>
      <c r="E472" s="11" t="s">
        <v>6</v>
      </c>
      <c r="F472" s="11" t="s">
        <v>6</v>
      </c>
      <c r="G472" s="11" t="s">
        <v>6</v>
      </c>
      <c r="H472" s="62">
        <f>SUM(H473:H511)</f>
        <v>0</v>
      </c>
      <c r="I472" s="62">
        <f>SUM(I473:I511)</f>
        <v>0</v>
      </c>
      <c r="J472" s="62">
        <f>H472+I472</f>
        <v>0</v>
      </c>
      <c r="K472" s="49"/>
      <c r="L472" s="62">
        <f>SUM(L473:L511)</f>
        <v>6.10758</v>
      </c>
      <c r="M472" s="49"/>
      <c r="Y472" s="49"/>
      <c r="AI472" s="62">
        <f>SUM(Z473:Z511)</f>
        <v>0</v>
      </c>
      <c r="AJ472" s="62">
        <f>SUM(AA473:AA511)</f>
        <v>0</v>
      </c>
      <c r="AK472" s="62">
        <f>SUM(AB473:AB511)</f>
        <v>0</v>
      </c>
    </row>
    <row r="473" spans="1:48" ht="12.75">
      <c r="A473" s="10" t="s">
        <v>178</v>
      </c>
      <c r="B473" s="10"/>
      <c r="C473" s="10" t="s">
        <v>424</v>
      </c>
      <c r="D473" s="10" t="s">
        <v>905</v>
      </c>
      <c r="E473" s="10" t="s">
        <v>1092</v>
      </c>
      <c r="F473" s="33">
        <v>1843</v>
      </c>
      <c r="G473" s="33">
        <v>0</v>
      </c>
      <c r="H473" s="33">
        <f>F473*AE473</f>
        <v>0</v>
      </c>
      <c r="I473" s="33">
        <f>J473-H473</f>
        <v>0</v>
      </c>
      <c r="J473" s="33">
        <f>F473*G473</f>
        <v>0</v>
      </c>
      <c r="K473" s="33">
        <v>5E-05</v>
      </c>
      <c r="L473" s="33">
        <f>F473*K473</f>
        <v>0.09215000000000001</v>
      </c>
      <c r="M473" s="55" t="s">
        <v>1113</v>
      </c>
      <c r="P473" s="59">
        <f>IF(AG473="5",J473,0)</f>
        <v>0</v>
      </c>
      <c r="R473" s="59">
        <f>IF(AG473="1",H473,0)</f>
        <v>0</v>
      </c>
      <c r="S473" s="59">
        <f>IF(AG473="1",I473,0)</f>
        <v>0</v>
      </c>
      <c r="T473" s="59">
        <f>IF(AG473="7",H473,0)</f>
        <v>0</v>
      </c>
      <c r="U473" s="59">
        <f>IF(AG473="7",I473,0)</f>
        <v>0</v>
      </c>
      <c r="V473" s="59">
        <f>IF(AG473="2",H473,0)</f>
        <v>0</v>
      </c>
      <c r="W473" s="59">
        <f>IF(AG473="2",I473,0)</f>
        <v>0</v>
      </c>
      <c r="X473" s="59">
        <f>IF(AG473="0",J473,0)</f>
        <v>0</v>
      </c>
      <c r="Y473" s="49"/>
      <c r="Z473" s="33">
        <f>IF(AD473=0,J473,0)</f>
        <v>0</v>
      </c>
      <c r="AA473" s="33">
        <f>IF(AD473=15,J473,0)</f>
        <v>0</v>
      </c>
      <c r="AB473" s="33">
        <f>IF(AD473=21,J473,0)</f>
        <v>0</v>
      </c>
      <c r="AD473" s="59">
        <v>21</v>
      </c>
      <c r="AE473" s="59">
        <f>G473*0.167857142857143</f>
        <v>0</v>
      </c>
      <c r="AF473" s="59">
        <f>G473*(1-0.167857142857143)</f>
        <v>0</v>
      </c>
      <c r="AG473" s="55" t="s">
        <v>13</v>
      </c>
      <c r="AM473" s="59">
        <f>F473*AE473</f>
        <v>0</v>
      </c>
      <c r="AN473" s="59">
        <f>F473*AF473</f>
        <v>0</v>
      </c>
      <c r="AO473" s="60" t="s">
        <v>1153</v>
      </c>
      <c r="AP473" s="60" t="s">
        <v>1177</v>
      </c>
      <c r="AQ473" s="49" t="s">
        <v>1182</v>
      </c>
      <c r="AS473" s="59">
        <f>AM473+AN473</f>
        <v>0</v>
      </c>
      <c r="AT473" s="59">
        <f>G473/(100-AU473)*100</f>
        <v>0</v>
      </c>
      <c r="AU473" s="59">
        <v>0</v>
      </c>
      <c r="AV473" s="59">
        <f>L473</f>
        <v>0.09215000000000001</v>
      </c>
    </row>
    <row r="474" spans="4:6" ht="12.75">
      <c r="D474" s="28" t="s">
        <v>906</v>
      </c>
      <c r="F474" s="34">
        <v>1843</v>
      </c>
    </row>
    <row r="475" spans="1:48" ht="12.75">
      <c r="A475" s="12" t="s">
        <v>179</v>
      </c>
      <c r="B475" s="12"/>
      <c r="C475" s="12" t="s">
        <v>425</v>
      </c>
      <c r="D475" s="12" t="s">
        <v>907</v>
      </c>
      <c r="E475" s="12" t="s">
        <v>1085</v>
      </c>
      <c r="F475" s="35">
        <v>0.26957</v>
      </c>
      <c r="G475" s="35">
        <v>0</v>
      </c>
      <c r="H475" s="35">
        <f>F475*AE475</f>
        <v>0</v>
      </c>
      <c r="I475" s="35">
        <f>J475-H475</f>
        <v>0</v>
      </c>
      <c r="J475" s="35">
        <f>F475*G475</f>
        <v>0</v>
      </c>
      <c r="K475" s="35">
        <v>1</v>
      </c>
      <c r="L475" s="35">
        <f>F475*K475</f>
        <v>0.26957</v>
      </c>
      <c r="M475" s="56" t="s">
        <v>1113</v>
      </c>
      <c r="P475" s="59">
        <f>IF(AG475="5",J475,0)</f>
        <v>0</v>
      </c>
      <c r="R475" s="59">
        <f>IF(AG475="1",H475,0)</f>
        <v>0</v>
      </c>
      <c r="S475" s="59">
        <f>IF(AG475="1",I475,0)</f>
        <v>0</v>
      </c>
      <c r="T475" s="59">
        <f>IF(AG475="7",H475,0)</f>
        <v>0</v>
      </c>
      <c r="U475" s="59">
        <f>IF(AG475="7",I475,0)</f>
        <v>0</v>
      </c>
      <c r="V475" s="59">
        <f>IF(AG475="2",H475,0)</f>
        <v>0</v>
      </c>
      <c r="W475" s="59">
        <f>IF(AG475="2",I475,0)</f>
        <v>0</v>
      </c>
      <c r="X475" s="59">
        <f>IF(AG475="0",J475,0)</f>
        <v>0</v>
      </c>
      <c r="Y475" s="49"/>
      <c r="Z475" s="35">
        <f>IF(AD475=0,J475,0)</f>
        <v>0</v>
      </c>
      <c r="AA475" s="35">
        <f>IF(AD475=15,J475,0)</f>
        <v>0</v>
      </c>
      <c r="AB475" s="35">
        <f>IF(AD475=21,J475,0)</f>
        <v>0</v>
      </c>
      <c r="AD475" s="59">
        <v>21</v>
      </c>
      <c r="AE475" s="59">
        <f>G475*1</f>
        <v>0</v>
      </c>
      <c r="AF475" s="59">
        <f>G475*(1-1)</f>
        <v>0</v>
      </c>
      <c r="AG475" s="56" t="s">
        <v>13</v>
      </c>
      <c r="AM475" s="59">
        <f>F475*AE475</f>
        <v>0</v>
      </c>
      <c r="AN475" s="59">
        <f>F475*AF475</f>
        <v>0</v>
      </c>
      <c r="AO475" s="60" t="s">
        <v>1153</v>
      </c>
      <c r="AP475" s="60" t="s">
        <v>1177</v>
      </c>
      <c r="AQ475" s="49" t="s">
        <v>1182</v>
      </c>
      <c r="AS475" s="59">
        <f>AM475+AN475</f>
        <v>0</v>
      </c>
      <c r="AT475" s="59">
        <f>G475/(100-AU475)*100</f>
        <v>0</v>
      </c>
      <c r="AU475" s="59">
        <v>0</v>
      </c>
      <c r="AV475" s="59">
        <f>L475</f>
        <v>0.26957</v>
      </c>
    </row>
    <row r="476" spans="4:6" ht="12.75">
      <c r="D476" s="28" t="s">
        <v>908</v>
      </c>
      <c r="F476" s="34">
        <v>0.2496</v>
      </c>
    </row>
    <row r="477" spans="4:6" ht="12.75">
      <c r="D477" s="28" t="s">
        <v>909</v>
      </c>
      <c r="F477" s="34">
        <v>0.01997</v>
      </c>
    </row>
    <row r="478" spans="1:48" ht="12.75">
      <c r="A478" s="12" t="s">
        <v>180</v>
      </c>
      <c r="B478" s="12"/>
      <c r="C478" s="12" t="s">
        <v>426</v>
      </c>
      <c r="D478" s="12" t="s">
        <v>910</v>
      </c>
      <c r="E478" s="12" t="s">
        <v>1085</v>
      </c>
      <c r="F478" s="35">
        <v>0.19464</v>
      </c>
      <c r="G478" s="35">
        <v>0</v>
      </c>
      <c r="H478" s="35">
        <f>F478*AE478</f>
        <v>0</v>
      </c>
      <c r="I478" s="35">
        <f>J478-H478</f>
        <v>0</v>
      </c>
      <c r="J478" s="35">
        <f>F478*G478</f>
        <v>0</v>
      </c>
      <c r="K478" s="35">
        <v>1</v>
      </c>
      <c r="L478" s="35">
        <f>F478*K478</f>
        <v>0.19464</v>
      </c>
      <c r="M478" s="56" t="s">
        <v>1113</v>
      </c>
      <c r="P478" s="59">
        <f>IF(AG478="5",J478,0)</f>
        <v>0</v>
      </c>
      <c r="R478" s="59">
        <f>IF(AG478="1",H478,0)</f>
        <v>0</v>
      </c>
      <c r="S478" s="59">
        <f>IF(AG478="1",I478,0)</f>
        <v>0</v>
      </c>
      <c r="T478" s="59">
        <f>IF(AG478="7",H478,0)</f>
        <v>0</v>
      </c>
      <c r="U478" s="59">
        <f>IF(AG478="7",I478,0)</f>
        <v>0</v>
      </c>
      <c r="V478" s="59">
        <f>IF(AG478="2",H478,0)</f>
        <v>0</v>
      </c>
      <c r="W478" s="59">
        <f>IF(AG478="2",I478,0)</f>
        <v>0</v>
      </c>
      <c r="X478" s="59">
        <f>IF(AG478="0",J478,0)</f>
        <v>0</v>
      </c>
      <c r="Y478" s="49"/>
      <c r="Z478" s="35">
        <f>IF(AD478=0,J478,0)</f>
        <v>0</v>
      </c>
      <c r="AA478" s="35">
        <f>IF(AD478=15,J478,0)</f>
        <v>0</v>
      </c>
      <c r="AB478" s="35">
        <f>IF(AD478=21,J478,0)</f>
        <v>0</v>
      </c>
      <c r="AD478" s="59">
        <v>21</v>
      </c>
      <c r="AE478" s="59">
        <f>G478*1</f>
        <v>0</v>
      </c>
      <c r="AF478" s="59">
        <f>G478*(1-1)</f>
        <v>0</v>
      </c>
      <c r="AG478" s="56" t="s">
        <v>13</v>
      </c>
      <c r="AM478" s="59">
        <f>F478*AE478</f>
        <v>0</v>
      </c>
      <c r="AN478" s="59">
        <f>F478*AF478</f>
        <v>0</v>
      </c>
      <c r="AO478" s="60" t="s">
        <v>1153</v>
      </c>
      <c r="AP478" s="60" t="s">
        <v>1177</v>
      </c>
      <c r="AQ478" s="49" t="s">
        <v>1182</v>
      </c>
      <c r="AS478" s="59">
        <f>AM478+AN478</f>
        <v>0</v>
      </c>
      <c r="AT478" s="59">
        <f>G478/(100-AU478)*100</f>
        <v>0</v>
      </c>
      <c r="AU478" s="59">
        <v>0</v>
      </c>
      <c r="AV478" s="59">
        <f>L478</f>
        <v>0.19464</v>
      </c>
    </row>
    <row r="479" spans="4:6" ht="12.75">
      <c r="D479" s="28" t="s">
        <v>911</v>
      </c>
      <c r="F479" s="34">
        <v>0.18022</v>
      </c>
    </row>
    <row r="480" spans="4:6" ht="12.75">
      <c r="D480" s="28" t="s">
        <v>912</v>
      </c>
      <c r="F480" s="34">
        <v>0.01442</v>
      </c>
    </row>
    <row r="481" spans="1:48" ht="12.75">
      <c r="A481" s="12" t="s">
        <v>181</v>
      </c>
      <c r="B481" s="12"/>
      <c r="C481" s="12" t="s">
        <v>427</v>
      </c>
      <c r="D481" s="12" t="s">
        <v>913</v>
      </c>
      <c r="E481" s="12" t="s">
        <v>1085</v>
      </c>
      <c r="F481" s="35">
        <v>0.41029</v>
      </c>
      <c r="G481" s="35">
        <v>0</v>
      </c>
      <c r="H481" s="35">
        <f>F481*AE481</f>
        <v>0</v>
      </c>
      <c r="I481" s="35">
        <f>J481-H481</f>
        <v>0</v>
      </c>
      <c r="J481" s="35">
        <f>F481*G481</f>
        <v>0</v>
      </c>
      <c r="K481" s="35">
        <v>1</v>
      </c>
      <c r="L481" s="35">
        <f>F481*K481</f>
        <v>0.41029</v>
      </c>
      <c r="M481" s="56" t="s">
        <v>1113</v>
      </c>
      <c r="P481" s="59">
        <f>IF(AG481="5",J481,0)</f>
        <v>0</v>
      </c>
      <c r="R481" s="59">
        <f>IF(AG481="1",H481,0)</f>
        <v>0</v>
      </c>
      <c r="S481" s="59">
        <f>IF(AG481="1",I481,0)</f>
        <v>0</v>
      </c>
      <c r="T481" s="59">
        <f>IF(AG481="7",H481,0)</f>
        <v>0</v>
      </c>
      <c r="U481" s="59">
        <f>IF(AG481="7",I481,0)</f>
        <v>0</v>
      </c>
      <c r="V481" s="59">
        <f>IF(AG481="2",H481,0)</f>
        <v>0</v>
      </c>
      <c r="W481" s="59">
        <f>IF(AG481="2",I481,0)</f>
        <v>0</v>
      </c>
      <c r="X481" s="59">
        <f>IF(AG481="0",J481,0)</f>
        <v>0</v>
      </c>
      <c r="Y481" s="49"/>
      <c r="Z481" s="35">
        <f>IF(AD481=0,J481,0)</f>
        <v>0</v>
      </c>
      <c r="AA481" s="35">
        <f>IF(AD481=15,J481,0)</f>
        <v>0</v>
      </c>
      <c r="AB481" s="35">
        <f>IF(AD481=21,J481,0)</f>
        <v>0</v>
      </c>
      <c r="AD481" s="59">
        <v>21</v>
      </c>
      <c r="AE481" s="59">
        <f>G481*1</f>
        <v>0</v>
      </c>
      <c r="AF481" s="59">
        <f>G481*(1-1)</f>
        <v>0</v>
      </c>
      <c r="AG481" s="56" t="s">
        <v>13</v>
      </c>
      <c r="AM481" s="59">
        <f>F481*AE481</f>
        <v>0</v>
      </c>
      <c r="AN481" s="59">
        <f>F481*AF481</f>
        <v>0</v>
      </c>
      <c r="AO481" s="60" t="s">
        <v>1153</v>
      </c>
      <c r="AP481" s="60" t="s">
        <v>1177</v>
      </c>
      <c r="AQ481" s="49" t="s">
        <v>1182</v>
      </c>
      <c r="AS481" s="59">
        <f>AM481+AN481</f>
        <v>0</v>
      </c>
      <c r="AT481" s="59">
        <f>G481/(100-AU481)*100</f>
        <v>0</v>
      </c>
      <c r="AU481" s="59">
        <v>0</v>
      </c>
      <c r="AV481" s="59">
        <f>L481</f>
        <v>0.41029</v>
      </c>
    </row>
    <row r="482" spans="4:6" ht="12.75">
      <c r="D482" s="28" t="s">
        <v>914</v>
      </c>
      <c r="F482" s="34">
        <v>0.3799</v>
      </c>
    </row>
    <row r="483" spans="4:6" ht="12.75">
      <c r="D483" s="28" t="s">
        <v>915</v>
      </c>
      <c r="F483" s="34">
        <v>0.03039</v>
      </c>
    </row>
    <row r="484" spans="1:48" ht="12.75">
      <c r="A484" s="12" t="s">
        <v>182</v>
      </c>
      <c r="B484" s="12"/>
      <c r="C484" s="12" t="s">
        <v>428</v>
      </c>
      <c r="D484" s="12" t="s">
        <v>916</v>
      </c>
      <c r="E484" s="12" t="s">
        <v>1085</v>
      </c>
      <c r="F484" s="35">
        <v>0.97077</v>
      </c>
      <c r="G484" s="35">
        <v>0</v>
      </c>
      <c r="H484" s="35">
        <f>F484*AE484</f>
        <v>0</v>
      </c>
      <c r="I484" s="35">
        <f>J484-H484</f>
        <v>0</v>
      </c>
      <c r="J484" s="35">
        <f>F484*G484</f>
        <v>0</v>
      </c>
      <c r="K484" s="35">
        <v>1</v>
      </c>
      <c r="L484" s="35">
        <f>F484*K484</f>
        <v>0.97077</v>
      </c>
      <c r="M484" s="56" t="s">
        <v>1113</v>
      </c>
      <c r="P484" s="59">
        <f>IF(AG484="5",J484,0)</f>
        <v>0</v>
      </c>
      <c r="R484" s="59">
        <f>IF(AG484="1",H484,0)</f>
        <v>0</v>
      </c>
      <c r="S484" s="59">
        <f>IF(AG484="1",I484,0)</f>
        <v>0</v>
      </c>
      <c r="T484" s="59">
        <f>IF(AG484="7",H484,0)</f>
        <v>0</v>
      </c>
      <c r="U484" s="59">
        <f>IF(AG484="7",I484,0)</f>
        <v>0</v>
      </c>
      <c r="V484" s="59">
        <f>IF(AG484="2",H484,0)</f>
        <v>0</v>
      </c>
      <c r="W484" s="59">
        <f>IF(AG484="2",I484,0)</f>
        <v>0</v>
      </c>
      <c r="X484" s="59">
        <f>IF(AG484="0",J484,0)</f>
        <v>0</v>
      </c>
      <c r="Y484" s="49"/>
      <c r="Z484" s="35">
        <f>IF(AD484=0,J484,0)</f>
        <v>0</v>
      </c>
      <c r="AA484" s="35">
        <f>IF(AD484=15,J484,0)</f>
        <v>0</v>
      </c>
      <c r="AB484" s="35">
        <f>IF(AD484=21,J484,0)</f>
        <v>0</v>
      </c>
      <c r="AD484" s="59">
        <v>21</v>
      </c>
      <c r="AE484" s="59">
        <f>G484*1</f>
        <v>0</v>
      </c>
      <c r="AF484" s="59">
        <f>G484*(1-1)</f>
        <v>0</v>
      </c>
      <c r="AG484" s="56" t="s">
        <v>13</v>
      </c>
      <c r="AM484" s="59">
        <f>F484*AE484</f>
        <v>0</v>
      </c>
      <c r="AN484" s="59">
        <f>F484*AF484</f>
        <v>0</v>
      </c>
      <c r="AO484" s="60" t="s">
        <v>1153</v>
      </c>
      <c r="AP484" s="60" t="s">
        <v>1177</v>
      </c>
      <c r="AQ484" s="49" t="s">
        <v>1182</v>
      </c>
      <c r="AS484" s="59">
        <f>AM484+AN484</f>
        <v>0</v>
      </c>
      <c r="AT484" s="59">
        <f>G484/(100-AU484)*100</f>
        <v>0</v>
      </c>
      <c r="AU484" s="59">
        <v>0</v>
      </c>
      <c r="AV484" s="59">
        <f>L484</f>
        <v>0.97077</v>
      </c>
    </row>
    <row r="485" spans="4:6" ht="12.75">
      <c r="D485" s="28" t="s">
        <v>917</v>
      </c>
      <c r="F485" s="34">
        <v>0.89886</v>
      </c>
    </row>
    <row r="486" spans="4:6" ht="12.75">
      <c r="D486" s="28" t="s">
        <v>918</v>
      </c>
      <c r="F486" s="34">
        <v>0.07191</v>
      </c>
    </row>
    <row r="487" spans="1:48" ht="12.75">
      <c r="A487" s="10" t="s">
        <v>183</v>
      </c>
      <c r="B487" s="10"/>
      <c r="C487" s="10" t="s">
        <v>429</v>
      </c>
      <c r="D487" s="10" t="s">
        <v>919</v>
      </c>
      <c r="E487" s="10" t="s">
        <v>1092</v>
      </c>
      <c r="F487" s="33">
        <v>3968</v>
      </c>
      <c r="G487" s="33">
        <v>0</v>
      </c>
      <c r="H487" s="33">
        <f>F487*AE487</f>
        <v>0</v>
      </c>
      <c r="I487" s="33">
        <f>J487-H487</f>
        <v>0</v>
      </c>
      <c r="J487" s="33">
        <f>F487*G487</f>
        <v>0</v>
      </c>
      <c r="K487" s="33">
        <v>5E-05</v>
      </c>
      <c r="L487" s="33">
        <f>F487*K487</f>
        <v>0.19840000000000002</v>
      </c>
      <c r="M487" s="55" t="s">
        <v>1113</v>
      </c>
      <c r="P487" s="59">
        <f>IF(AG487="5",J487,0)</f>
        <v>0</v>
      </c>
      <c r="R487" s="59">
        <f>IF(AG487="1",H487,0)</f>
        <v>0</v>
      </c>
      <c r="S487" s="59">
        <f>IF(AG487="1",I487,0)</f>
        <v>0</v>
      </c>
      <c r="T487" s="59">
        <f>IF(AG487="7",H487,0)</f>
        <v>0</v>
      </c>
      <c r="U487" s="59">
        <f>IF(AG487="7",I487,0)</f>
        <v>0</v>
      </c>
      <c r="V487" s="59">
        <f>IF(AG487="2",H487,0)</f>
        <v>0</v>
      </c>
      <c r="W487" s="59">
        <f>IF(AG487="2",I487,0)</f>
        <v>0</v>
      </c>
      <c r="X487" s="59">
        <f>IF(AG487="0",J487,0)</f>
        <v>0</v>
      </c>
      <c r="Y487" s="49"/>
      <c r="Z487" s="33">
        <f>IF(AD487=0,J487,0)</f>
        <v>0</v>
      </c>
      <c r="AA487" s="33">
        <f>IF(AD487=15,J487,0)</f>
        <v>0</v>
      </c>
      <c r="AB487" s="33">
        <f>IF(AD487=21,J487,0)</f>
        <v>0</v>
      </c>
      <c r="AD487" s="59">
        <v>21</v>
      </c>
      <c r="AE487" s="59">
        <f>G487*0.193956043956044</f>
        <v>0</v>
      </c>
      <c r="AF487" s="59">
        <f>G487*(1-0.193956043956044)</f>
        <v>0</v>
      </c>
      <c r="AG487" s="55" t="s">
        <v>13</v>
      </c>
      <c r="AM487" s="59">
        <f>F487*AE487</f>
        <v>0</v>
      </c>
      <c r="AN487" s="59">
        <f>F487*AF487</f>
        <v>0</v>
      </c>
      <c r="AO487" s="60" t="s">
        <v>1153</v>
      </c>
      <c r="AP487" s="60" t="s">
        <v>1177</v>
      </c>
      <c r="AQ487" s="49" t="s">
        <v>1182</v>
      </c>
      <c r="AS487" s="59">
        <f>AM487+AN487</f>
        <v>0</v>
      </c>
      <c r="AT487" s="59">
        <f>G487/(100-AU487)*100</f>
        <v>0</v>
      </c>
      <c r="AU487" s="59">
        <v>0</v>
      </c>
      <c r="AV487" s="59">
        <f>L487</f>
        <v>0.19840000000000002</v>
      </c>
    </row>
    <row r="488" spans="4:6" ht="12.75">
      <c r="D488" s="28" t="s">
        <v>920</v>
      </c>
      <c r="F488" s="34">
        <v>3968</v>
      </c>
    </row>
    <row r="489" spans="4:6" ht="12.75">
      <c r="D489" s="28" t="s">
        <v>921</v>
      </c>
      <c r="F489" s="34">
        <v>0</v>
      </c>
    </row>
    <row r="490" spans="1:48" ht="12.75">
      <c r="A490" s="12" t="s">
        <v>184</v>
      </c>
      <c r="B490" s="12"/>
      <c r="C490" s="12" t="s">
        <v>430</v>
      </c>
      <c r="D490" s="12" t="s">
        <v>922</v>
      </c>
      <c r="E490" s="12" t="s">
        <v>1085</v>
      </c>
      <c r="F490" s="35">
        <v>1.52468</v>
      </c>
      <c r="G490" s="35">
        <v>0</v>
      </c>
      <c r="H490" s="35">
        <f>F490*AE490</f>
        <v>0</v>
      </c>
      <c r="I490" s="35">
        <f>J490-H490</f>
        <v>0</v>
      </c>
      <c r="J490" s="35">
        <f>F490*G490</f>
        <v>0</v>
      </c>
      <c r="K490" s="35">
        <v>1</v>
      </c>
      <c r="L490" s="35">
        <f>F490*K490</f>
        <v>1.52468</v>
      </c>
      <c r="M490" s="56" t="s">
        <v>1113</v>
      </c>
      <c r="P490" s="59">
        <f>IF(AG490="5",J490,0)</f>
        <v>0</v>
      </c>
      <c r="R490" s="59">
        <f>IF(AG490="1",H490,0)</f>
        <v>0</v>
      </c>
      <c r="S490" s="59">
        <f>IF(AG490="1",I490,0)</f>
        <v>0</v>
      </c>
      <c r="T490" s="59">
        <f>IF(AG490="7",H490,0)</f>
        <v>0</v>
      </c>
      <c r="U490" s="59">
        <f>IF(AG490="7",I490,0)</f>
        <v>0</v>
      </c>
      <c r="V490" s="59">
        <f>IF(AG490="2",H490,0)</f>
        <v>0</v>
      </c>
      <c r="W490" s="59">
        <f>IF(AG490="2",I490,0)</f>
        <v>0</v>
      </c>
      <c r="X490" s="59">
        <f>IF(AG490="0",J490,0)</f>
        <v>0</v>
      </c>
      <c r="Y490" s="49"/>
      <c r="Z490" s="35">
        <f>IF(AD490=0,J490,0)</f>
        <v>0</v>
      </c>
      <c r="AA490" s="35">
        <f>IF(AD490=15,J490,0)</f>
        <v>0</v>
      </c>
      <c r="AB490" s="35">
        <f>IF(AD490=21,J490,0)</f>
        <v>0</v>
      </c>
      <c r="AD490" s="59">
        <v>21</v>
      </c>
      <c r="AE490" s="59">
        <f>G490*1</f>
        <v>0</v>
      </c>
      <c r="AF490" s="59">
        <f>G490*(1-1)</f>
        <v>0</v>
      </c>
      <c r="AG490" s="56" t="s">
        <v>13</v>
      </c>
      <c r="AM490" s="59">
        <f>F490*AE490</f>
        <v>0</v>
      </c>
      <c r="AN490" s="59">
        <f>F490*AF490</f>
        <v>0</v>
      </c>
      <c r="AO490" s="60" t="s">
        <v>1153</v>
      </c>
      <c r="AP490" s="60" t="s">
        <v>1177</v>
      </c>
      <c r="AQ490" s="49" t="s">
        <v>1182</v>
      </c>
      <c r="AS490" s="59">
        <f>AM490+AN490</f>
        <v>0</v>
      </c>
      <c r="AT490" s="59">
        <f>G490/(100-AU490)*100</f>
        <v>0</v>
      </c>
      <c r="AU490" s="59">
        <v>0</v>
      </c>
      <c r="AV490" s="59">
        <f>L490</f>
        <v>1.52468</v>
      </c>
    </row>
    <row r="491" spans="4:6" ht="12.75">
      <c r="D491" s="28" t="s">
        <v>923</v>
      </c>
      <c r="F491" s="34">
        <v>0.6325</v>
      </c>
    </row>
    <row r="492" spans="4:6" ht="12.75">
      <c r="D492" s="28" t="s">
        <v>924</v>
      </c>
      <c r="F492" s="34">
        <v>0.77924</v>
      </c>
    </row>
    <row r="493" spans="4:6" ht="12.75">
      <c r="D493" s="28" t="s">
        <v>925</v>
      </c>
      <c r="F493" s="34">
        <v>0.11294</v>
      </c>
    </row>
    <row r="494" spans="1:48" ht="12.75">
      <c r="A494" s="12" t="s">
        <v>185</v>
      </c>
      <c r="B494" s="12"/>
      <c r="C494" s="12" t="s">
        <v>431</v>
      </c>
      <c r="D494" s="12" t="s">
        <v>926</v>
      </c>
      <c r="E494" s="12" t="s">
        <v>1085</v>
      </c>
      <c r="F494" s="35">
        <v>0.72657</v>
      </c>
      <c r="G494" s="35">
        <v>0</v>
      </c>
      <c r="H494" s="35">
        <f>F494*AE494</f>
        <v>0</v>
      </c>
      <c r="I494" s="35">
        <f>J494-H494</f>
        <v>0</v>
      </c>
      <c r="J494" s="35">
        <f>F494*G494</f>
        <v>0</v>
      </c>
      <c r="K494" s="35">
        <v>1</v>
      </c>
      <c r="L494" s="35">
        <f>F494*K494</f>
        <v>0.72657</v>
      </c>
      <c r="M494" s="56" t="s">
        <v>1113</v>
      </c>
      <c r="P494" s="59">
        <f>IF(AG494="5",J494,0)</f>
        <v>0</v>
      </c>
      <c r="R494" s="59">
        <f>IF(AG494="1",H494,0)</f>
        <v>0</v>
      </c>
      <c r="S494" s="59">
        <f>IF(AG494="1",I494,0)</f>
        <v>0</v>
      </c>
      <c r="T494" s="59">
        <f>IF(AG494="7",H494,0)</f>
        <v>0</v>
      </c>
      <c r="U494" s="59">
        <f>IF(AG494="7",I494,0)</f>
        <v>0</v>
      </c>
      <c r="V494" s="59">
        <f>IF(AG494="2",H494,0)</f>
        <v>0</v>
      </c>
      <c r="W494" s="59">
        <f>IF(AG494="2",I494,0)</f>
        <v>0</v>
      </c>
      <c r="X494" s="59">
        <f>IF(AG494="0",J494,0)</f>
        <v>0</v>
      </c>
      <c r="Y494" s="49"/>
      <c r="Z494" s="35">
        <f>IF(AD494=0,J494,0)</f>
        <v>0</v>
      </c>
      <c r="AA494" s="35">
        <f>IF(AD494=15,J494,0)</f>
        <v>0</v>
      </c>
      <c r="AB494" s="35">
        <f>IF(AD494=21,J494,0)</f>
        <v>0</v>
      </c>
      <c r="AD494" s="59">
        <v>21</v>
      </c>
      <c r="AE494" s="59">
        <f>G494*1</f>
        <v>0</v>
      </c>
      <c r="AF494" s="59">
        <f>G494*(1-1)</f>
        <v>0</v>
      </c>
      <c r="AG494" s="56" t="s">
        <v>13</v>
      </c>
      <c r="AM494" s="59">
        <f>F494*AE494</f>
        <v>0</v>
      </c>
      <c r="AN494" s="59">
        <f>F494*AF494</f>
        <v>0</v>
      </c>
      <c r="AO494" s="60" t="s">
        <v>1153</v>
      </c>
      <c r="AP494" s="60" t="s">
        <v>1177</v>
      </c>
      <c r="AQ494" s="49" t="s">
        <v>1182</v>
      </c>
      <c r="AS494" s="59">
        <f>AM494+AN494</f>
        <v>0</v>
      </c>
      <c r="AT494" s="59">
        <f>G494/(100-AU494)*100</f>
        <v>0</v>
      </c>
      <c r="AU494" s="59">
        <v>0</v>
      </c>
      <c r="AV494" s="59">
        <f>L494</f>
        <v>0.72657</v>
      </c>
    </row>
    <row r="495" spans="4:6" ht="12.75">
      <c r="D495" s="28" t="s">
        <v>927</v>
      </c>
      <c r="F495" s="34">
        <v>0.67275</v>
      </c>
    </row>
    <row r="496" spans="4:6" ht="12.75">
      <c r="D496" s="28" t="s">
        <v>928</v>
      </c>
      <c r="F496" s="34">
        <v>0.05382</v>
      </c>
    </row>
    <row r="497" spans="1:48" ht="12.75">
      <c r="A497" s="12" t="s">
        <v>186</v>
      </c>
      <c r="B497" s="12"/>
      <c r="C497" s="12" t="s">
        <v>432</v>
      </c>
      <c r="D497" s="12" t="s">
        <v>929</v>
      </c>
      <c r="E497" s="12" t="s">
        <v>1085</v>
      </c>
      <c r="F497" s="35">
        <v>0.92032</v>
      </c>
      <c r="G497" s="35">
        <v>0</v>
      </c>
      <c r="H497" s="35">
        <f>F497*AE497</f>
        <v>0</v>
      </c>
      <c r="I497" s="35">
        <f>J497-H497</f>
        <v>0</v>
      </c>
      <c r="J497" s="35">
        <f>F497*G497</f>
        <v>0</v>
      </c>
      <c r="K497" s="35">
        <v>1</v>
      </c>
      <c r="L497" s="35">
        <f>F497*K497</f>
        <v>0.92032</v>
      </c>
      <c r="M497" s="56" t="s">
        <v>1113</v>
      </c>
      <c r="P497" s="59">
        <f>IF(AG497="5",J497,0)</f>
        <v>0</v>
      </c>
      <c r="R497" s="59">
        <f>IF(AG497="1",H497,0)</f>
        <v>0</v>
      </c>
      <c r="S497" s="59">
        <f>IF(AG497="1",I497,0)</f>
        <v>0</v>
      </c>
      <c r="T497" s="59">
        <f>IF(AG497="7",H497,0)</f>
        <v>0</v>
      </c>
      <c r="U497" s="59">
        <f>IF(AG497="7",I497,0)</f>
        <v>0</v>
      </c>
      <c r="V497" s="59">
        <f>IF(AG497="2",H497,0)</f>
        <v>0</v>
      </c>
      <c r="W497" s="59">
        <f>IF(AG497="2",I497,0)</f>
        <v>0</v>
      </c>
      <c r="X497" s="59">
        <f>IF(AG497="0",J497,0)</f>
        <v>0</v>
      </c>
      <c r="Y497" s="49"/>
      <c r="Z497" s="35">
        <f>IF(AD497=0,J497,0)</f>
        <v>0</v>
      </c>
      <c r="AA497" s="35">
        <f>IF(AD497=15,J497,0)</f>
        <v>0</v>
      </c>
      <c r="AB497" s="35">
        <f>IF(AD497=21,J497,0)</f>
        <v>0</v>
      </c>
      <c r="AD497" s="59">
        <v>21</v>
      </c>
      <c r="AE497" s="59">
        <f>G497*1</f>
        <v>0</v>
      </c>
      <c r="AF497" s="59">
        <f>G497*(1-1)</f>
        <v>0</v>
      </c>
      <c r="AG497" s="56" t="s">
        <v>13</v>
      </c>
      <c r="AM497" s="59">
        <f>F497*AE497</f>
        <v>0</v>
      </c>
      <c r="AN497" s="59">
        <f>F497*AF497</f>
        <v>0</v>
      </c>
      <c r="AO497" s="60" t="s">
        <v>1153</v>
      </c>
      <c r="AP497" s="60" t="s">
        <v>1177</v>
      </c>
      <c r="AQ497" s="49" t="s">
        <v>1182</v>
      </c>
      <c r="AS497" s="59">
        <f>AM497+AN497</f>
        <v>0</v>
      </c>
      <c r="AT497" s="59">
        <f>G497/(100-AU497)*100</f>
        <v>0</v>
      </c>
      <c r="AU497" s="59">
        <v>0</v>
      </c>
      <c r="AV497" s="59">
        <f>L497</f>
        <v>0.92032</v>
      </c>
    </row>
    <row r="498" spans="4:6" ht="12.75">
      <c r="D498" s="28" t="s">
        <v>930</v>
      </c>
      <c r="F498" s="34">
        <v>0.85215</v>
      </c>
    </row>
    <row r="499" spans="4:6" ht="12.75">
      <c r="D499" s="28" t="s">
        <v>931</v>
      </c>
      <c r="F499" s="34">
        <v>0.06817</v>
      </c>
    </row>
    <row r="500" spans="1:48" ht="12.75">
      <c r="A500" s="12" t="s">
        <v>187</v>
      </c>
      <c r="B500" s="12"/>
      <c r="C500" s="12" t="s">
        <v>433</v>
      </c>
      <c r="D500" s="12" t="s">
        <v>932</v>
      </c>
      <c r="E500" s="12" t="s">
        <v>1085</v>
      </c>
      <c r="F500" s="35">
        <v>0.2484</v>
      </c>
      <c r="G500" s="35">
        <v>0</v>
      </c>
      <c r="H500" s="35">
        <f>F500*AE500</f>
        <v>0</v>
      </c>
      <c r="I500" s="35">
        <f>J500-H500</f>
        <v>0</v>
      </c>
      <c r="J500" s="35">
        <f>F500*G500</f>
        <v>0</v>
      </c>
      <c r="K500" s="35">
        <v>1</v>
      </c>
      <c r="L500" s="35">
        <f>F500*K500</f>
        <v>0.2484</v>
      </c>
      <c r="M500" s="56" t="s">
        <v>1113</v>
      </c>
      <c r="P500" s="59">
        <f>IF(AG500="5",J500,0)</f>
        <v>0</v>
      </c>
      <c r="R500" s="59">
        <f>IF(AG500="1",H500,0)</f>
        <v>0</v>
      </c>
      <c r="S500" s="59">
        <f>IF(AG500="1",I500,0)</f>
        <v>0</v>
      </c>
      <c r="T500" s="59">
        <f>IF(AG500="7",H500,0)</f>
        <v>0</v>
      </c>
      <c r="U500" s="59">
        <f>IF(AG500="7",I500,0)</f>
        <v>0</v>
      </c>
      <c r="V500" s="59">
        <f>IF(AG500="2",H500,0)</f>
        <v>0</v>
      </c>
      <c r="W500" s="59">
        <f>IF(AG500="2",I500,0)</f>
        <v>0</v>
      </c>
      <c r="X500" s="59">
        <f>IF(AG500="0",J500,0)</f>
        <v>0</v>
      </c>
      <c r="Y500" s="49"/>
      <c r="Z500" s="35">
        <f>IF(AD500=0,J500,0)</f>
        <v>0</v>
      </c>
      <c r="AA500" s="35">
        <f>IF(AD500=15,J500,0)</f>
        <v>0</v>
      </c>
      <c r="AB500" s="35">
        <f>IF(AD500=21,J500,0)</f>
        <v>0</v>
      </c>
      <c r="AD500" s="59">
        <v>21</v>
      </c>
      <c r="AE500" s="59">
        <f>G500*1</f>
        <v>0</v>
      </c>
      <c r="AF500" s="59">
        <f>G500*(1-1)</f>
        <v>0</v>
      </c>
      <c r="AG500" s="56" t="s">
        <v>13</v>
      </c>
      <c r="AM500" s="59">
        <f>F500*AE500</f>
        <v>0</v>
      </c>
      <c r="AN500" s="59">
        <f>F500*AF500</f>
        <v>0</v>
      </c>
      <c r="AO500" s="60" t="s">
        <v>1153</v>
      </c>
      <c r="AP500" s="60" t="s">
        <v>1177</v>
      </c>
      <c r="AQ500" s="49" t="s">
        <v>1182</v>
      </c>
      <c r="AS500" s="59">
        <f>AM500+AN500</f>
        <v>0</v>
      </c>
      <c r="AT500" s="59">
        <f>G500/(100-AU500)*100</f>
        <v>0</v>
      </c>
      <c r="AU500" s="59">
        <v>0</v>
      </c>
      <c r="AV500" s="59">
        <f>L500</f>
        <v>0.2484</v>
      </c>
    </row>
    <row r="501" spans="4:6" ht="12.75">
      <c r="D501" s="28" t="s">
        <v>933</v>
      </c>
      <c r="F501" s="34">
        <v>0.23</v>
      </c>
    </row>
    <row r="502" spans="4:6" ht="12.75">
      <c r="D502" s="28" t="s">
        <v>934</v>
      </c>
      <c r="F502" s="34">
        <v>0.0184</v>
      </c>
    </row>
    <row r="503" spans="1:48" ht="12.75">
      <c r="A503" s="12" t="s">
        <v>188</v>
      </c>
      <c r="B503" s="12"/>
      <c r="C503" s="12" t="s">
        <v>434</v>
      </c>
      <c r="D503" s="12" t="s">
        <v>935</v>
      </c>
      <c r="E503" s="12" t="s">
        <v>1085</v>
      </c>
      <c r="F503" s="35">
        <v>0.4139</v>
      </c>
      <c r="G503" s="35">
        <v>0</v>
      </c>
      <c r="H503" s="35">
        <f>F503*AE503</f>
        <v>0</v>
      </c>
      <c r="I503" s="35">
        <f>J503-H503</f>
        <v>0</v>
      </c>
      <c r="J503" s="35">
        <f>F503*G503</f>
        <v>0</v>
      </c>
      <c r="K503" s="35">
        <v>1</v>
      </c>
      <c r="L503" s="35">
        <f>F503*K503</f>
        <v>0.4139</v>
      </c>
      <c r="M503" s="56" t="s">
        <v>1113</v>
      </c>
      <c r="P503" s="59">
        <f>IF(AG503="5",J503,0)</f>
        <v>0</v>
      </c>
      <c r="R503" s="59">
        <f>IF(AG503="1",H503,0)</f>
        <v>0</v>
      </c>
      <c r="S503" s="59">
        <f>IF(AG503="1",I503,0)</f>
        <v>0</v>
      </c>
      <c r="T503" s="59">
        <f>IF(AG503="7",H503,0)</f>
        <v>0</v>
      </c>
      <c r="U503" s="59">
        <f>IF(AG503="7",I503,0)</f>
        <v>0</v>
      </c>
      <c r="V503" s="59">
        <f>IF(AG503="2",H503,0)</f>
        <v>0</v>
      </c>
      <c r="W503" s="59">
        <f>IF(AG503="2",I503,0)</f>
        <v>0</v>
      </c>
      <c r="X503" s="59">
        <f>IF(AG503="0",J503,0)</f>
        <v>0</v>
      </c>
      <c r="Y503" s="49"/>
      <c r="Z503" s="35">
        <f>IF(AD503=0,J503,0)</f>
        <v>0</v>
      </c>
      <c r="AA503" s="35">
        <f>IF(AD503=15,J503,0)</f>
        <v>0</v>
      </c>
      <c r="AB503" s="35">
        <f>IF(AD503=21,J503,0)</f>
        <v>0</v>
      </c>
      <c r="AD503" s="59">
        <v>21</v>
      </c>
      <c r="AE503" s="59">
        <f>G503*1</f>
        <v>0</v>
      </c>
      <c r="AF503" s="59">
        <f>G503*(1-1)</f>
        <v>0</v>
      </c>
      <c r="AG503" s="56" t="s">
        <v>13</v>
      </c>
      <c r="AM503" s="59">
        <f>F503*AE503</f>
        <v>0</v>
      </c>
      <c r="AN503" s="59">
        <f>F503*AF503</f>
        <v>0</v>
      </c>
      <c r="AO503" s="60" t="s">
        <v>1153</v>
      </c>
      <c r="AP503" s="60" t="s">
        <v>1177</v>
      </c>
      <c r="AQ503" s="49" t="s">
        <v>1182</v>
      </c>
      <c r="AS503" s="59">
        <f>AM503+AN503</f>
        <v>0</v>
      </c>
      <c r="AT503" s="59">
        <f>G503/(100-AU503)*100</f>
        <v>0</v>
      </c>
      <c r="AU503" s="59">
        <v>0</v>
      </c>
      <c r="AV503" s="59">
        <f>L503</f>
        <v>0.4139</v>
      </c>
    </row>
    <row r="504" spans="4:6" ht="12.75">
      <c r="D504" s="28" t="s">
        <v>936</v>
      </c>
      <c r="F504" s="34">
        <v>0.38324</v>
      </c>
    </row>
    <row r="505" spans="4:6" ht="12.75">
      <c r="D505" s="28" t="s">
        <v>937</v>
      </c>
      <c r="F505" s="34">
        <v>0.03066</v>
      </c>
    </row>
    <row r="506" spans="1:48" ht="12.75">
      <c r="A506" s="12" t="s">
        <v>189</v>
      </c>
      <c r="B506" s="12"/>
      <c r="C506" s="12" t="s">
        <v>435</v>
      </c>
      <c r="D506" s="12" t="s">
        <v>938</v>
      </c>
      <c r="E506" s="12" t="s">
        <v>1085</v>
      </c>
      <c r="F506" s="35">
        <v>0.13789</v>
      </c>
      <c r="G506" s="35">
        <v>0</v>
      </c>
      <c r="H506" s="35">
        <f>F506*AE506</f>
        <v>0</v>
      </c>
      <c r="I506" s="35">
        <f>J506-H506</f>
        <v>0</v>
      </c>
      <c r="J506" s="35">
        <f>F506*G506</f>
        <v>0</v>
      </c>
      <c r="K506" s="35">
        <v>1</v>
      </c>
      <c r="L506" s="35">
        <f>F506*K506</f>
        <v>0.13789</v>
      </c>
      <c r="M506" s="56" t="s">
        <v>1113</v>
      </c>
      <c r="P506" s="59">
        <f>IF(AG506="5",J506,0)</f>
        <v>0</v>
      </c>
      <c r="R506" s="59">
        <f>IF(AG506="1",H506,0)</f>
        <v>0</v>
      </c>
      <c r="S506" s="59">
        <f>IF(AG506="1",I506,0)</f>
        <v>0</v>
      </c>
      <c r="T506" s="59">
        <f>IF(AG506="7",H506,0)</f>
        <v>0</v>
      </c>
      <c r="U506" s="59">
        <f>IF(AG506="7",I506,0)</f>
        <v>0</v>
      </c>
      <c r="V506" s="59">
        <f>IF(AG506="2",H506,0)</f>
        <v>0</v>
      </c>
      <c r="W506" s="59">
        <f>IF(AG506="2",I506,0)</f>
        <v>0</v>
      </c>
      <c r="X506" s="59">
        <f>IF(AG506="0",J506,0)</f>
        <v>0</v>
      </c>
      <c r="Y506" s="49"/>
      <c r="Z506" s="35">
        <f>IF(AD506=0,J506,0)</f>
        <v>0</v>
      </c>
      <c r="AA506" s="35">
        <f>IF(AD506=15,J506,0)</f>
        <v>0</v>
      </c>
      <c r="AB506" s="35">
        <f>IF(AD506=21,J506,0)</f>
        <v>0</v>
      </c>
      <c r="AD506" s="59">
        <v>21</v>
      </c>
      <c r="AE506" s="59">
        <f>G506*1</f>
        <v>0</v>
      </c>
      <c r="AF506" s="59">
        <f>G506*(1-1)</f>
        <v>0</v>
      </c>
      <c r="AG506" s="56" t="s">
        <v>13</v>
      </c>
      <c r="AM506" s="59">
        <f>F506*AE506</f>
        <v>0</v>
      </c>
      <c r="AN506" s="59">
        <f>F506*AF506</f>
        <v>0</v>
      </c>
      <c r="AO506" s="60" t="s">
        <v>1153</v>
      </c>
      <c r="AP506" s="60" t="s">
        <v>1177</v>
      </c>
      <c r="AQ506" s="49" t="s">
        <v>1182</v>
      </c>
      <c r="AS506" s="59">
        <f>AM506+AN506</f>
        <v>0</v>
      </c>
      <c r="AT506" s="59">
        <f>G506/(100-AU506)*100</f>
        <v>0</v>
      </c>
      <c r="AU506" s="59">
        <v>0</v>
      </c>
      <c r="AV506" s="59">
        <f>L506</f>
        <v>0.13789</v>
      </c>
    </row>
    <row r="507" spans="4:6" ht="12.75">
      <c r="D507" s="28" t="s">
        <v>939</v>
      </c>
      <c r="F507" s="34">
        <v>0.12768</v>
      </c>
    </row>
    <row r="508" spans="4:6" ht="12.75">
      <c r="D508" s="28" t="s">
        <v>940</v>
      </c>
      <c r="F508" s="34">
        <v>0.01021</v>
      </c>
    </row>
    <row r="509" spans="1:48" ht="12.75">
      <c r="A509" s="10" t="s">
        <v>190</v>
      </c>
      <c r="B509" s="10"/>
      <c r="C509" s="10" t="s">
        <v>436</v>
      </c>
      <c r="D509" s="10" t="s">
        <v>941</v>
      </c>
      <c r="E509" s="10" t="s">
        <v>1088</v>
      </c>
      <c r="F509" s="33">
        <v>8</v>
      </c>
      <c r="G509" s="33">
        <v>0</v>
      </c>
      <c r="H509" s="33">
        <f>F509*AE509</f>
        <v>0</v>
      </c>
      <c r="I509" s="33">
        <f>J509-H509</f>
        <v>0</v>
      </c>
      <c r="J509" s="33">
        <f>F509*G509</f>
        <v>0</v>
      </c>
      <c r="K509" s="33">
        <v>0</v>
      </c>
      <c r="L509" s="33">
        <f>F509*K509</f>
        <v>0</v>
      </c>
      <c r="M509" s="55" t="s">
        <v>1115</v>
      </c>
      <c r="P509" s="59">
        <f>IF(AG509="5",J509,0)</f>
        <v>0</v>
      </c>
      <c r="R509" s="59">
        <f>IF(AG509="1",H509,0)</f>
        <v>0</v>
      </c>
      <c r="S509" s="59">
        <f>IF(AG509="1",I509,0)</f>
        <v>0</v>
      </c>
      <c r="T509" s="59">
        <f>IF(AG509="7",H509,0)</f>
        <v>0</v>
      </c>
      <c r="U509" s="59">
        <f>IF(AG509="7",I509,0)</f>
        <v>0</v>
      </c>
      <c r="V509" s="59">
        <f>IF(AG509="2",H509,0)</f>
        <v>0</v>
      </c>
      <c r="W509" s="59">
        <f>IF(AG509="2",I509,0)</f>
        <v>0</v>
      </c>
      <c r="X509" s="59">
        <f>IF(AG509="0",J509,0)</f>
        <v>0</v>
      </c>
      <c r="Y509" s="49"/>
      <c r="Z509" s="33">
        <f>IF(AD509=0,J509,0)</f>
        <v>0</v>
      </c>
      <c r="AA509" s="33">
        <f>IF(AD509=15,J509,0)</f>
        <v>0</v>
      </c>
      <c r="AB509" s="33">
        <f>IF(AD509=21,J509,0)</f>
        <v>0</v>
      </c>
      <c r="AD509" s="59">
        <v>21</v>
      </c>
      <c r="AE509" s="59">
        <f>G509*0</f>
        <v>0</v>
      </c>
      <c r="AF509" s="59">
        <f>G509*(1-0)</f>
        <v>0</v>
      </c>
      <c r="AG509" s="55" t="s">
        <v>13</v>
      </c>
      <c r="AM509" s="59">
        <f>F509*AE509</f>
        <v>0</v>
      </c>
      <c r="AN509" s="59">
        <f>F509*AF509</f>
        <v>0</v>
      </c>
      <c r="AO509" s="60" t="s">
        <v>1153</v>
      </c>
      <c r="AP509" s="60" t="s">
        <v>1177</v>
      </c>
      <c r="AQ509" s="49" t="s">
        <v>1182</v>
      </c>
      <c r="AS509" s="59">
        <f>AM509+AN509</f>
        <v>0</v>
      </c>
      <c r="AT509" s="59">
        <f>G509/(100-AU509)*100</f>
        <v>0</v>
      </c>
      <c r="AU509" s="59">
        <v>0</v>
      </c>
      <c r="AV509" s="59">
        <f>L509</f>
        <v>0</v>
      </c>
    </row>
    <row r="510" spans="4:6" ht="12.75">
      <c r="D510" s="28" t="s">
        <v>942</v>
      </c>
      <c r="F510" s="34">
        <v>8</v>
      </c>
    </row>
    <row r="511" spans="1:48" ht="12.75">
      <c r="A511" s="10" t="s">
        <v>191</v>
      </c>
      <c r="B511" s="10"/>
      <c r="C511" s="10" t="s">
        <v>437</v>
      </c>
      <c r="D511" s="10" t="s">
        <v>943</v>
      </c>
      <c r="E511" s="10" t="s">
        <v>1085</v>
      </c>
      <c r="F511" s="33">
        <v>6.107</v>
      </c>
      <c r="G511" s="33">
        <v>0</v>
      </c>
      <c r="H511" s="33">
        <f>F511*AE511</f>
        <v>0</v>
      </c>
      <c r="I511" s="33">
        <f>J511-H511</f>
        <v>0</v>
      </c>
      <c r="J511" s="33">
        <f>F511*G511</f>
        <v>0</v>
      </c>
      <c r="K511" s="33">
        <v>0</v>
      </c>
      <c r="L511" s="33">
        <f>F511*K511</f>
        <v>0</v>
      </c>
      <c r="M511" s="55" t="s">
        <v>1113</v>
      </c>
      <c r="P511" s="59">
        <f>IF(AG511="5",J511,0)</f>
        <v>0</v>
      </c>
      <c r="R511" s="59">
        <f>IF(AG511="1",H511,0)</f>
        <v>0</v>
      </c>
      <c r="S511" s="59">
        <f>IF(AG511="1",I511,0)</f>
        <v>0</v>
      </c>
      <c r="T511" s="59">
        <f>IF(AG511="7",H511,0)</f>
        <v>0</v>
      </c>
      <c r="U511" s="59">
        <f>IF(AG511="7",I511,0)</f>
        <v>0</v>
      </c>
      <c r="V511" s="59">
        <f>IF(AG511="2",H511,0)</f>
        <v>0</v>
      </c>
      <c r="W511" s="59">
        <f>IF(AG511="2",I511,0)</f>
        <v>0</v>
      </c>
      <c r="X511" s="59">
        <f>IF(AG511="0",J511,0)</f>
        <v>0</v>
      </c>
      <c r="Y511" s="49"/>
      <c r="Z511" s="33">
        <f>IF(AD511=0,J511,0)</f>
        <v>0</v>
      </c>
      <c r="AA511" s="33">
        <f>IF(AD511=15,J511,0)</f>
        <v>0</v>
      </c>
      <c r="AB511" s="33">
        <f>IF(AD511=21,J511,0)</f>
        <v>0</v>
      </c>
      <c r="AD511" s="59">
        <v>21</v>
      </c>
      <c r="AE511" s="59">
        <f>G511*0</f>
        <v>0</v>
      </c>
      <c r="AF511" s="59">
        <f>G511*(1-0)</f>
        <v>0</v>
      </c>
      <c r="AG511" s="55" t="s">
        <v>11</v>
      </c>
      <c r="AM511" s="59">
        <f>F511*AE511</f>
        <v>0</v>
      </c>
      <c r="AN511" s="59">
        <f>F511*AF511</f>
        <v>0</v>
      </c>
      <c r="AO511" s="60" t="s">
        <v>1153</v>
      </c>
      <c r="AP511" s="60" t="s">
        <v>1177</v>
      </c>
      <c r="AQ511" s="49" t="s">
        <v>1182</v>
      </c>
      <c r="AS511" s="59">
        <f>AM511+AN511</f>
        <v>0</v>
      </c>
      <c r="AT511" s="59">
        <f>G511/(100-AU511)*100</f>
        <v>0</v>
      </c>
      <c r="AU511" s="59">
        <v>0</v>
      </c>
      <c r="AV511" s="59">
        <f>L511</f>
        <v>0</v>
      </c>
    </row>
    <row r="512" spans="4:6" ht="12.75">
      <c r="D512" s="28" t="s">
        <v>944</v>
      </c>
      <c r="F512" s="34">
        <v>6.107</v>
      </c>
    </row>
    <row r="513" spans="1:37" ht="12.75">
      <c r="A513" s="11"/>
      <c r="B513" s="24"/>
      <c r="C513" s="24" t="s">
        <v>438</v>
      </c>
      <c r="D513" s="24" t="s">
        <v>945</v>
      </c>
      <c r="E513" s="11" t="s">
        <v>6</v>
      </c>
      <c r="F513" s="11" t="s">
        <v>6</v>
      </c>
      <c r="G513" s="11" t="s">
        <v>6</v>
      </c>
      <c r="H513" s="62">
        <f>SUM(H514:H518)</f>
        <v>0</v>
      </c>
      <c r="I513" s="62">
        <f>SUM(I514:I518)</f>
        <v>0</v>
      </c>
      <c r="J513" s="62">
        <f>H513+I513</f>
        <v>0</v>
      </c>
      <c r="K513" s="49"/>
      <c r="L513" s="62">
        <f>SUM(L514:L518)</f>
        <v>3.23106</v>
      </c>
      <c r="M513" s="49"/>
      <c r="Y513" s="49"/>
      <c r="AI513" s="62">
        <f>SUM(Z514:Z518)</f>
        <v>0</v>
      </c>
      <c r="AJ513" s="62">
        <f>SUM(AA514:AA518)</f>
        <v>0</v>
      </c>
      <c r="AK513" s="62">
        <f>SUM(AB514:AB518)</f>
        <v>0</v>
      </c>
    </row>
    <row r="514" spans="1:48" ht="12.75">
      <c r="A514" s="10" t="s">
        <v>192</v>
      </c>
      <c r="B514" s="10"/>
      <c r="C514" s="10" t="s">
        <v>439</v>
      </c>
      <c r="D514" s="10" t="s">
        <v>946</v>
      </c>
      <c r="E514" s="10" t="s">
        <v>1086</v>
      </c>
      <c r="F514" s="33">
        <v>461.58</v>
      </c>
      <c r="G514" s="33">
        <v>0</v>
      </c>
      <c r="H514" s="33">
        <f>F514*AE514</f>
        <v>0</v>
      </c>
      <c r="I514" s="33">
        <f>J514-H514</f>
        <v>0</v>
      </c>
      <c r="J514" s="33">
        <f>F514*G514</f>
        <v>0</v>
      </c>
      <c r="K514" s="33">
        <v>0.007</v>
      </c>
      <c r="L514" s="33">
        <f>F514*K514</f>
        <v>3.23106</v>
      </c>
      <c r="M514" s="55" t="s">
        <v>1113</v>
      </c>
      <c r="P514" s="59">
        <f>IF(AG514="5",J514,0)</f>
        <v>0</v>
      </c>
      <c r="R514" s="59">
        <f>IF(AG514="1",H514,0)</f>
        <v>0</v>
      </c>
      <c r="S514" s="59">
        <f>IF(AG514="1",I514,0)</f>
        <v>0</v>
      </c>
      <c r="T514" s="59">
        <f>IF(AG514="7",H514,0)</f>
        <v>0</v>
      </c>
      <c r="U514" s="59">
        <f>IF(AG514="7",I514,0)</f>
        <v>0</v>
      </c>
      <c r="V514" s="59">
        <f>IF(AG514="2",H514,0)</f>
        <v>0</v>
      </c>
      <c r="W514" s="59">
        <f>IF(AG514="2",I514,0)</f>
        <v>0</v>
      </c>
      <c r="X514" s="59">
        <f>IF(AG514="0",J514,0)</f>
        <v>0</v>
      </c>
      <c r="Y514" s="49"/>
      <c r="Z514" s="33">
        <f>IF(AD514=0,J514,0)</f>
        <v>0</v>
      </c>
      <c r="AA514" s="33">
        <f>IF(AD514=15,J514,0)</f>
        <v>0</v>
      </c>
      <c r="AB514" s="33">
        <f>IF(AD514=21,J514,0)</f>
        <v>0</v>
      </c>
      <c r="AD514" s="59">
        <v>21</v>
      </c>
      <c r="AE514" s="59">
        <f>G514*0.439103347511239</f>
        <v>0</v>
      </c>
      <c r="AF514" s="59">
        <f>G514*(1-0.439103347511239)</f>
        <v>0</v>
      </c>
      <c r="AG514" s="55" t="s">
        <v>13</v>
      </c>
      <c r="AM514" s="59">
        <f>F514*AE514</f>
        <v>0</v>
      </c>
      <c r="AN514" s="59">
        <f>F514*AF514</f>
        <v>0</v>
      </c>
      <c r="AO514" s="60" t="s">
        <v>1154</v>
      </c>
      <c r="AP514" s="60" t="s">
        <v>1178</v>
      </c>
      <c r="AQ514" s="49" t="s">
        <v>1182</v>
      </c>
      <c r="AS514" s="59">
        <f>AM514+AN514</f>
        <v>0</v>
      </c>
      <c r="AT514" s="59">
        <f>G514/(100-AU514)*100</f>
        <v>0</v>
      </c>
      <c r="AU514" s="59">
        <v>0</v>
      </c>
      <c r="AV514" s="59">
        <f>L514</f>
        <v>3.23106</v>
      </c>
    </row>
    <row r="515" spans="4:6" ht="12.75">
      <c r="D515" s="28" t="s">
        <v>947</v>
      </c>
      <c r="F515" s="34">
        <v>269.98</v>
      </c>
    </row>
    <row r="516" spans="4:6" ht="12.75">
      <c r="D516" s="28" t="s">
        <v>948</v>
      </c>
      <c r="F516" s="34">
        <v>117.3</v>
      </c>
    </row>
    <row r="517" spans="4:6" ht="12.75">
      <c r="D517" s="28" t="s">
        <v>949</v>
      </c>
      <c r="F517" s="34">
        <v>74.3</v>
      </c>
    </row>
    <row r="518" spans="1:48" ht="12.75">
      <c r="A518" s="10" t="s">
        <v>193</v>
      </c>
      <c r="B518" s="10"/>
      <c r="C518" s="10" t="s">
        <v>440</v>
      </c>
      <c r="D518" s="10" t="s">
        <v>950</v>
      </c>
      <c r="E518" s="10" t="s">
        <v>1085</v>
      </c>
      <c r="F518" s="33">
        <v>3.23</v>
      </c>
      <c r="G518" s="33">
        <v>0</v>
      </c>
      <c r="H518" s="33">
        <f>F518*AE518</f>
        <v>0</v>
      </c>
      <c r="I518" s="33">
        <f>J518-H518</f>
        <v>0</v>
      </c>
      <c r="J518" s="33">
        <f>F518*G518</f>
        <v>0</v>
      </c>
      <c r="K518" s="33">
        <v>0</v>
      </c>
      <c r="L518" s="33">
        <f>F518*K518</f>
        <v>0</v>
      </c>
      <c r="M518" s="55" t="s">
        <v>1113</v>
      </c>
      <c r="P518" s="59">
        <f>IF(AG518="5",J518,0)</f>
        <v>0</v>
      </c>
      <c r="R518" s="59">
        <f>IF(AG518="1",H518,0)</f>
        <v>0</v>
      </c>
      <c r="S518" s="59">
        <f>IF(AG518="1",I518,0)</f>
        <v>0</v>
      </c>
      <c r="T518" s="59">
        <f>IF(AG518="7",H518,0)</f>
        <v>0</v>
      </c>
      <c r="U518" s="59">
        <f>IF(AG518="7",I518,0)</f>
        <v>0</v>
      </c>
      <c r="V518" s="59">
        <f>IF(AG518="2",H518,0)</f>
        <v>0</v>
      </c>
      <c r="W518" s="59">
        <f>IF(AG518="2",I518,0)</f>
        <v>0</v>
      </c>
      <c r="X518" s="59">
        <f>IF(AG518="0",J518,0)</f>
        <v>0</v>
      </c>
      <c r="Y518" s="49"/>
      <c r="Z518" s="33">
        <f>IF(AD518=0,J518,0)</f>
        <v>0</v>
      </c>
      <c r="AA518" s="33">
        <f>IF(AD518=15,J518,0)</f>
        <v>0</v>
      </c>
      <c r="AB518" s="33">
        <f>IF(AD518=21,J518,0)</f>
        <v>0</v>
      </c>
      <c r="AD518" s="59">
        <v>21</v>
      </c>
      <c r="AE518" s="59">
        <f>G518*0</f>
        <v>0</v>
      </c>
      <c r="AF518" s="59">
        <f>G518*(1-0)</f>
        <v>0</v>
      </c>
      <c r="AG518" s="55" t="s">
        <v>11</v>
      </c>
      <c r="AM518" s="59">
        <f>F518*AE518</f>
        <v>0</v>
      </c>
      <c r="AN518" s="59">
        <f>F518*AF518</f>
        <v>0</v>
      </c>
      <c r="AO518" s="60" t="s">
        <v>1154</v>
      </c>
      <c r="AP518" s="60" t="s">
        <v>1178</v>
      </c>
      <c r="AQ518" s="49" t="s">
        <v>1182</v>
      </c>
      <c r="AS518" s="59">
        <f>AM518+AN518</f>
        <v>0</v>
      </c>
      <c r="AT518" s="59">
        <f>G518/(100-AU518)*100</f>
        <v>0</v>
      </c>
      <c r="AU518" s="59">
        <v>0</v>
      </c>
      <c r="AV518" s="59">
        <f>L518</f>
        <v>0</v>
      </c>
    </row>
    <row r="519" spans="4:6" ht="12.75">
      <c r="D519" s="28" t="s">
        <v>951</v>
      </c>
      <c r="F519" s="34">
        <v>3.23</v>
      </c>
    </row>
    <row r="520" spans="1:37" ht="12.75">
      <c r="A520" s="11"/>
      <c r="B520" s="24"/>
      <c r="C520" s="24" t="s">
        <v>441</v>
      </c>
      <c r="D520" s="24" t="s">
        <v>952</v>
      </c>
      <c r="E520" s="11" t="s">
        <v>6</v>
      </c>
      <c r="F520" s="11" t="s">
        <v>6</v>
      </c>
      <c r="G520" s="11" t="s">
        <v>6</v>
      </c>
      <c r="H520" s="62">
        <f>SUM(H521:H521)</f>
        <v>0</v>
      </c>
      <c r="I520" s="62">
        <f>SUM(I521:I521)</f>
        <v>0</v>
      </c>
      <c r="J520" s="62">
        <f>H520+I520</f>
        <v>0</v>
      </c>
      <c r="K520" s="49"/>
      <c r="L520" s="62">
        <f>SUM(L521:L521)</f>
        <v>0.12819999999999998</v>
      </c>
      <c r="M520" s="49"/>
      <c r="Y520" s="49"/>
      <c r="AI520" s="62">
        <f>SUM(Z521:Z521)</f>
        <v>0</v>
      </c>
      <c r="AJ520" s="62">
        <f>SUM(AA521:AA521)</f>
        <v>0</v>
      </c>
      <c r="AK520" s="62">
        <f>SUM(AB521:AB521)</f>
        <v>0</v>
      </c>
    </row>
    <row r="521" spans="1:48" ht="12.75">
      <c r="A521" s="10" t="s">
        <v>194</v>
      </c>
      <c r="B521" s="10"/>
      <c r="C521" s="10" t="s">
        <v>442</v>
      </c>
      <c r="D521" s="10" t="s">
        <v>953</v>
      </c>
      <c r="E521" s="10" t="s">
        <v>1086</v>
      </c>
      <c r="F521" s="33">
        <v>128.2</v>
      </c>
      <c r="G521" s="33">
        <v>0</v>
      </c>
      <c r="H521" s="33">
        <f>F521*AE521</f>
        <v>0</v>
      </c>
      <c r="I521" s="33">
        <f>J521-H521</f>
        <v>0</v>
      </c>
      <c r="J521" s="33">
        <f>F521*G521</f>
        <v>0</v>
      </c>
      <c r="K521" s="33">
        <v>0.001</v>
      </c>
      <c r="L521" s="33">
        <f>F521*K521</f>
        <v>0.12819999999999998</v>
      </c>
      <c r="M521" s="55" t="s">
        <v>1113</v>
      </c>
      <c r="P521" s="59">
        <f>IF(AG521="5",J521,0)</f>
        <v>0</v>
      </c>
      <c r="R521" s="59">
        <f>IF(AG521="1",H521,0)</f>
        <v>0</v>
      </c>
      <c r="S521" s="59">
        <f>IF(AG521="1",I521,0)</f>
        <v>0</v>
      </c>
      <c r="T521" s="59">
        <f>IF(AG521="7",H521,0)</f>
        <v>0</v>
      </c>
      <c r="U521" s="59">
        <f>IF(AG521="7",I521,0)</f>
        <v>0</v>
      </c>
      <c r="V521" s="59">
        <f>IF(AG521="2",H521,0)</f>
        <v>0</v>
      </c>
      <c r="W521" s="59">
        <f>IF(AG521="2",I521,0)</f>
        <v>0</v>
      </c>
      <c r="X521" s="59">
        <f>IF(AG521="0",J521,0)</f>
        <v>0</v>
      </c>
      <c r="Y521" s="49"/>
      <c r="Z521" s="33">
        <f>IF(AD521=0,J521,0)</f>
        <v>0</v>
      </c>
      <c r="AA521" s="33">
        <f>IF(AD521=15,J521,0)</f>
        <v>0</v>
      </c>
      <c r="AB521" s="33">
        <f>IF(AD521=21,J521,0)</f>
        <v>0</v>
      </c>
      <c r="AD521" s="59">
        <v>21</v>
      </c>
      <c r="AE521" s="59">
        <f>G521*0</f>
        <v>0</v>
      </c>
      <c r="AF521" s="59">
        <f>G521*(1-0)</f>
        <v>0</v>
      </c>
      <c r="AG521" s="55" t="s">
        <v>13</v>
      </c>
      <c r="AM521" s="59">
        <f>F521*AE521</f>
        <v>0</v>
      </c>
      <c r="AN521" s="59">
        <f>F521*AF521</f>
        <v>0</v>
      </c>
      <c r="AO521" s="60" t="s">
        <v>1155</v>
      </c>
      <c r="AP521" s="60" t="s">
        <v>1178</v>
      </c>
      <c r="AQ521" s="49" t="s">
        <v>1182</v>
      </c>
      <c r="AS521" s="59">
        <f>AM521+AN521</f>
        <v>0</v>
      </c>
      <c r="AT521" s="59">
        <f>G521/(100-AU521)*100</f>
        <v>0</v>
      </c>
      <c r="AU521" s="59">
        <v>0</v>
      </c>
      <c r="AV521" s="59">
        <f>L521</f>
        <v>0.12819999999999998</v>
      </c>
    </row>
    <row r="522" spans="4:6" ht="12.75">
      <c r="D522" s="28" t="s">
        <v>954</v>
      </c>
      <c r="F522" s="34">
        <v>128.2</v>
      </c>
    </row>
    <row r="523" spans="1:37" ht="12.75">
      <c r="A523" s="11"/>
      <c r="B523" s="24"/>
      <c r="C523" s="24" t="s">
        <v>443</v>
      </c>
      <c r="D523" s="24" t="s">
        <v>955</v>
      </c>
      <c r="E523" s="11" t="s">
        <v>6</v>
      </c>
      <c r="F523" s="11" t="s">
        <v>6</v>
      </c>
      <c r="G523" s="11" t="s">
        <v>6</v>
      </c>
      <c r="H523" s="62">
        <f>SUM(H524:H526)</f>
        <v>0</v>
      </c>
      <c r="I523" s="62">
        <f>SUM(I524:I526)</f>
        <v>0</v>
      </c>
      <c r="J523" s="62">
        <f>H523+I523</f>
        <v>0</v>
      </c>
      <c r="K523" s="49"/>
      <c r="L523" s="62">
        <f>SUM(L524:L526)</f>
        <v>5.88714</v>
      </c>
      <c r="M523" s="49"/>
      <c r="Y523" s="49"/>
      <c r="AI523" s="62">
        <f>SUM(Z524:Z526)</f>
        <v>0</v>
      </c>
      <c r="AJ523" s="62">
        <f>SUM(AA524:AA526)</f>
        <v>0</v>
      </c>
      <c r="AK523" s="62">
        <f>SUM(AB524:AB526)</f>
        <v>0</v>
      </c>
    </row>
    <row r="524" spans="1:48" ht="12.75">
      <c r="A524" s="10" t="s">
        <v>195</v>
      </c>
      <c r="B524" s="10"/>
      <c r="C524" s="10" t="s">
        <v>444</v>
      </c>
      <c r="D524" s="10" t="s">
        <v>956</v>
      </c>
      <c r="E524" s="10" t="s">
        <v>1086</v>
      </c>
      <c r="F524" s="33">
        <v>321</v>
      </c>
      <c r="G524" s="33">
        <v>0</v>
      </c>
      <c r="H524" s="33">
        <f>F524*AE524</f>
        <v>0</v>
      </c>
      <c r="I524" s="33">
        <f>J524-H524</f>
        <v>0</v>
      </c>
      <c r="J524" s="33">
        <f>F524*G524</f>
        <v>0</v>
      </c>
      <c r="K524" s="33">
        <v>0.01834</v>
      </c>
      <c r="L524" s="33">
        <f>F524*K524</f>
        <v>5.88714</v>
      </c>
      <c r="M524" s="55" t="s">
        <v>1113</v>
      </c>
      <c r="P524" s="59">
        <f>IF(AG524="5",J524,0)</f>
        <v>0</v>
      </c>
      <c r="R524" s="59">
        <f>IF(AG524="1",H524,0)</f>
        <v>0</v>
      </c>
      <c r="S524" s="59">
        <f>IF(AG524="1",I524,0)</f>
        <v>0</v>
      </c>
      <c r="T524" s="59">
        <f>IF(AG524="7",H524,0)</f>
        <v>0</v>
      </c>
      <c r="U524" s="59">
        <f>IF(AG524="7",I524,0)</f>
        <v>0</v>
      </c>
      <c r="V524" s="59">
        <f>IF(AG524="2",H524,0)</f>
        <v>0</v>
      </c>
      <c r="W524" s="59">
        <f>IF(AG524="2",I524,0)</f>
        <v>0</v>
      </c>
      <c r="X524" s="59">
        <f>IF(AG524="0",J524,0)</f>
        <v>0</v>
      </c>
      <c r="Y524" s="49"/>
      <c r="Z524" s="33">
        <f>IF(AD524=0,J524,0)</f>
        <v>0</v>
      </c>
      <c r="AA524" s="33">
        <f>IF(AD524=15,J524,0)</f>
        <v>0</v>
      </c>
      <c r="AB524" s="33">
        <f>IF(AD524=21,J524,0)</f>
        <v>0</v>
      </c>
      <c r="AD524" s="59">
        <v>21</v>
      </c>
      <c r="AE524" s="59">
        <f>G524*0.61468771878494</f>
        <v>0</v>
      </c>
      <c r="AF524" s="59">
        <f>G524*(1-0.61468771878494)</f>
        <v>0</v>
      </c>
      <c r="AG524" s="55" t="s">
        <v>13</v>
      </c>
      <c r="AM524" s="59">
        <f>F524*AE524</f>
        <v>0</v>
      </c>
      <c r="AN524" s="59">
        <f>F524*AF524</f>
        <v>0</v>
      </c>
      <c r="AO524" s="60" t="s">
        <v>1156</v>
      </c>
      <c r="AP524" s="60" t="s">
        <v>1179</v>
      </c>
      <c r="AQ524" s="49" t="s">
        <v>1182</v>
      </c>
      <c r="AS524" s="59">
        <f>AM524+AN524</f>
        <v>0</v>
      </c>
      <c r="AT524" s="59">
        <f>G524/(100-AU524)*100</f>
        <v>0</v>
      </c>
      <c r="AU524" s="59">
        <v>0</v>
      </c>
      <c r="AV524" s="59">
        <f>L524</f>
        <v>5.88714</v>
      </c>
    </row>
    <row r="525" spans="4:6" ht="12.75">
      <c r="D525" s="28" t="s">
        <v>957</v>
      </c>
      <c r="F525" s="34">
        <v>321</v>
      </c>
    </row>
    <row r="526" spans="1:48" ht="12.75">
      <c r="A526" s="10" t="s">
        <v>196</v>
      </c>
      <c r="B526" s="10"/>
      <c r="C526" s="10" t="s">
        <v>445</v>
      </c>
      <c r="D526" s="10" t="s">
        <v>958</v>
      </c>
      <c r="E526" s="10" t="s">
        <v>1085</v>
      </c>
      <c r="F526" s="33">
        <v>5.887</v>
      </c>
      <c r="G526" s="33">
        <v>0</v>
      </c>
      <c r="H526" s="33">
        <f>F526*AE526</f>
        <v>0</v>
      </c>
      <c r="I526" s="33">
        <f>J526-H526</f>
        <v>0</v>
      </c>
      <c r="J526" s="33">
        <f>F526*G526</f>
        <v>0</v>
      </c>
      <c r="K526" s="33">
        <v>0</v>
      </c>
      <c r="L526" s="33">
        <f>F526*K526</f>
        <v>0</v>
      </c>
      <c r="M526" s="55" t="s">
        <v>1113</v>
      </c>
      <c r="P526" s="59">
        <f>IF(AG526="5",J526,0)</f>
        <v>0</v>
      </c>
      <c r="R526" s="59">
        <f>IF(AG526="1",H526,0)</f>
        <v>0</v>
      </c>
      <c r="S526" s="59">
        <f>IF(AG526="1",I526,0)</f>
        <v>0</v>
      </c>
      <c r="T526" s="59">
        <f>IF(AG526="7",H526,0)</f>
        <v>0</v>
      </c>
      <c r="U526" s="59">
        <f>IF(AG526="7",I526,0)</f>
        <v>0</v>
      </c>
      <c r="V526" s="59">
        <f>IF(AG526="2",H526,0)</f>
        <v>0</v>
      </c>
      <c r="W526" s="59">
        <f>IF(AG526="2",I526,0)</f>
        <v>0</v>
      </c>
      <c r="X526" s="59">
        <f>IF(AG526="0",J526,0)</f>
        <v>0</v>
      </c>
      <c r="Y526" s="49"/>
      <c r="Z526" s="33">
        <f>IF(AD526=0,J526,0)</f>
        <v>0</v>
      </c>
      <c r="AA526" s="33">
        <f>IF(AD526=15,J526,0)</f>
        <v>0</v>
      </c>
      <c r="AB526" s="33">
        <f>IF(AD526=21,J526,0)</f>
        <v>0</v>
      </c>
      <c r="AD526" s="59">
        <v>21</v>
      </c>
      <c r="AE526" s="59">
        <f>G526*0</f>
        <v>0</v>
      </c>
      <c r="AF526" s="59">
        <f>G526*(1-0)</f>
        <v>0</v>
      </c>
      <c r="AG526" s="55" t="s">
        <v>11</v>
      </c>
      <c r="AM526" s="59">
        <f>F526*AE526</f>
        <v>0</v>
      </c>
      <c r="AN526" s="59">
        <f>F526*AF526</f>
        <v>0</v>
      </c>
      <c r="AO526" s="60" t="s">
        <v>1156</v>
      </c>
      <c r="AP526" s="60" t="s">
        <v>1179</v>
      </c>
      <c r="AQ526" s="49" t="s">
        <v>1182</v>
      </c>
      <c r="AS526" s="59">
        <f>AM526+AN526</f>
        <v>0</v>
      </c>
      <c r="AT526" s="59">
        <f>G526/(100-AU526)*100</f>
        <v>0</v>
      </c>
      <c r="AU526" s="59">
        <v>0</v>
      </c>
      <c r="AV526" s="59">
        <f>L526</f>
        <v>0</v>
      </c>
    </row>
    <row r="527" spans="4:6" ht="12.75">
      <c r="D527" s="28" t="s">
        <v>959</v>
      </c>
      <c r="F527" s="34">
        <v>5.887</v>
      </c>
    </row>
    <row r="528" spans="1:37" ht="12.75">
      <c r="A528" s="11"/>
      <c r="B528" s="24"/>
      <c r="C528" s="24" t="s">
        <v>446</v>
      </c>
      <c r="D528" s="24" t="s">
        <v>960</v>
      </c>
      <c r="E528" s="11" t="s">
        <v>6</v>
      </c>
      <c r="F528" s="11" t="s">
        <v>6</v>
      </c>
      <c r="G528" s="11" t="s">
        <v>6</v>
      </c>
      <c r="H528" s="62">
        <f>SUM(H529:H529)</f>
        <v>0</v>
      </c>
      <c r="I528" s="62">
        <f>SUM(I529:I529)</f>
        <v>0</v>
      </c>
      <c r="J528" s="62">
        <f>H528+I528</f>
        <v>0</v>
      </c>
      <c r="K528" s="49"/>
      <c r="L528" s="62">
        <f>SUM(L529:L529)</f>
        <v>0.0005389</v>
      </c>
      <c r="M528" s="49"/>
      <c r="Y528" s="49"/>
      <c r="AI528" s="62">
        <f>SUM(Z529:Z529)</f>
        <v>0</v>
      </c>
      <c r="AJ528" s="62">
        <f>SUM(AA529:AA529)</f>
        <v>0</v>
      </c>
      <c r="AK528" s="62">
        <f>SUM(AB529:AB529)</f>
        <v>0</v>
      </c>
    </row>
    <row r="529" spans="1:48" ht="12.75">
      <c r="A529" s="10" t="s">
        <v>197</v>
      </c>
      <c r="B529" s="10"/>
      <c r="C529" s="10" t="s">
        <v>447</v>
      </c>
      <c r="D529" s="10" t="s">
        <v>961</v>
      </c>
      <c r="E529" s="10" t="s">
        <v>1083</v>
      </c>
      <c r="F529" s="33">
        <v>3.17</v>
      </c>
      <c r="G529" s="33">
        <v>0</v>
      </c>
      <c r="H529" s="33">
        <f>F529*AE529</f>
        <v>0</v>
      </c>
      <c r="I529" s="33">
        <f>J529-H529</f>
        <v>0</v>
      </c>
      <c r="J529" s="33">
        <f>F529*G529</f>
        <v>0</v>
      </c>
      <c r="K529" s="33">
        <v>0.00017</v>
      </c>
      <c r="L529" s="33">
        <f>F529*K529</f>
        <v>0.0005389</v>
      </c>
      <c r="M529" s="55" t="s">
        <v>1114</v>
      </c>
      <c r="P529" s="59">
        <f>IF(AG529="5",J529,0)</f>
        <v>0</v>
      </c>
      <c r="R529" s="59">
        <f>IF(AG529="1",H529,0)</f>
        <v>0</v>
      </c>
      <c r="S529" s="59">
        <f>IF(AG529="1",I529,0)</f>
        <v>0</v>
      </c>
      <c r="T529" s="59">
        <f>IF(AG529="7",H529,0)</f>
        <v>0</v>
      </c>
      <c r="U529" s="59">
        <f>IF(AG529="7",I529,0)</f>
        <v>0</v>
      </c>
      <c r="V529" s="59">
        <f>IF(AG529="2",H529,0)</f>
        <v>0</v>
      </c>
      <c r="W529" s="59">
        <f>IF(AG529="2",I529,0)</f>
        <v>0</v>
      </c>
      <c r="X529" s="59">
        <f>IF(AG529="0",J529,0)</f>
        <v>0</v>
      </c>
      <c r="Y529" s="49"/>
      <c r="Z529" s="33">
        <f>IF(AD529=0,J529,0)</f>
        <v>0</v>
      </c>
      <c r="AA529" s="33">
        <f>IF(AD529=15,J529,0)</f>
        <v>0</v>
      </c>
      <c r="AB529" s="33">
        <f>IF(AD529=21,J529,0)</f>
        <v>0</v>
      </c>
      <c r="AD529" s="59">
        <v>21</v>
      </c>
      <c r="AE529" s="59">
        <f>G529*0.119308072487644</f>
        <v>0</v>
      </c>
      <c r="AF529" s="59">
        <f>G529*(1-0.119308072487644)</f>
        <v>0</v>
      </c>
      <c r="AG529" s="55" t="s">
        <v>13</v>
      </c>
      <c r="AM529" s="59">
        <f>F529*AE529</f>
        <v>0</v>
      </c>
      <c r="AN529" s="59">
        <f>F529*AF529</f>
        <v>0</v>
      </c>
      <c r="AO529" s="60" t="s">
        <v>1157</v>
      </c>
      <c r="AP529" s="60" t="s">
        <v>1179</v>
      </c>
      <c r="AQ529" s="49" t="s">
        <v>1182</v>
      </c>
      <c r="AS529" s="59">
        <f>AM529+AN529</f>
        <v>0</v>
      </c>
      <c r="AT529" s="59">
        <f>G529/(100-AU529)*100</f>
        <v>0</v>
      </c>
      <c r="AU529" s="59">
        <v>0</v>
      </c>
      <c r="AV529" s="59">
        <f>L529</f>
        <v>0.0005389</v>
      </c>
    </row>
    <row r="530" spans="4:6" ht="12.75">
      <c r="D530" s="28" t="s">
        <v>841</v>
      </c>
      <c r="F530" s="34">
        <v>3.17</v>
      </c>
    </row>
    <row r="531" spans="1:37" ht="12.75">
      <c r="A531" s="11"/>
      <c r="B531" s="24"/>
      <c r="C531" s="24" t="s">
        <v>448</v>
      </c>
      <c r="D531" s="24" t="s">
        <v>962</v>
      </c>
      <c r="E531" s="11" t="s">
        <v>6</v>
      </c>
      <c r="F531" s="11" t="s">
        <v>6</v>
      </c>
      <c r="G531" s="11" t="s">
        <v>6</v>
      </c>
      <c r="H531" s="62">
        <f>SUM(H532:H542)</f>
        <v>0</v>
      </c>
      <c r="I531" s="62">
        <f>SUM(I532:I542)</f>
        <v>0</v>
      </c>
      <c r="J531" s="62">
        <f>H531+I531</f>
        <v>0</v>
      </c>
      <c r="K531" s="49"/>
      <c r="L531" s="62">
        <f>SUM(L532:L542)</f>
        <v>1.2308454</v>
      </c>
      <c r="M531" s="49"/>
      <c r="Y531" s="49"/>
      <c r="AI531" s="62">
        <f>SUM(Z532:Z542)</f>
        <v>0</v>
      </c>
      <c r="AJ531" s="62">
        <f>SUM(AA532:AA542)</f>
        <v>0</v>
      </c>
      <c r="AK531" s="62">
        <f>SUM(AB532:AB542)</f>
        <v>0</v>
      </c>
    </row>
    <row r="532" spans="1:48" ht="12.75">
      <c r="A532" s="10" t="s">
        <v>198</v>
      </c>
      <c r="B532" s="10"/>
      <c r="C532" s="10" t="s">
        <v>449</v>
      </c>
      <c r="D532" s="10" t="s">
        <v>963</v>
      </c>
      <c r="E532" s="10" t="s">
        <v>1086</v>
      </c>
      <c r="F532" s="33">
        <v>2735.212</v>
      </c>
      <c r="G532" s="33">
        <v>0</v>
      </c>
      <c r="H532" s="33">
        <f>F532*AE532</f>
        <v>0</v>
      </c>
      <c r="I532" s="33">
        <f>J532-H532</f>
        <v>0</v>
      </c>
      <c r="J532" s="33">
        <f>F532*G532</f>
        <v>0</v>
      </c>
      <c r="K532" s="33">
        <v>0.00015</v>
      </c>
      <c r="L532" s="33">
        <f>F532*K532</f>
        <v>0.4102818</v>
      </c>
      <c r="M532" s="55" t="s">
        <v>1113</v>
      </c>
      <c r="P532" s="59">
        <f>IF(AG532="5",J532,0)</f>
        <v>0</v>
      </c>
      <c r="R532" s="59">
        <f>IF(AG532="1",H532,0)</f>
        <v>0</v>
      </c>
      <c r="S532" s="59">
        <f>IF(AG532="1",I532,0)</f>
        <v>0</v>
      </c>
      <c r="T532" s="59">
        <f>IF(AG532="7",H532,0)</f>
        <v>0</v>
      </c>
      <c r="U532" s="59">
        <f>IF(AG532="7",I532,0)</f>
        <v>0</v>
      </c>
      <c r="V532" s="59">
        <f>IF(AG532="2",H532,0)</f>
        <v>0</v>
      </c>
      <c r="W532" s="59">
        <f>IF(AG532="2",I532,0)</f>
        <v>0</v>
      </c>
      <c r="X532" s="59">
        <f>IF(AG532="0",J532,0)</f>
        <v>0</v>
      </c>
      <c r="Y532" s="49"/>
      <c r="Z532" s="33">
        <f>IF(AD532=0,J532,0)</f>
        <v>0</v>
      </c>
      <c r="AA532" s="33">
        <f>IF(AD532=15,J532,0)</f>
        <v>0</v>
      </c>
      <c r="AB532" s="33">
        <f>IF(AD532=21,J532,0)</f>
        <v>0</v>
      </c>
      <c r="AD532" s="59">
        <v>21</v>
      </c>
      <c r="AE532" s="59">
        <f>G532*0.326785725664156</f>
        <v>0</v>
      </c>
      <c r="AF532" s="59">
        <f>G532*(1-0.326785725664156)</f>
        <v>0</v>
      </c>
      <c r="AG532" s="55" t="s">
        <v>13</v>
      </c>
      <c r="AM532" s="59">
        <f>F532*AE532</f>
        <v>0</v>
      </c>
      <c r="AN532" s="59">
        <f>F532*AF532</f>
        <v>0</v>
      </c>
      <c r="AO532" s="60" t="s">
        <v>1158</v>
      </c>
      <c r="AP532" s="60" t="s">
        <v>1179</v>
      </c>
      <c r="AQ532" s="49" t="s">
        <v>1182</v>
      </c>
      <c r="AS532" s="59">
        <f>AM532+AN532</f>
        <v>0</v>
      </c>
      <c r="AT532" s="59">
        <f>G532/(100-AU532)*100</f>
        <v>0</v>
      </c>
      <c r="AU532" s="59">
        <v>0</v>
      </c>
      <c r="AV532" s="59">
        <f>L532</f>
        <v>0.4102818</v>
      </c>
    </row>
    <row r="533" spans="4:6" ht="12.75">
      <c r="D533" s="28" t="s">
        <v>964</v>
      </c>
      <c r="F533" s="34">
        <v>525.55</v>
      </c>
    </row>
    <row r="534" spans="4:6" ht="12.75">
      <c r="D534" s="28" t="s">
        <v>965</v>
      </c>
      <c r="F534" s="34">
        <v>314.88</v>
      </c>
    </row>
    <row r="535" spans="4:6" ht="12.75">
      <c r="D535" s="28" t="s">
        <v>966</v>
      </c>
      <c r="F535" s="34">
        <v>104.4</v>
      </c>
    </row>
    <row r="536" spans="4:6" ht="12.75">
      <c r="D536" s="28" t="s">
        <v>967</v>
      </c>
      <c r="F536" s="34">
        <v>42.3</v>
      </c>
    </row>
    <row r="537" spans="4:6" ht="12.75">
      <c r="D537" s="28" t="s">
        <v>968</v>
      </c>
      <c r="F537" s="34">
        <v>918</v>
      </c>
    </row>
    <row r="538" spans="4:6" ht="12.75">
      <c r="D538" s="28" t="s">
        <v>969</v>
      </c>
      <c r="F538" s="34">
        <v>544.986</v>
      </c>
    </row>
    <row r="539" spans="4:6" ht="12.75">
      <c r="D539" s="28" t="s">
        <v>970</v>
      </c>
      <c r="F539" s="34">
        <v>285.096</v>
      </c>
    </row>
    <row r="540" spans="1:48" ht="12.75">
      <c r="A540" s="10" t="s">
        <v>199</v>
      </c>
      <c r="B540" s="10"/>
      <c r="C540" s="10" t="s">
        <v>450</v>
      </c>
      <c r="D540" s="10" t="s">
        <v>971</v>
      </c>
      <c r="E540" s="10" t="s">
        <v>1086</v>
      </c>
      <c r="F540" s="33">
        <v>2735.212</v>
      </c>
      <c r="G540" s="33">
        <v>0</v>
      </c>
      <c r="H540" s="33">
        <f>F540*AE540</f>
        <v>0</v>
      </c>
      <c r="I540" s="33">
        <f>J540-H540</f>
        <v>0</v>
      </c>
      <c r="J540" s="33">
        <f>F540*G540</f>
        <v>0</v>
      </c>
      <c r="K540" s="33">
        <v>0.0003</v>
      </c>
      <c r="L540" s="33">
        <f>F540*K540</f>
        <v>0.8205636</v>
      </c>
      <c r="M540" s="55" t="s">
        <v>1113</v>
      </c>
      <c r="P540" s="59">
        <f>IF(AG540="5",J540,0)</f>
        <v>0</v>
      </c>
      <c r="R540" s="59">
        <f>IF(AG540="1",H540,0)</f>
        <v>0</v>
      </c>
      <c r="S540" s="59">
        <f>IF(AG540="1",I540,0)</f>
        <v>0</v>
      </c>
      <c r="T540" s="59">
        <f>IF(AG540="7",H540,0)</f>
        <v>0</v>
      </c>
      <c r="U540" s="59">
        <f>IF(AG540="7",I540,0)</f>
        <v>0</v>
      </c>
      <c r="V540" s="59">
        <f>IF(AG540="2",H540,0)</f>
        <v>0</v>
      </c>
      <c r="W540" s="59">
        <f>IF(AG540="2",I540,0)</f>
        <v>0</v>
      </c>
      <c r="X540" s="59">
        <f>IF(AG540="0",J540,0)</f>
        <v>0</v>
      </c>
      <c r="Y540" s="49"/>
      <c r="Z540" s="33">
        <f>IF(AD540=0,J540,0)</f>
        <v>0</v>
      </c>
      <c r="AA540" s="33">
        <f>IF(AD540=15,J540,0)</f>
        <v>0</v>
      </c>
      <c r="AB540" s="33">
        <f>IF(AD540=21,J540,0)</f>
        <v>0</v>
      </c>
      <c r="AD540" s="59">
        <v>21</v>
      </c>
      <c r="AE540" s="59">
        <f>G540*0.154582761173128</f>
        <v>0</v>
      </c>
      <c r="AF540" s="59">
        <f>G540*(1-0.154582761173128)</f>
        <v>0</v>
      </c>
      <c r="AG540" s="55" t="s">
        <v>13</v>
      </c>
      <c r="AM540" s="59">
        <f>F540*AE540</f>
        <v>0</v>
      </c>
      <c r="AN540" s="59">
        <f>F540*AF540</f>
        <v>0</v>
      </c>
      <c r="AO540" s="60" t="s">
        <v>1158</v>
      </c>
      <c r="AP540" s="60" t="s">
        <v>1179</v>
      </c>
      <c r="AQ540" s="49" t="s">
        <v>1182</v>
      </c>
      <c r="AS540" s="59">
        <f>AM540+AN540</f>
        <v>0</v>
      </c>
      <c r="AT540" s="59">
        <f>G540/(100-AU540)*100</f>
        <v>0</v>
      </c>
      <c r="AU540" s="59">
        <v>0</v>
      </c>
      <c r="AV540" s="59">
        <f>L540</f>
        <v>0.8205636</v>
      </c>
    </row>
    <row r="541" spans="4:6" ht="12.75">
      <c r="D541" s="28" t="s">
        <v>972</v>
      </c>
      <c r="F541" s="34">
        <v>2735.212</v>
      </c>
    </row>
    <row r="542" spans="1:48" ht="12.75">
      <c r="A542" s="10" t="s">
        <v>200</v>
      </c>
      <c r="B542" s="10"/>
      <c r="C542" s="10" t="s">
        <v>451</v>
      </c>
      <c r="D542" s="10" t="s">
        <v>973</v>
      </c>
      <c r="E542" s="10" t="s">
        <v>1086</v>
      </c>
      <c r="F542" s="33">
        <v>1335.24</v>
      </c>
      <c r="G542" s="33">
        <v>0</v>
      </c>
      <c r="H542" s="33">
        <f>F542*AE542</f>
        <v>0</v>
      </c>
      <c r="I542" s="33">
        <f>J542-H542</f>
        <v>0</v>
      </c>
      <c r="J542" s="33">
        <f>F542*G542</f>
        <v>0</v>
      </c>
      <c r="K542" s="33">
        <v>0</v>
      </c>
      <c r="L542" s="33">
        <f>F542*K542</f>
        <v>0</v>
      </c>
      <c r="M542" s="55" t="s">
        <v>1115</v>
      </c>
      <c r="P542" s="59">
        <f>IF(AG542="5",J542,0)</f>
        <v>0</v>
      </c>
      <c r="R542" s="59">
        <f>IF(AG542="1",H542,0)</f>
        <v>0</v>
      </c>
      <c r="S542" s="59">
        <f>IF(AG542="1",I542,0)</f>
        <v>0</v>
      </c>
      <c r="T542" s="59">
        <f>IF(AG542="7",H542,0)</f>
        <v>0</v>
      </c>
      <c r="U542" s="59">
        <f>IF(AG542="7",I542,0)</f>
        <v>0</v>
      </c>
      <c r="V542" s="59">
        <f>IF(AG542="2",H542,0)</f>
        <v>0</v>
      </c>
      <c r="W542" s="59">
        <f>IF(AG542="2",I542,0)</f>
        <v>0</v>
      </c>
      <c r="X542" s="59">
        <f>IF(AG542="0",J542,0)</f>
        <v>0</v>
      </c>
      <c r="Y542" s="49"/>
      <c r="Z542" s="33">
        <f>IF(AD542=0,J542,0)</f>
        <v>0</v>
      </c>
      <c r="AA542" s="33">
        <f>IF(AD542=15,J542,0)</f>
        <v>0</v>
      </c>
      <c r="AB542" s="33">
        <f>IF(AD542=21,J542,0)</f>
        <v>0</v>
      </c>
      <c r="AD542" s="59">
        <v>21</v>
      </c>
      <c r="AE542" s="59">
        <f>G542*0.00329549655289672</f>
        <v>0</v>
      </c>
      <c r="AF542" s="59">
        <f>G542*(1-0.00329549655289672)</f>
        <v>0</v>
      </c>
      <c r="AG542" s="55" t="s">
        <v>13</v>
      </c>
      <c r="AM542" s="59">
        <f>F542*AE542</f>
        <v>0</v>
      </c>
      <c r="AN542" s="59">
        <f>F542*AF542</f>
        <v>0</v>
      </c>
      <c r="AO542" s="60" t="s">
        <v>1158</v>
      </c>
      <c r="AP542" s="60" t="s">
        <v>1179</v>
      </c>
      <c r="AQ542" s="49" t="s">
        <v>1182</v>
      </c>
      <c r="AS542" s="59">
        <f>AM542+AN542</f>
        <v>0</v>
      </c>
      <c r="AT542" s="59">
        <f>G542/(100-AU542)*100</f>
        <v>0</v>
      </c>
      <c r="AU542" s="59">
        <v>0</v>
      </c>
      <c r="AV542" s="59">
        <f>L542</f>
        <v>0</v>
      </c>
    </row>
    <row r="543" spans="4:6" ht="12.75">
      <c r="D543" s="28" t="s">
        <v>974</v>
      </c>
      <c r="F543" s="34">
        <v>1183.66</v>
      </c>
    </row>
    <row r="544" spans="4:6" ht="12.75">
      <c r="D544" s="28" t="s">
        <v>975</v>
      </c>
      <c r="F544" s="34">
        <v>151.58</v>
      </c>
    </row>
    <row r="545" spans="1:37" ht="12.75">
      <c r="A545" s="11"/>
      <c r="B545" s="24"/>
      <c r="C545" s="24" t="s">
        <v>452</v>
      </c>
      <c r="D545" s="24" t="s">
        <v>976</v>
      </c>
      <c r="E545" s="11" t="s">
        <v>6</v>
      </c>
      <c r="F545" s="11" t="s">
        <v>6</v>
      </c>
      <c r="G545" s="11" t="s">
        <v>6</v>
      </c>
      <c r="H545" s="62">
        <f>SUM(H546:H546)</f>
        <v>0</v>
      </c>
      <c r="I545" s="62">
        <f>SUM(I546:I546)</f>
        <v>0</v>
      </c>
      <c r="J545" s="62">
        <f>H545+I545</f>
        <v>0</v>
      </c>
      <c r="K545" s="49"/>
      <c r="L545" s="62">
        <f>SUM(L546:L546)</f>
        <v>0</v>
      </c>
      <c r="M545" s="49"/>
      <c r="Y545" s="49"/>
      <c r="AI545" s="62">
        <f>SUM(Z546:Z546)</f>
        <v>0</v>
      </c>
      <c r="AJ545" s="62">
        <f>SUM(AA546:AA546)</f>
        <v>0</v>
      </c>
      <c r="AK545" s="62">
        <f>SUM(AB546:AB546)</f>
        <v>0</v>
      </c>
    </row>
    <row r="546" spans="1:48" ht="12.75">
      <c r="A546" s="10" t="s">
        <v>201</v>
      </c>
      <c r="B546" s="10"/>
      <c r="C546" s="10" t="s">
        <v>453</v>
      </c>
      <c r="D546" s="10" t="s">
        <v>977</v>
      </c>
      <c r="E546" s="10" t="s">
        <v>1089</v>
      </c>
      <c r="F546" s="33">
        <v>1</v>
      </c>
      <c r="G546" s="33">
        <v>0</v>
      </c>
      <c r="H546" s="33">
        <f>F546*AE546</f>
        <v>0</v>
      </c>
      <c r="I546" s="33">
        <f>J546-H546</f>
        <v>0</v>
      </c>
      <c r="J546" s="33">
        <f>F546*G546</f>
        <v>0</v>
      </c>
      <c r="K546" s="33">
        <v>0</v>
      </c>
      <c r="L546" s="33">
        <f>F546*K546</f>
        <v>0</v>
      </c>
      <c r="M546" s="55" t="s">
        <v>1113</v>
      </c>
      <c r="P546" s="59">
        <f>IF(AG546="5",J546,0)</f>
        <v>0</v>
      </c>
      <c r="R546" s="59">
        <f>IF(AG546="1",H546,0)</f>
        <v>0</v>
      </c>
      <c r="S546" s="59">
        <f>IF(AG546="1",I546,0)</f>
        <v>0</v>
      </c>
      <c r="T546" s="59">
        <f>IF(AG546="7",H546,0)</f>
        <v>0</v>
      </c>
      <c r="U546" s="59">
        <f>IF(AG546="7",I546,0)</f>
        <v>0</v>
      </c>
      <c r="V546" s="59">
        <f>IF(AG546="2",H546,0)</f>
        <v>0</v>
      </c>
      <c r="W546" s="59">
        <f>IF(AG546="2",I546,0)</f>
        <v>0</v>
      </c>
      <c r="X546" s="59">
        <f>IF(AG546="0",J546,0)</f>
        <v>0</v>
      </c>
      <c r="Y546" s="49"/>
      <c r="Z546" s="33">
        <f>IF(AD546=0,J546,0)</f>
        <v>0</v>
      </c>
      <c r="AA546" s="33">
        <f>IF(AD546=15,J546,0)</f>
        <v>0</v>
      </c>
      <c r="AB546" s="33">
        <f>IF(AD546=21,J546,0)</f>
        <v>0</v>
      </c>
      <c r="AD546" s="59">
        <v>21</v>
      </c>
      <c r="AE546" s="59">
        <f>G546*0</f>
        <v>0</v>
      </c>
      <c r="AF546" s="59">
        <f>G546*(1-0)</f>
        <v>0</v>
      </c>
      <c r="AG546" s="55" t="s">
        <v>13</v>
      </c>
      <c r="AM546" s="59">
        <f>F546*AE546</f>
        <v>0</v>
      </c>
      <c r="AN546" s="59">
        <f>F546*AF546</f>
        <v>0</v>
      </c>
      <c r="AO546" s="60" t="s">
        <v>1159</v>
      </c>
      <c r="AP546" s="60" t="s">
        <v>1180</v>
      </c>
      <c r="AQ546" s="49" t="s">
        <v>1182</v>
      </c>
      <c r="AS546" s="59">
        <f>AM546+AN546</f>
        <v>0</v>
      </c>
      <c r="AT546" s="59">
        <f>G546/(100-AU546)*100</f>
        <v>0</v>
      </c>
      <c r="AU546" s="59">
        <v>0</v>
      </c>
      <c r="AV546" s="59">
        <f>L546</f>
        <v>0</v>
      </c>
    </row>
    <row r="547" spans="4:6" ht="12.75">
      <c r="D547" s="28" t="s">
        <v>978</v>
      </c>
      <c r="F547" s="34">
        <v>1</v>
      </c>
    </row>
    <row r="548" spans="1:37" ht="12.75">
      <c r="A548" s="11"/>
      <c r="B548" s="24"/>
      <c r="C548" s="24" t="s">
        <v>100</v>
      </c>
      <c r="D548" s="24" t="s">
        <v>979</v>
      </c>
      <c r="E548" s="11" t="s">
        <v>6</v>
      </c>
      <c r="F548" s="11" t="s">
        <v>6</v>
      </c>
      <c r="G548" s="11" t="s">
        <v>6</v>
      </c>
      <c r="H548" s="62">
        <f>SUM(H549:H553)</f>
        <v>0</v>
      </c>
      <c r="I548" s="62">
        <f>SUM(I549:I553)</f>
        <v>0</v>
      </c>
      <c r="J548" s="62">
        <f>H548+I548</f>
        <v>0</v>
      </c>
      <c r="K548" s="49"/>
      <c r="L548" s="62">
        <f>SUM(L549:L553)</f>
        <v>0.6730069999999999</v>
      </c>
      <c r="M548" s="49"/>
      <c r="Y548" s="49"/>
      <c r="AI548" s="62">
        <f>SUM(Z549:Z553)</f>
        <v>0</v>
      </c>
      <c r="AJ548" s="62">
        <f>SUM(AA549:AA553)</f>
        <v>0</v>
      </c>
      <c r="AK548" s="62">
        <f>SUM(AB549:AB553)</f>
        <v>0</v>
      </c>
    </row>
    <row r="549" spans="1:48" ht="12.75">
      <c r="A549" s="10" t="s">
        <v>202</v>
      </c>
      <c r="B549" s="10"/>
      <c r="C549" s="10" t="s">
        <v>454</v>
      </c>
      <c r="D549" s="10" t="s">
        <v>980</v>
      </c>
      <c r="E549" s="10" t="s">
        <v>1086</v>
      </c>
      <c r="F549" s="33">
        <v>54</v>
      </c>
      <c r="G549" s="33">
        <v>0</v>
      </c>
      <c r="H549" s="33">
        <f>F549*AE549</f>
        <v>0</v>
      </c>
      <c r="I549" s="33">
        <f>J549-H549</f>
        <v>0</v>
      </c>
      <c r="J549" s="33">
        <f>F549*G549</f>
        <v>0</v>
      </c>
      <c r="K549" s="33">
        <v>0.00214</v>
      </c>
      <c r="L549" s="33">
        <f>F549*K549</f>
        <v>0.11556</v>
      </c>
      <c r="M549" s="55" t="s">
        <v>1113</v>
      </c>
      <c r="P549" s="59">
        <f>IF(AG549="5",J549,0)</f>
        <v>0</v>
      </c>
      <c r="R549" s="59">
        <f>IF(AG549="1",H549,0)</f>
        <v>0</v>
      </c>
      <c r="S549" s="59">
        <f>IF(AG549="1",I549,0)</f>
        <v>0</v>
      </c>
      <c r="T549" s="59">
        <f>IF(AG549="7",H549,0)</f>
        <v>0</v>
      </c>
      <c r="U549" s="59">
        <f>IF(AG549="7",I549,0)</f>
        <v>0</v>
      </c>
      <c r="V549" s="59">
        <f>IF(AG549="2",H549,0)</f>
        <v>0</v>
      </c>
      <c r="W549" s="59">
        <f>IF(AG549="2",I549,0)</f>
        <v>0</v>
      </c>
      <c r="X549" s="59">
        <f>IF(AG549="0",J549,0)</f>
        <v>0</v>
      </c>
      <c r="Y549" s="49"/>
      <c r="Z549" s="33">
        <f>IF(AD549=0,J549,0)</f>
        <v>0</v>
      </c>
      <c r="AA549" s="33">
        <f>IF(AD549=15,J549,0)</f>
        <v>0</v>
      </c>
      <c r="AB549" s="33">
        <f>IF(AD549=21,J549,0)</f>
        <v>0</v>
      </c>
      <c r="AD549" s="59">
        <v>21</v>
      </c>
      <c r="AE549" s="59">
        <f>G549*0.284506577590828</f>
        <v>0</v>
      </c>
      <c r="AF549" s="59">
        <f>G549*(1-0.284506577590828)</f>
        <v>0</v>
      </c>
      <c r="AG549" s="55" t="s">
        <v>7</v>
      </c>
      <c r="AM549" s="59">
        <f>F549*AE549</f>
        <v>0</v>
      </c>
      <c r="AN549" s="59">
        <f>F549*AF549</f>
        <v>0</v>
      </c>
      <c r="AO549" s="60" t="s">
        <v>1160</v>
      </c>
      <c r="AP549" s="60" t="s">
        <v>1181</v>
      </c>
      <c r="AQ549" s="49" t="s">
        <v>1182</v>
      </c>
      <c r="AS549" s="59">
        <f>AM549+AN549</f>
        <v>0</v>
      </c>
      <c r="AT549" s="59">
        <f>G549/(100-AU549)*100</f>
        <v>0</v>
      </c>
      <c r="AU549" s="59">
        <v>0</v>
      </c>
      <c r="AV549" s="59">
        <f>L549</f>
        <v>0.11556</v>
      </c>
    </row>
    <row r="550" spans="4:6" ht="12.75">
      <c r="D550" s="28" t="s">
        <v>981</v>
      </c>
      <c r="F550" s="34">
        <v>54</v>
      </c>
    </row>
    <row r="551" spans="1:48" ht="12.75">
      <c r="A551" s="10" t="s">
        <v>203</v>
      </c>
      <c r="B551" s="10"/>
      <c r="C551" s="10" t="s">
        <v>455</v>
      </c>
      <c r="D551" s="10" t="s">
        <v>982</v>
      </c>
      <c r="E551" s="10" t="s">
        <v>1086</v>
      </c>
      <c r="F551" s="33">
        <v>460.7</v>
      </c>
      <c r="G551" s="33">
        <v>0</v>
      </c>
      <c r="H551" s="33">
        <f>F551*AE551</f>
        <v>0</v>
      </c>
      <c r="I551" s="33">
        <f>J551-H551</f>
        <v>0</v>
      </c>
      <c r="J551" s="33">
        <f>F551*G551</f>
        <v>0</v>
      </c>
      <c r="K551" s="33">
        <v>0.00121</v>
      </c>
      <c r="L551" s="33">
        <f>F551*K551</f>
        <v>0.5574469999999999</v>
      </c>
      <c r="M551" s="55" t="s">
        <v>1113</v>
      </c>
      <c r="P551" s="59">
        <f>IF(AG551="5",J551,0)</f>
        <v>0</v>
      </c>
      <c r="R551" s="59">
        <f>IF(AG551="1",H551,0)</f>
        <v>0</v>
      </c>
      <c r="S551" s="59">
        <f>IF(AG551="1",I551,0)</f>
        <v>0</v>
      </c>
      <c r="T551" s="59">
        <f>IF(AG551="7",H551,0)</f>
        <v>0</v>
      </c>
      <c r="U551" s="59">
        <f>IF(AG551="7",I551,0)</f>
        <v>0</v>
      </c>
      <c r="V551" s="59">
        <f>IF(AG551="2",H551,0)</f>
        <v>0</v>
      </c>
      <c r="W551" s="59">
        <f>IF(AG551="2",I551,0)</f>
        <v>0</v>
      </c>
      <c r="X551" s="59">
        <f>IF(AG551="0",J551,0)</f>
        <v>0</v>
      </c>
      <c r="Y551" s="49"/>
      <c r="Z551" s="33">
        <f>IF(AD551=0,J551,0)</f>
        <v>0</v>
      </c>
      <c r="AA551" s="33">
        <f>IF(AD551=15,J551,0)</f>
        <v>0</v>
      </c>
      <c r="AB551" s="33">
        <f>IF(AD551=21,J551,0)</f>
        <v>0</v>
      </c>
      <c r="AD551" s="59">
        <v>21</v>
      </c>
      <c r="AE551" s="59">
        <f>G551*0.392890442890443</f>
        <v>0</v>
      </c>
      <c r="AF551" s="59">
        <f>G551*(1-0.392890442890443)</f>
        <v>0</v>
      </c>
      <c r="AG551" s="55" t="s">
        <v>7</v>
      </c>
      <c r="AM551" s="59">
        <f>F551*AE551</f>
        <v>0</v>
      </c>
      <c r="AN551" s="59">
        <f>F551*AF551</f>
        <v>0</v>
      </c>
      <c r="AO551" s="60" t="s">
        <v>1160</v>
      </c>
      <c r="AP551" s="60" t="s">
        <v>1181</v>
      </c>
      <c r="AQ551" s="49" t="s">
        <v>1182</v>
      </c>
      <c r="AS551" s="59">
        <f>AM551+AN551</f>
        <v>0</v>
      </c>
      <c r="AT551" s="59">
        <f>G551/(100-AU551)*100</f>
        <v>0</v>
      </c>
      <c r="AU551" s="59">
        <v>0</v>
      </c>
      <c r="AV551" s="59">
        <f>L551</f>
        <v>0.5574469999999999</v>
      </c>
    </row>
    <row r="552" spans="4:6" ht="12.75">
      <c r="D552" s="28" t="s">
        <v>983</v>
      </c>
      <c r="F552" s="34">
        <v>460.7</v>
      </c>
    </row>
    <row r="553" spans="1:48" ht="12.75">
      <c r="A553" s="10" t="s">
        <v>204</v>
      </c>
      <c r="B553" s="10"/>
      <c r="C553" s="10" t="s">
        <v>456</v>
      </c>
      <c r="D553" s="10" t="s">
        <v>984</v>
      </c>
      <c r="E553" s="10" t="s">
        <v>1089</v>
      </c>
      <c r="F553" s="33">
        <v>1</v>
      </c>
      <c r="G553" s="33">
        <v>0</v>
      </c>
      <c r="H553" s="33">
        <f>F553*AE553</f>
        <v>0</v>
      </c>
      <c r="I553" s="33">
        <f>J553-H553</f>
        <v>0</v>
      </c>
      <c r="J553" s="33">
        <f>F553*G553</f>
        <v>0</v>
      </c>
      <c r="K553" s="33">
        <v>0</v>
      </c>
      <c r="L553" s="33">
        <f>F553*K553</f>
        <v>0</v>
      </c>
      <c r="M553" s="55" t="s">
        <v>1113</v>
      </c>
      <c r="P553" s="59">
        <f>IF(AG553="5",J553,0)</f>
        <v>0</v>
      </c>
      <c r="R553" s="59">
        <f>IF(AG553="1",H553,0)</f>
        <v>0</v>
      </c>
      <c r="S553" s="59">
        <f>IF(AG553="1",I553,0)</f>
        <v>0</v>
      </c>
      <c r="T553" s="59">
        <f>IF(AG553="7",H553,0)</f>
        <v>0</v>
      </c>
      <c r="U553" s="59">
        <f>IF(AG553="7",I553,0)</f>
        <v>0</v>
      </c>
      <c r="V553" s="59">
        <f>IF(AG553="2",H553,0)</f>
        <v>0</v>
      </c>
      <c r="W553" s="59">
        <f>IF(AG553="2",I553,0)</f>
        <v>0</v>
      </c>
      <c r="X553" s="59">
        <f>IF(AG553="0",J553,0)</f>
        <v>0</v>
      </c>
      <c r="Y553" s="49"/>
      <c r="Z553" s="33">
        <f>IF(AD553=0,J553,0)</f>
        <v>0</v>
      </c>
      <c r="AA553" s="33">
        <f>IF(AD553=15,J553,0)</f>
        <v>0</v>
      </c>
      <c r="AB553" s="33">
        <f>IF(AD553=21,J553,0)</f>
        <v>0</v>
      </c>
      <c r="AD553" s="59">
        <v>21</v>
      </c>
      <c r="AE553" s="59">
        <f>G553*0</f>
        <v>0</v>
      </c>
      <c r="AF553" s="59">
        <f>G553*(1-0)</f>
        <v>0</v>
      </c>
      <c r="AG553" s="55" t="s">
        <v>7</v>
      </c>
      <c r="AM553" s="59">
        <f>F553*AE553</f>
        <v>0</v>
      </c>
      <c r="AN553" s="59">
        <f>F553*AF553</f>
        <v>0</v>
      </c>
      <c r="AO553" s="60" t="s">
        <v>1160</v>
      </c>
      <c r="AP553" s="60" t="s">
        <v>1181</v>
      </c>
      <c r="AQ553" s="49" t="s">
        <v>1182</v>
      </c>
      <c r="AS553" s="59">
        <f>AM553+AN553</f>
        <v>0</v>
      </c>
      <c r="AT553" s="59">
        <f>G553/(100-AU553)*100</f>
        <v>0</v>
      </c>
      <c r="AU553" s="59">
        <v>0</v>
      </c>
      <c r="AV553" s="59">
        <f>L553</f>
        <v>0</v>
      </c>
    </row>
    <row r="554" spans="4:6" ht="12.75">
      <c r="D554" s="28" t="s">
        <v>985</v>
      </c>
      <c r="F554" s="34">
        <v>1</v>
      </c>
    </row>
    <row r="555" spans="1:37" ht="12.75">
      <c r="A555" s="11"/>
      <c r="B555" s="24"/>
      <c r="C555" s="24" t="s">
        <v>101</v>
      </c>
      <c r="D555" s="24" t="s">
        <v>986</v>
      </c>
      <c r="E555" s="11" t="s">
        <v>6</v>
      </c>
      <c r="F555" s="11" t="s">
        <v>6</v>
      </c>
      <c r="G555" s="11" t="s">
        <v>6</v>
      </c>
      <c r="H555" s="62">
        <f>SUM(H556:H560)</f>
        <v>0</v>
      </c>
      <c r="I555" s="62">
        <f>SUM(I556:I560)</f>
        <v>0</v>
      </c>
      <c r="J555" s="62">
        <f>H555+I555</f>
        <v>0</v>
      </c>
      <c r="K555" s="49"/>
      <c r="L555" s="62">
        <f>SUM(L556:L560)</f>
        <v>0.067568</v>
      </c>
      <c r="M555" s="49"/>
      <c r="Y555" s="49"/>
      <c r="AI555" s="62">
        <f>SUM(Z556:Z560)</f>
        <v>0</v>
      </c>
      <c r="AJ555" s="62">
        <f>SUM(AA556:AA560)</f>
        <v>0</v>
      </c>
      <c r="AK555" s="62">
        <f>SUM(AB556:AB560)</f>
        <v>0</v>
      </c>
    </row>
    <row r="556" spans="1:48" ht="12.75">
      <c r="A556" s="10" t="s">
        <v>205</v>
      </c>
      <c r="B556" s="10"/>
      <c r="C556" s="10" t="s">
        <v>457</v>
      </c>
      <c r="D556" s="10" t="s">
        <v>987</v>
      </c>
      <c r="E556" s="10" t="s">
        <v>1086</v>
      </c>
      <c r="F556" s="33">
        <v>460.7</v>
      </c>
      <c r="G556" s="33">
        <v>0</v>
      </c>
      <c r="H556" s="33">
        <f>F556*AE556</f>
        <v>0</v>
      </c>
      <c r="I556" s="33">
        <f>J556-H556</f>
        <v>0</v>
      </c>
      <c r="J556" s="33">
        <f>F556*G556</f>
        <v>0</v>
      </c>
      <c r="K556" s="33">
        <v>4E-05</v>
      </c>
      <c r="L556" s="33">
        <f>F556*K556</f>
        <v>0.018428</v>
      </c>
      <c r="M556" s="55" t="s">
        <v>1113</v>
      </c>
      <c r="P556" s="59">
        <f>IF(AG556="5",J556,0)</f>
        <v>0</v>
      </c>
      <c r="R556" s="59">
        <f>IF(AG556="1",H556,0)</f>
        <v>0</v>
      </c>
      <c r="S556" s="59">
        <f>IF(AG556="1",I556,0)</f>
        <v>0</v>
      </c>
      <c r="T556" s="59">
        <f>IF(AG556="7",H556,0)</f>
        <v>0</v>
      </c>
      <c r="U556" s="59">
        <f>IF(AG556="7",I556,0)</f>
        <v>0</v>
      </c>
      <c r="V556" s="59">
        <f>IF(AG556="2",H556,0)</f>
        <v>0</v>
      </c>
      <c r="W556" s="59">
        <f>IF(AG556="2",I556,0)</f>
        <v>0</v>
      </c>
      <c r="X556" s="59">
        <f>IF(AG556="0",J556,0)</f>
        <v>0</v>
      </c>
      <c r="Y556" s="49"/>
      <c r="Z556" s="33">
        <f>IF(AD556=0,J556,0)</f>
        <v>0</v>
      </c>
      <c r="AA556" s="33">
        <f>IF(AD556=15,J556,0)</f>
        <v>0</v>
      </c>
      <c r="AB556" s="33">
        <f>IF(AD556=21,J556,0)</f>
        <v>0</v>
      </c>
      <c r="AD556" s="59">
        <v>21</v>
      </c>
      <c r="AE556" s="59">
        <f>G556*0.0165317919075144</f>
        <v>0</v>
      </c>
      <c r="AF556" s="59">
        <f>G556*(1-0.0165317919075144)</f>
        <v>0</v>
      </c>
      <c r="AG556" s="55" t="s">
        <v>7</v>
      </c>
      <c r="AM556" s="59">
        <f>F556*AE556</f>
        <v>0</v>
      </c>
      <c r="AN556" s="59">
        <f>F556*AF556</f>
        <v>0</v>
      </c>
      <c r="AO556" s="60" t="s">
        <v>1161</v>
      </c>
      <c r="AP556" s="60" t="s">
        <v>1181</v>
      </c>
      <c r="AQ556" s="49" t="s">
        <v>1182</v>
      </c>
      <c r="AS556" s="59">
        <f>AM556+AN556</f>
        <v>0</v>
      </c>
      <c r="AT556" s="59">
        <f>G556/(100-AU556)*100</f>
        <v>0</v>
      </c>
      <c r="AU556" s="59">
        <v>0</v>
      </c>
      <c r="AV556" s="59">
        <f>L556</f>
        <v>0.018428</v>
      </c>
    </row>
    <row r="557" spans="4:6" ht="12.75">
      <c r="D557" s="28" t="s">
        <v>988</v>
      </c>
      <c r="F557" s="34">
        <v>460.7</v>
      </c>
    </row>
    <row r="558" spans="1:48" ht="12.75">
      <c r="A558" s="10" t="s">
        <v>206</v>
      </c>
      <c r="B558" s="10"/>
      <c r="C558" s="10" t="s">
        <v>458</v>
      </c>
      <c r="D558" s="10" t="s">
        <v>989</v>
      </c>
      <c r="E558" s="10" t="s">
        <v>1089</v>
      </c>
      <c r="F558" s="33">
        <v>1</v>
      </c>
      <c r="G558" s="33">
        <v>0</v>
      </c>
      <c r="H558" s="33">
        <f>F558*AE558</f>
        <v>0</v>
      </c>
      <c r="I558" s="33">
        <f>J558-H558</f>
        <v>0</v>
      </c>
      <c r="J558" s="33">
        <f>F558*G558</f>
        <v>0</v>
      </c>
      <c r="K558" s="33">
        <v>0.04914</v>
      </c>
      <c r="L558" s="33">
        <f>F558*K558</f>
        <v>0.04914</v>
      </c>
      <c r="M558" s="55" t="s">
        <v>1114</v>
      </c>
      <c r="P558" s="59">
        <f>IF(AG558="5",J558,0)</f>
        <v>0</v>
      </c>
      <c r="R558" s="59">
        <f>IF(AG558="1",H558,0)</f>
        <v>0</v>
      </c>
      <c r="S558" s="59">
        <f>IF(AG558="1",I558,0)</f>
        <v>0</v>
      </c>
      <c r="T558" s="59">
        <f>IF(AG558="7",H558,0)</f>
        <v>0</v>
      </c>
      <c r="U558" s="59">
        <f>IF(AG558="7",I558,0)</f>
        <v>0</v>
      </c>
      <c r="V558" s="59">
        <f>IF(AG558="2",H558,0)</f>
        <v>0</v>
      </c>
      <c r="W558" s="59">
        <f>IF(AG558="2",I558,0)</f>
        <v>0</v>
      </c>
      <c r="X558" s="59">
        <f>IF(AG558="0",J558,0)</f>
        <v>0</v>
      </c>
      <c r="Y558" s="49"/>
      <c r="Z558" s="33">
        <f>IF(AD558=0,J558,0)</f>
        <v>0</v>
      </c>
      <c r="AA558" s="33">
        <f>IF(AD558=15,J558,0)</f>
        <v>0</v>
      </c>
      <c r="AB558" s="33">
        <f>IF(AD558=21,J558,0)</f>
        <v>0</v>
      </c>
      <c r="AD558" s="59">
        <v>21</v>
      </c>
      <c r="AE558" s="59">
        <f>G558*0.104828529411765</f>
        <v>0</v>
      </c>
      <c r="AF558" s="59">
        <f>G558*(1-0.104828529411765)</f>
        <v>0</v>
      </c>
      <c r="AG558" s="55" t="s">
        <v>7</v>
      </c>
      <c r="AM558" s="59">
        <f>F558*AE558</f>
        <v>0</v>
      </c>
      <c r="AN558" s="59">
        <f>F558*AF558</f>
        <v>0</v>
      </c>
      <c r="AO558" s="60" t="s">
        <v>1161</v>
      </c>
      <c r="AP558" s="60" t="s">
        <v>1181</v>
      </c>
      <c r="AQ558" s="49" t="s">
        <v>1182</v>
      </c>
      <c r="AS558" s="59">
        <f>AM558+AN558</f>
        <v>0</v>
      </c>
      <c r="AT558" s="59">
        <f>G558/(100-AU558)*100</f>
        <v>0</v>
      </c>
      <c r="AU558" s="59">
        <v>0</v>
      </c>
      <c r="AV558" s="59">
        <f>L558</f>
        <v>0.04914</v>
      </c>
    </row>
    <row r="559" spans="4:6" ht="12.75">
      <c r="D559" s="28" t="s">
        <v>990</v>
      </c>
      <c r="F559" s="34">
        <v>1</v>
      </c>
    </row>
    <row r="560" spans="1:48" ht="12.75">
      <c r="A560" s="12" t="s">
        <v>207</v>
      </c>
      <c r="B560" s="12"/>
      <c r="C560" s="12" t="s">
        <v>459</v>
      </c>
      <c r="D560" s="12" t="s">
        <v>991</v>
      </c>
      <c r="E560" s="12" t="s">
        <v>1089</v>
      </c>
      <c r="F560" s="35">
        <v>1</v>
      </c>
      <c r="G560" s="35">
        <v>0</v>
      </c>
      <c r="H560" s="35">
        <f>F560*AE560</f>
        <v>0</v>
      </c>
      <c r="I560" s="35">
        <f>J560-H560</f>
        <v>0</v>
      </c>
      <c r="J560" s="35">
        <f>F560*G560</f>
        <v>0</v>
      </c>
      <c r="K560" s="35">
        <v>0</v>
      </c>
      <c r="L560" s="35">
        <f>F560*K560</f>
        <v>0</v>
      </c>
      <c r="M560" s="56" t="s">
        <v>1115</v>
      </c>
      <c r="P560" s="59">
        <f>IF(AG560="5",J560,0)</f>
        <v>0</v>
      </c>
      <c r="R560" s="59">
        <f>IF(AG560="1",H560,0)</f>
        <v>0</v>
      </c>
      <c r="S560" s="59">
        <f>IF(AG560="1",I560,0)</f>
        <v>0</v>
      </c>
      <c r="T560" s="59">
        <f>IF(AG560="7",H560,0)</f>
        <v>0</v>
      </c>
      <c r="U560" s="59">
        <f>IF(AG560="7",I560,0)</f>
        <v>0</v>
      </c>
      <c r="V560" s="59">
        <f>IF(AG560="2",H560,0)</f>
        <v>0</v>
      </c>
      <c r="W560" s="59">
        <f>IF(AG560="2",I560,0)</f>
        <v>0</v>
      </c>
      <c r="X560" s="59">
        <f>IF(AG560="0",J560,0)</f>
        <v>0</v>
      </c>
      <c r="Y560" s="49"/>
      <c r="Z560" s="35">
        <f>IF(AD560=0,J560,0)</f>
        <v>0</v>
      </c>
      <c r="AA560" s="35">
        <f>IF(AD560=15,J560,0)</f>
        <v>0</v>
      </c>
      <c r="AB560" s="35">
        <f>IF(AD560=21,J560,0)</f>
        <v>0</v>
      </c>
      <c r="AD560" s="59">
        <v>21</v>
      </c>
      <c r="AE560" s="59">
        <f>G560*1</f>
        <v>0</v>
      </c>
      <c r="AF560" s="59">
        <f>G560*(1-1)</f>
        <v>0</v>
      </c>
      <c r="AG560" s="56" t="s">
        <v>7</v>
      </c>
      <c r="AM560" s="59">
        <f>F560*AE560</f>
        <v>0</v>
      </c>
      <c r="AN560" s="59">
        <f>F560*AF560</f>
        <v>0</v>
      </c>
      <c r="AO560" s="60" t="s">
        <v>1161</v>
      </c>
      <c r="AP560" s="60" t="s">
        <v>1181</v>
      </c>
      <c r="AQ560" s="49" t="s">
        <v>1182</v>
      </c>
      <c r="AS560" s="59">
        <f>AM560+AN560</f>
        <v>0</v>
      </c>
      <c r="AT560" s="59">
        <f>G560/(100-AU560)*100</f>
        <v>0</v>
      </c>
      <c r="AU560" s="59">
        <v>0</v>
      </c>
      <c r="AV560" s="59">
        <f>L560</f>
        <v>0</v>
      </c>
    </row>
    <row r="561" spans="4:6" ht="12.75">
      <c r="D561" s="28" t="s">
        <v>7</v>
      </c>
      <c r="F561" s="34">
        <v>1</v>
      </c>
    </row>
    <row r="562" spans="1:37" ht="12.75">
      <c r="A562" s="11"/>
      <c r="B562" s="24"/>
      <c r="C562" s="24" t="s">
        <v>102</v>
      </c>
      <c r="D562" s="24" t="s">
        <v>992</v>
      </c>
      <c r="E562" s="11" t="s">
        <v>6</v>
      </c>
      <c r="F562" s="11" t="s">
        <v>6</v>
      </c>
      <c r="G562" s="11" t="s">
        <v>6</v>
      </c>
      <c r="H562" s="62">
        <f>SUM(H563:H607)</f>
        <v>0</v>
      </c>
      <c r="I562" s="62">
        <f>SUM(I563:I607)</f>
        <v>0</v>
      </c>
      <c r="J562" s="62">
        <f>H562+I562</f>
        <v>0</v>
      </c>
      <c r="K562" s="49"/>
      <c r="L562" s="62">
        <f>SUM(L563:L607)</f>
        <v>399.38383208240003</v>
      </c>
      <c r="M562" s="49"/>
      <c r="Y562" s="49"/>
      <c r="AI562" s="62">
        <f>SUM(Z563:Z607)</f>
        <v>0</v>
      </c>
      <c r="AJ562" s="62">
        <f>SUM(AA563:AA607)</f>
        <v>0</v>
      </c>
      <c r="AK562" s="62">
        <f>SUM(AB563:AB607)</f>
        <v>0</v>
      </c>
    </row>
    <row r="563" spans="1:48" ht="12.75">
      <c r="A563" s="10" t="s">
        <v>208</v>
      </c>
      <c r="B563" s="10"/>
      <c r="C563" s="10" t="s">
        <v>460</v>
      </c>
      <c r="D563" s="10" t="s">
        <v>993</v>
      </c>
      <c r="E563" s="10" t="s">
        <v>1083</v>
      </c>
      <c r="F563" s="33">
        <v>5.12568</v>
      </c>
      <c r="G563" s="33">
        <v>0</v>
      </c>
      <c r="H563" s="33">
        <f>F563*AE563</f>
        <v>0</v>
      </c>
      <c r="I563" s="33">
        <f>J563-H563</f>
        <v>0</v>
      </c>
      <c r="J563" s="33">
        <f>F563*G563</f>
        <v>0</v>
      </c>
      <c r="K563" s="33">
        <v>2.2</v>
      </c>
      <c r="L563" s="33">
        <f>F563*K563</f>
        <v>11.276496000000002</v>
      </c>
      <c r="M563" s="55" t="s">
        <v>1113</v>
      </c>
      <c r="P563" s="59">
        <f>IF(AG563="5",J563,0)</f>
        <v>0</v>
      </c>
      <c r="R563" s="59">
        <f>IF(AG563="1",H563,0)</f>
        <v>0</v>
      </c>
      <c r="S563" s="59">
        <f>IF(AG563="1",I563,0)</f>
        <v>0</v>
      </c>
      <c r="T563" s="59">
        <f>IF(AG563="7",H563,0)</f>
        <v>0</v>
      </c>
      <c r="U563" s="59">
        <f>IF(AG563="7",I563,0)</f>
        <v>0</v>
      </c>
      <c r="V563" s="59">
        <f>IF(AG563="2",H563,0)</f>
        <v>0</v>
      </c>
      <c r="W563" s="59">
        <f>IF(AG563="2",I563,0)</f>
        <v>0</v>
      </c>
      <c r="X563" s="59">
        <f>IF(AG563="0",J563,0)</f>
        <v>0</v>
      </c>
      <c r="Y563" s="49"/>
      <c r="Z563" s="33">
        <f>IF(AD563=0,J563,0)</f>
        <v>0</v>
      </c>
      <c r="AA563" s="33">
        <f>IF(AD563=15,J563,0)</f>
        <v>0</v>
      </c>
      <c r="AB563" s="33">
        <f>IF(AD563=21,J563,0)</f>
        <v>0</v>
      </c>
      <c r="AD563" s="59">
        <v>21</v>
      </c>
      <c r="AE563" s="59">
        <f>G563*0</f>
        <v>0</v>
      </c>
      <c r="AF563" s="59">
        <f>G563*(1-0)</f>
        <v>0</v>
      </c>
      <c r="AG563" s="55" t="s">
        <v>7</v>
      </c>
      <c r="AM563" s="59">
        <f>F563*AE563</f>
        <v>0</v>
      </c>
      <c r="AN563" s="59">
        <f>F563*AF563</f>
        <v>0</v>
      </c>
      <c r="AO563" s="60" t="s">
        <v>1162</v>
      </c>
      <c r="AP563" s="60" t="s">
        <v>1181</v>
      </c>
      <c r="AQ563" s="49" t="s">
        <v>1182</v>
      </c>
      <c r="AS563" s="59">
        <f>AM563+AN563</f>
        <v>0</v>
      </c>
      <c r="AT563" s="59">
        <f>G563/(100-AU563)*100</f>
        <v>0</v>
      </c>
      <c r="AU563" s="59">
        <v>0</v>
      </c>
      <c r="AV563" s="59">
        <f>L563</f>
        <v>11.276496000000002</v>
      </c>
    </row>
    <row r="564" spans="4:6" ht="12.75">
      <c r="D564" s="28" t="s">
        <v>994</v>
      </c>
      <c r="F564" s="34">
        <v>5.12568</v>
      </c>
    </row>
    <row r="565" spans="1:48" ht="12.75">
      <c r="A565" s="10" t="s">
        <v>209</v>
      </c>
      <c r="B565" s="10"/>
      <c r="C565" s="10" t="s">
        <v>461</v>
      </c>
      <c r="D565" s="10" t="s">
        <v>995</v>
      </c>
      <c r="E565" s="10" t="s">
        <v>1083</v>
      </c>
      <c r="F565" s="33">
        <v>42.5925</v>
      </c>
      <c r="G565" s="33">
        <v>0</v>
      </c>
      <c r="H565" s="33">
        <f>F565*AE565</f>
        <v>0</v>
      </c>
      <c r="I565" s="33">
        <f>J565-H565</f>
        <v>0</v>
      </c>
      <c r="J565" s="33">
        <f>F565*G565</f>
        <v>0</v>
      </c>
      <c r="K565" s="33">
        <v>2.2</v>
      </c>
      <c r="L565" s="33">
        <f>F565*K565</f>
        <v>93.7035</v>
      </c>
      <c r="M565" s="55" t="s">
        <v>1113</v>
      </c>
      <c r="P565" s="59">
        <f>IF(AG565="5",J565,0)</f>
        <v>0</v>
      </c>
      <c r="R565" s="59">
        <f>IF(AG565="1",H565,0)</f>
        <v>0</v>
      </c>
      <c r="S565" s="59">
        <f>IF(AG565="1",I565,0)</f>
        <v>0</v>
      </c>
      <c r="T565" s="59">
        <f>IF(AG565="7",H565,0)</f>
        <v>0</v>
      </c>
      <c r="U565" s="59">
        <f>IF(AG565="7",I565,0)</f>
        <v>0</v>
      </c>
      <c r="V565" s="59">
        <f>IF(AG565="2",H565,0)</f>
        <v>0</v>
      </c>
      <c r="W565" s="59">
        <f>IF(AG565="2",I565,0)</f>
        <v>0</v>
      </c>
      <c r="X565" s="59">
        <f>IF(AG565="0",J565,0)</f>
        <v>0</v>
      </c>
      <c r="Y565" s="49"/>
      <c r="Z565" s="33">
        <f>IF(AD565=0,J565,0)</f>
        <v>0</v>
      </c>
      <c r="AA565" s="33">
        <f>IF(AD565=15,J565,0)</f>
        <v>0</v>
      </c>
      <c r="AB565" s="33">
        <f>IF(AD565=21,J565,0)</f>
        <v>0</v>
      </c>
      <c r="AD565" s="59">
        <v>21</v>
      </c>
      <c r="AE565" s="59">
        <f>G565*0</f>
        <v>0</v>
      </c>
      <c r="AF565" s="59">
        <f>G565*(1-0)</f>
        <v>0</v>
      </c>
      <c r="AG565" s="55" t="s">
        <v>7</v>
      </c>
      <c r="AM565" s="59">
        <f>F565*AE565</f>
        <v>0</v>
      </c>
      <c r="AN565" s="59">
        <f>F565*AF565</f>
        <v>0</v>
      </c>
      <c r="AO565" s="60" t="s">
        <v>1162</v>
      </c>
      <c r="AP565" s="60" t="s">
        <v>1181</v>
      </c>
      <c r="AQ565" s="49" t="s">
        <v>1182</v>
      </c>
      <c r="AS565" s="59">
        <f>AM565+AN565</f>
        <v>0</v>
      </c>
      <c r="AT565" s="59">
        <f>G565/(100-AU565)*100</f>
        <v>0</v>
      </c>
      <c r="AU565" s="59">
        <v>0</v>
      </c>
      <c r="AV565" s="59">
        <f>L565</f>
        <v>93.7035</v>
      </c>
    </row>
    <row r="566" spans="4:6" ht="12.75">
      <c r="D566" s="28" t="s">
        <v>996</v>
      </c>
      <c r="F566" s="34">
        <v>0</v>
      </c>
    </row>
    <row r="567" spans="4:6" ht="12.75">
      <c r="D567" s="28" t="s">
        <v>997</v>
      </c>
      <c r="F567" s="34">
        <v>19.23</v>
      </c>
    </row>
    <row r="568" spans="4:6" ht="12.75">
      <c r="D568" s="28" t="s">
        <v>998</v>
      </c>
      <c r="F568" s="34">
        <v>23.3625</v>
      </c>
    </row>
    <row r="569" spans="1:48" ht="12.75">
      <c r="A569" s="10" t="s">
        <v>210</v>
      </c>
      <c r="B569" s="10"/>
      <c r="C569" s="10" t="s">
        <v>462</v>
      </c>
      <c r="D569" s="10" t="s">
        <v>999</v>
      </c>
      <c r="E569" s="10" t="s">
        <v>1083</v>
      </c>
      <c r="F569" s="33">
        <v>11.961</v>
      </c>
      <c r="G569" s="33">
        <v>0</v>
      </c>
      <c r="H569" s="33">
        <f>F569*AE569</f>
        <v>0</v>
      </c>
      <c r="I569" s="33">
        <f>J569-H569</f>
        <v>0</v>
      </c>
      <c r="J569" s="33">
        <f>F569*G569</f>
        <v>0</v>
      </c>
      <c r="K569" s="33">
        <v>2.40666</v>
      </c>
      <c r="L569" s="33">
        <f>F569*K569</f>
        <v>28.78606026</v>
      </c>
      <c r="M569" s="55" t="s">
        <v>1113</v>
      </c>
      <c r="P569" s="59">
        <f>IF(AG569="5",J569,0)</f>
        <v>0</v>
      </c>
      <c r="R569" s="59">
        <f>IF(AG569="1",H569,0)</f>
        <v>0</v>
      </c>
      <c r="S569" s="59">
        <f>IF(AG569="1",I569,0)</f>
        <v>0</v>
      </c>
      <c r="T569" s="59">
        <f>IF(AG569="7",H569,0)</f>
        <v>0</v>
      </c>
      <c r="U569" s="59">
        <f>IF(AG569="7",I569,0)</f>
        <v>0</v>
      </c>
      <c r="V569" s="59">
        <f>IF(AG569="2",H569,0)</f>
        <v>0</v>
      </c>
      <c r="W569" s="59">
        <f>IF(AG569="2",I569,0)</f>
        <v>0</v>
      </c>
      <c r="X569" s="59">
        <f>IF(AG569="0",J569,0)</f>
        <v>0</v>
      </c>
      <c r="Y569" s="49"/>
      <c r="Z569" s="33">
        <f>IF(AD569=0,J569,0)</f>
        <v>0</v>
      </c>
      <c r="AA569" s="33">
        <f>IF(AD569=15,J569,0)</f>
        <v>0</v>
      </c>
      <c r="AB569" s="33">
        <f>IF(AD569=21,J569,0)</f>
        <v>0</v>
      </c>
      <c r="AD569" s="59">
        <v>21</v>
      </c>
      <c r="AE569" s="59">
        <f>G569*0.0566797768538183</f>
        <v>0</v>
      </c>
      <c r="AF569" s="59">
        <f>G569*(1-0.0566797768538183)</f>
        <v>0</v>
      </c>
      <c r="AG569" s="55" t="s">
        <v>7</v>
      </c>
      <c r="AM569" s="59">
        <f>F569*AE569</f>
        <v>0</v>
      </c>
      <c r="AN569" s="59">
        <f>F569*AF569</f>
        <v>0</v>
      </c>
      <c r="AO569" s="60" t="s">
        <v>1162</v>
      </c>
      <c r="AP569" s="60" t="s">
        <v>1181</v>
      </c>
      <c r="AQ569" s="49" t="s">
        <v>1182</v>
      </c>
      <c r="AS569" s="59">
        <f>AM569+AN569</f>
        <v>0</v>
      </c>
      <c r="AT569" s="59">
        <f>G569/(100-AU569)*100</f>
        <v>0</v>
      </c>
      <c r="AU569" s="59">
        <v>0</v>
      </c>
      <c r="AV569" s="59">
        <f>L569</f>
        <v>28.78606026</v>
      </c>
    </row>
    <row r="570" spans="4:6" ht="12.75">
      <c r="D570" s="28" t="s">
        <v>1000</v>
      </c>
      <c r="F570" s="34">
        <v>11.961</v>
      </c>
    </row>
    <row r="571" spans="1:48" ht="12.75">
      <c r="A571" s="10" t="s">
        <v>211</v>
      </c>
      <c r="B571" s="10"/>
      <c r="C571" s="10" t="s">
        <v>463</v>
      </c>
      <c r="D571" s="10" t="s">
        <v>1001</v>
      </c>
      <c r="E571" s="10" t="s">
        <v>1086</v>
      </c>
      <c r="F571" s="33">
        <v>53.6185</v>
      </c>
      <c r="G571" s="33">
        <v>0</v>
      </c>
      <c r="H571" s="33">
        <f>F571*AE571</f>
        <v>0</v>
      </c>
      <c r="I571" s="33">
        <f>J571-H571</f>
        <v>0</v>
      </c>
      <c r="J571" s="33">
        <f>F571*G571</f>
        <v>0</v>
      </c>
      <c r="K571" s="33">
        <v>0.383</v>
      </c>
      <c r="L571" s="33">
        <f>F571*K571</f>
        <v>20.5358855</v>
      </c>
      <c r="M571" s="55" t="s">
        <v>1113</v>
      </c>
      <c r="P571" s="59">
        <f>IF(AG571="5",J571,0)</f>
        <v>0</v>
      </c>
      <c r="R571" s="59">
        <f>IF(AG571="1",H571,0)</f>
        <v>0</v>
      </c>
      <c r="S571" s="59">
        <f>IF(AG571="1",I571,0)</f>
        <v>0</v>
      </c>
      <c r="T571" s="59">
        <f>IF(AG571="7",H571,0)</f>
        <v>0</v>
      </c>
      <c r="U571" s="59">
        <f>IF(AG571="7",I571,0)</f>
        <v>0</v>
      </c>
      <c r="V571" s="59">
        <f>IF(AG571="2",H571,0)</f>
        <v>0</v>
      </c>
      <c r="W571" s="59">
        <f>IF(AG571="2",I571,0)</f>
        <v>0</v>
      </c>
      <c r="X571" s="59">
        <f>IF(AG571="0",J571,0)</f>
        <v>0</v>
      </c>
      <c r="Y571" s="49"/>
      <c r="Z571" s="33">
        <f>IF(AD571=0,J571,0)</f>
        <v>0</v>
      </c>
      <c r="AA571" s="33">
        <f>IF(AD571=15,J571,0)</f>
        <v>0</v>
      </c>
      <c r="AB571" s="33">
        <f>IF(AD571=21,J571,0)</f>
        <v>0</v>
      </c>
      <c r="AD571" s="59">
        <v>21</v>
      </c>
      <c r="AE571" s="59">
        <f>G571*0</f>
        <v>0</v>
      </c>
      <c r="AF571" s="59">
        <f>G571*(1-0)</f>
        <v>0</v>
      </c>
      <c r="AG571" s="55" t="s">
        <v>7</v>
      </c>
      <c r="AM571" s="59">
        <f>F571*AE571</f>
        <v>0</v>
      </c>
      <c r="AN571" s="59">
        <f>F571*AF571</f>
        <v>0</v>
      </c>
      <c r="AO571" s="60" t="s">
        <v>1162</v>
      </c>
      <c r="AP571" s="60" t="s">
        <v>1181</v>
      </c>
      <c r="AQ571" s="49" t="s">
        <v>1182</v>
      </c>
      <c r="AS571" s="59">
        <f>AM571+AN571</f>
        <v>0</v>
      </c>
      <c r="AT571" s="59">
        <f>G571/(100-AU571)*100</f>
        <v>0</v>
      </c>
      <c r="AU571" s="59">
        <v>0</v>
      </c>
      <c r="AV571" s="59">
        <f>L571</f>
        <v>20.5358855</v>
      </c>
    </row>
    <row r="572" spans="4:6" ht="12.75">
      <c r="D572" s="28" t="s">
        <v>1002</v>
      </c>
      <c r="F572" s="34">
        <v>53.6185</v>
      </c>
    </row>
    <row r="573" spans="1:48" ht="12.75">
      <c r="A573" s="10" t="s">
        <v>212</v>
      </c>
      <c r="B573" s="10"/>
      <c r="C573" s="10" t="s">
        <v>464</v>
      </c>
      <c r="D573" s="10" t="s">
        <v>1003</v>
      </c>
      <c r="E573" s="10" t="s">
        <v>1083</v>
      </c>
      <c r="F573" s="33">
        <v>106.36693</v>
      </c>
      <c r="G573" s="33">
        <v>0</v>
      </c>
      <c r="H573" s="33">
        <f>F573*AE573</f>
        <v>0</v>
      </c>
      <c r="I573" s="33">
        <f>J573-H573</f>
        <v>0</v>
      </c>
      <c r="J573" s="33">
        <f>F573*G573</f>
        <v>0</v>
      </c>
      <c r="K573" s="33">
        <v>1.95128</v>
      </c>
      <c r="L573" s="33">
        <f>F573*K573</f>
        <v>207.5516631704</v>
      </c>
      <c r="M573" s="55" t="s">
        <v>1113</v>
      </c>
      <c r="P573" s="59">
        <f>IF(AG573="5",J573,0)</f>
        <v>0</v>
      </c>
      <c r="R573" s="59">
        <f>IF(AG573="1",H573,0)</f>
        <v>0</v>
      </c>
      <c r="S573" s="59">
        <f>IF(AG573="1",I573,0)</f>
        <v>0</v>
      </c>
      <c r="T573" s="59">
        <f>IF(AG573="7",H573,0)</f>
        <v>0</v>
      </c>
      <c r="U573" s="59">
        <f>IF(AG573="7",I573,0)</f>
        <v>0</v>
      </c>
      <c r="V573" s="59">
        <f>IF(AG573="2",H573,0)</f>
        <v>0</v>
      </c>
      <c r="W573" s="59">
        <f>IF(AG573="2",I573,0)</f>
        <v>0</v>
      </c>
      <c r="X573" s="59">
        <f>IF(AG573="0",J573,0)</f>
        <v>0</v>
      </c>
      <c r="Y573" s="49"/>
      <c r="Z573" s="33">
        <f>IF(AD573=0,J573,0)</f>
        <v>0</v>
      </c>
      <c r="AA573" s="33">
        <f>IF(AD573=15,J573,0)</f>
        <v>0</v>
      </c>
      <c r="AB573" s="33">
        <f>IF(AD573=21,J573,0)</f>
        <v>0</v>
      </c>
      <c r="AD573" s="59">
        <v>21</v>
      </c>
      <c r="AE573" s="59">
        <f>G573*0.0436298423043591</f>
        <v>0</v>
      </c>
      <c r="AF573" s="59">
        <f>G573*(1-0.0436298423043591)</f>
        <v>0</v>
      </c>
      <c r="AG573" s="55" t="s">
        <v>7</v>
      </c>
      <c r="AM573" s="59">
        <f>F573*AE573</f>
        <v>0</v>
      </c>
      <c r="AN573" s="59">
        <f>F573*AF573</f>
        <v>0</v>
      </c>
      <c r="AO573" s="60" t="s">
        <v>1162</v>
      </c>
      <c r="AP573" s="60" t="s">
        <v>1181</v>
      </c>
      <c r="AQ573" s="49" t="s">
        <v>1182</v>
      </c>
      <c r="AS573" s="59">
        <f>AM573+AN573</f>
        <v>0</v>
      </c>
      <c r="AT573" s="59">
        <f>G573/(100-AU573)*100</f>
        <v>0</v>
      </c>
      <c r="AU573" s="59">
        <v>0</v>
      </c>
      <c r="AV573" s="59">
        <f>L573</f>
        <v>207.5516631704</v>
      </c>
    </row>
    <row r="574" spans="4:6" ht="12.75">
      <c r="D574" s="28" t="s">
        <v>1004</v>
      </c>
      <c r="F574" s="34">
        <v>17.73293</v>
      </c>
    </row>
    <row r="575" spans="4:6" ht="12.75">
      <c r="D575" s="28" t="s">
        <v>1005</v>
      </c>
      <c r="F575" s="34">
        <v>15.385</v>
      </c>
    </row>
    <row r="576" spans="4:6" ht="12.75">
      <c r="D576" s="28" t="s">
        <v>1006</v>
      </c>
      <c r="F576" s="34">
        <v>13.725</v>
      </c>
    </row>
    <row r="577" spans="4:6" ht="12.75">
      <c r="D577" s="28" t="s">
        <v>1007</v>
      </c>
      <c r="F577" s="34">
        <v>6.8848</v>
      </c>
    </row>
    <row r="578" spans="4:6" ht="12.75">
      <c r="D578" s="28" t="s">
        <v>1008</v>
      </c>
      <c r="F578" s="34">
        <v>6.448</v>
      </c>
    </row>
    <row r="579" spans="4:6" ht="12.75">
      <c r="D579" s="28" t="s">
        <v>1009</v>
      </c>
      <c r="F579" s="34">
        <v>6.6352</v>
      </c>
    </row>
    <row r="580" spans="4:6" ht="12.75">
      <c r="D580" s="28" t="s">
        <v>1010</v>
      </c>
      <c r="F580" s="34">
        <v>13.1385</v>
      </c>
    </row>
    <row r="581" spans="4:6" ht="12.75">
      <c r="D581" s="28" t="s">
        <v>1011</v>
      </c>
      <c r="F581" s="34">
        <v>5.814</v>
      </c>
    </row>
    <row r="582" spans="4:6" ht="12.75">
      <c r="D582" s="28" t="s">
        <v>1012</v>
      </c>
      <c r="F582" s="34">
        <v>5.814</v>
      </c>
    </row>
    <row r="583" spans="4:6" ht="12.75">
      <c r="D583" s="28" t="s">
        <v>1013</v>
      </c>
      <c r="F583" s="34">
        <v>1.5</v>
      </c>
    </row>
    <row r="584" spans="4:6" ht="12.75">
      <c r="D584" s="28" t="s">
        <v>1014</v>
      </c>
      <c r="F584" s="34">
        <v>1.5</v>
      </c>
    </row>
    <row r="585" spans="4:6" ht="12.75">
      <c r="D585" s="28" t="s">
        <v>1015</v>
      </c>
      <c r="F585" s="34">
        <v>2.4</v>
      </c>
    </row>
    <row r="586" spans="4:6" ht="12.75">
      <c r="D586" s="28" t="s">
        <v>1016</v>
      </c>
      <c r="F586" s="34">
        <v>0.9</v>
      </c>
    </row>
    <row r="587" spans="4:6" ht="12.75">
      <c r="D587" s="28" t="s">
        <v>1017</v>
      </c>
      <c r="F587" s="34">
        <v>1.95</v>
      </c>
    </row>
    <row r="588" spans="4:6" ht="12.75">
      <c r="D588" s="28" t="s">
        <v>1018</v>
      </c>
      <c r="F588" s="34">
        <v>1.587</v>
      </c>
    </row>
    <row r="589" spans="4:6" ht="12.75">
      <c r="D589" s="28" t="s">
        <v>1019</v>
      </c>
      <c r="F589" s="34">
        <v>0.8325</v>
      </c>
    </row>
    <row r="590" spans="4:6" ht="12.75">
      <c r="D590" s="28" t="s">
        <v>1020</v>
      </c>
      <c r="F590" s="34">
        <v>4.12</v>
      </c>
    </row>
    <row r="591" spans="1:48" ht="12.75">
      <c r="A591" s="10" t="s">
        <v>213</v>
      </c>
      <c r="B591" s="10"/>
      <c r="C591" s="10" t="s">
        <v>465</v>
      </c>
      <c r="D591" s="10" t="s">
        <v>1021</v>
      </c>
      <c r="E591" s="10" t="s">
        <v>1086</v>
      </c>
      <c r="F591" s="33">
        <v>68.043</v>
      </c>
      <c r="G591" s="33">
        <v>0</v>
      </c>
      <c r="H591" s="33">
        <f>F591*AE591</f>
        <v>0</v>
      </c>
      <c r="I591" s="33">
        <f>J591-H591</f>
        <v>0</v>
      </c>
      <c r="J591" s="33">
        <f>F591*G591</f>
        <v>0</v>
      </c>
      <c r="K591" s="33">
        <v>0.13167</v>
      </c>
      <c r="L591" s="33">
        <f>F591*K591</f>
        <v>8.95922181</v>
      </c>
      <c r="M591" s="55" t="s">
        <v>1113</v>
      </c>
      <c r="P591" s="59">
        <f>IF(AG591="5",J591,0)</f>
        <v>0</v>
      </c>
      <c r="R591" s="59">
        <f>IF(AG591="1",H591,0)</f>
        <v>0</v>
      </c>
      <c r="S591" s="59">
        <f>IF(AG591="1",I591,0)</f>
        <v>0</v>
      </c>
      <c r="T591" s="59">
        <f>IF(AG591="7",H591,0)</f>
        <v>0</v>
      </c>
      <c r="U591" s="59">
        <f>IF(AG591="7",I591,0)</f>
        <v>0</v>
      </c>
      <c r="V591" s="59">
        <f>IF(AG591="2",H591,0)</f>
        <v>0</v>
      </c>
      <c r="W591" s="59">
        <f>IF(AG591="2",I591,0)</f>
        <v>0</v>
      </c>
      <c r="X591" s="59">
        <f>IF(AG591="0",J591,0)</f>
        <v>0</v>
      </c>
      <c r="Y591" s="49"/>
      <c r="Z591" s="33">
        <f>IF(AD591=0,J591,0)</f>
        <v>0</v>
      </c>
      <c r="AA591" s="33">
        <f>IF(AD591=15,J591,0)</f>
        <v>0</v>
      </c>
      <c r="AB591" s="33">
        <f>IF(AD591=21,J591,0)</f>
        <v>0</v>
      </c>
      <c r="AD591" s="59">
        <v>21</v>
      </c>
      <c r="AE591" s="59">
        <f>G591*0.18061576875575</f>
        <v>0</v>
      </c>
      <c r="AF591" s="59">
        <f>G591*(1-0.18061576875575)</f>
        <v>0</v>
      </c>
      <c r="AG591" s="55" t="s">
        <v>7</v>
      </c>
      <c r="AM591" s="59">
        <f>F591*AE591</f>
        <v>0</v>
      </c>
      <c r="AN591" s="59">
        <f>F591*AF591</f>
        <v>0</v>
      </c>
      <c r="AO591" s="60" t="s">
        <v>1162</v>
      </c>
      <c r="AP591" s="60" t="s">
        <v>1181</v>
      </c>
      <c r="AQ591" s="49" t="s">
        <v>1182</v>
      </c>
      <c r="AS591" s="59">
        <f>AM591+AN591</f>
        <v>0</v>
      </c>
      <c r="AT591" s="59">
        <f>G591/(100-AU591)*100</f>
        <v>0</v>
      </c>
      <c r="AU591" s="59">
        <v>0</v>
      </c>
      <c r="AV591" s="59">
        <f>L591</f>
        <v>8.95922181</v>
      </c>
    </row>
    <row r="592" spans="4:6" ht="12.75">
      <c r="D592" s="28" t="s">
        <v>1022</v>
      </c>
      <c r="F592" s="34">
        <v>11.115</v>
      </c>
    </row>
    <row r="593" spans="4:6" ht="12.75">
      <c r="D593" s="28" t="s">
        <v>1023</v>
      </c>
      <c r="F593" s="34">
        <v>15.552</v>
      </c>
    </row>
    <row r="594" spans="4:6" ht="12.75">
      <c r="D594" s="28" t="s">
        <v>1024</v>
      </c>
      <c r="F594" s="34">
        <v>11.4912</v>
      </c>
    </row>
    <row r="595" spans="4:6" ht="12.75">
      <c r="D595" s="28" t="s">
        <v>1025</v>
      </c>
      <c r="F595" s="34">
        <v>15.1688</v>
      </c>
    </row>
    <row r="596" spans="4:6" ht="12.75">
      <c r="D596" s="28" t="s">
        <v>1026</v>
      </c>
      <c r="F596" s="34">
        <v>14.716</v>
      </c>
    </row>
    <row r="597" spans="1:48" ht="12.75">
      <c r="A597" s="10" t="s">
        <v>214</v>
      </c>
      <c r="B597" s="10"/>
      <c r="C597" s="10" t="s">
        <v>466</v>
      </c>
      <c r="D597" s="10" t="s">
        <v>1027</v>
      </c>
      <c r="E597" s="10" t="s">
        <v>1086</v>
      </c>
      <c r="F597" s="33">
        <v>23.2626</v>
      </c>
      <c r="G597" s="33">
        <v>0</v>
      </c>
      <c r="H597" s="33">
        <f>F597*AE597</f>
        <v>0</v>
      </c>
      <c r="I597" s="33">
        <f>J597-H597</f>
        <v>0</v>
      </c>
      <c r="J597" s="33">
        <f>F597*G597</f>
        <v>0</v>
      </c>
      <c r="K597" s="33">
        <v>0.26167</v>
      </c>
      <c r="L597" s="33">
        <f>F597*K597</f>
        <v>6.087124542</v>
      </c>
      <c r="M597" s="55" t="s">
        <v>1113</v>
      </c>
      <c r="P597" s="59">
        <f>IF(AG597="5",J597,0)</f>
        <v>0</v>
      </c>
      <c r="R597" s="59">
        <f>IF(AG597="1",H597,0)</f>
        <v>0</v>
      </c>
      <c r="S597" s="59">
        <f>IF(AG597="1",I597,0)</f>
        <v>0</v>
      </c>
      <c r="T597" s="59">
        <f>IF(AG597="7",H597,0)</f>
        <v>0</v>
      </c>
      <c r="U597" s="59">
        <f>IF(AG597="7",I597,0)</f>
        <v>0</v>
      </c>
      <c r="V597" s="59">
        <f>IF(AG597="2",H597,0)</f>
        <v>0</v>
      </c>
      <c r="W597" s="59">
        <f>IF(AG597="2",I597,0)</f>
        <v>0</v>
      </c>
      <c r="X597" s="59">
        <f>IF(AG597="0",J597,0)</f>
        <v>0</v>
      </c>
      <c r="Y597" s="49"/>
      <c r="Z597" s="33">
        <f>IF(AD597=0,J597,0)</f>
        <v>0</v>
      </c>
      <c r="AA597" s="33">
        <f>IF(AD597=15,J597,0)</f>
        <v>0</v>
      </c>
      <c r="AB597" s="33">
        <f>IF(AD597=21,J597,0)</f>
        <v>0</v>
      </c>
      <c r="AD597" s="59">
        <v>21</v>
      </c>
      <c r="AE597" s="59">
        <f>G597*0.148732208260847</f>
        <v>0</v>
      </c>
      <c r="AF597" s="59">
        <f>G597*(1-0.148732208260847)</f>
        <v>0</v>
      </c>
      <c r="AG597" s="55" t="s">
        <v>7</v>
      </c>
      <c r="AM597" s="59">
        <f>F597*AE597</f>
        <v>0</v>
      </c>
      <c r="AN597" s="59">
        <f>F597*AF597</f>
        <v>0</v>
      </c>
      <c r="AO597" s="60" t="s">
        <v>1162</v>
      </c>
      <c r="AP597" s="60" t="s">
        <v>1181</v>
      </c>
      <c r="AQ597" s="49" t="s">
        <v>1182</v>
      </c>
      <c r="AS597" s="59">
        <f>AM597+AN597</f>
        <v>0</v>
      </c>
      <c r="AT597" s="59">
        <f>G597/(100-AU597)*100</f>
        <v>0</v>
      </c>
      <c r="AU597" s="59">
        <v>0</v>
      </c>
      <c r="AV597" s="59">
        <f>L597</f>
        <v>6.087124542</v>
      </c>
    </row>
    <row r="598" spans="4:6" ht="12.75">
      <c r="D598" s="28" t="s">
        <v>1028</v>
      </c>
      <c r="F598" s="34">
        <v>23.2626</v>
      </c>
    </row>
    <row r="599" spans="1:48" ht="12.75">
      <c r="A599" s="10" t="s">
        <v>215</v>
      </c>
      <c r="B599" s="10"/>
      <c r="C599" s="10" t="s">
        <v>467</v>
      </c>
      <c r="D599" s="10" t="s">
        <v>1029</v>
      </c>
      <c r="E599" s="10" t="s">
        <v>1086</v>
      </c>
      <c r="F599" s="33">
        <v>5.92</v>
      </c>
      <c r="G599" s="33">
        <v>0</v>
      </c>
      <c r="H599" s="33">
        <f>F599*AE599</f>
        <v>0</v>
      </c>
      <c r="I599" s="33">
        <f>J599-H599</f>
        <v>0</v>
      </c>
      <c r="J599" s="33">
        <f>F599*G599</f>
        <v>0</v>
      </c>
      <c r="K599" s="33">
        <v>0.54534</v>
      </c>
      <c r="L599" s="33">
        <f>F599*K599</f>
        <v>3.2284128</v>
      </c>
      <c r="M599" s="55" t="s">
        <v>1113</v>
      </c>
      <c r="P599" s="59">
        <f>IF(AG599="5",J599,0)</f>
        <v>0</v>
      </c>
      <c r="R599" s="59">
        <f>IF(AG599="1",H599,0)</f>
        <v>0</v>
      </c>
      <c r="S599" s="59">
        <f>IF(AG599="1",I599,0)</f>
        <v>0</v>
      </c>
      <c r="T599" s="59">
        <f>IF(AG599="7",H599,0)</f>
        <v>0</v>
      </c>
      <c r="U599" s="59">
        <f>IF(AG599="7",I599,0)</f>
        <v>0</v>
      </c>
      <c r="V599" s="59">
        <f>IF(AG599="2",H599,0)</f>
        <v>0</v>
      </c>
      <c r="W599" s="59">
        <f>IF(AG599="2",I599,0)</f>
        <v>0</v>
      </c>
      <c r="X599" s="59">
        <f>IF(AG599="0",J599,0)</f>
        <v>0</v>
      </c>
      <c r="Y599" s="49"/>
      <c r="Z599" s="33">
        <f>IF(AD599=0,J599,0)</f>
        <v>0</v>
      </c>
      <c r="AA599" s="33">
        <f>IF(AD599=15,J599,0)</f>
        <v>0</v>
      </c>
      <c r="AB599" s="33">
        <f>IF(AD599=21,J599,0)</f>
        <v>0</v>
      </c>
      <c r="AD599" s="59">
        <v>21</v>
      </c>
      <c r="AE599" s="59">
        <f>G599*0.0215696887686062</f>
        <v>0</v>
      </c>
      <c r="AF599" s="59">
        <f>G599*(1-0.0215696887686062)</f>
        <v>0</v>
      </c>
      <c r="AG599" s="55" t="s">
        <v>7</v>
      </c>
      <c r="AM599" s="59">
        <f>F599*AE599</f>
        <v>0</v>
      </c>
      <c r="AN599" s="59">
        <f>F599*AF599</f>
        <v>0</v>
      </c>
      <c r="AO599" s="60" t="s">
        <v>1162</v>
      </c>
      <c r="AP599" s="60" t="s">
        <v>1181</v>
      </c>
      <c r="AQ599" s="49" t="s">
        <v>1182</v>
      </c>
      <c r="AS599" s="59">
        <f>AM599+AN599</f>
        <v>0</v>
      </c>
      <c r="AT599" s="59">
        <f>G599/(100-AU599)*100</f>
        <v>0</v>
      </c>
      <c r="AU599" s="59">
        <v>0</v>
      </c>
      <c r="AV599" s="59">
        <f>L599</f>
        <v>3.2284128</v>
      </c>
    </row>
    <row r="600" spans="4:6" ht="12.75">
      <c r="D600" s="28" t="s">
        <v>1030</v>
      </c>
      <c r="F600" s="34">
        <v>5.92</v>
      </c>
    </row>
    <row r="601" spans="1:48" ht="12.75">
      <c r="A601" s="10" t="s">
        <v>216</v>
      </c>
      <c r="B601" s="10"/>
      <c r="C601" s="10" t="s">
        <v>468</v>
      </c>
      <c r="D601" s="10" t="s">
        <v>1031</v>
      </c>
      <c r="E601" s="10" t="s">
        <v>1088</v>
      </c>
      <c r="F601" s="33">
        <v>21</v>
      </c>
      <c r="G601" s="33">
        <v>0</v>
      </c>
      <c r="H601" s="33">
        <f>F601*AE601</f>
        <v>0</v>
      </c>
      <c r="I601" s="33">
        <f>J601-H601</f>
        <v>0</v>
      </c>
      <c r="J601" s="33">
        <f>F601*G601</f>
        <v>0</v>
      </c>
      <c r="K601" s="33">
        <v>0</v>
      </c>
      <c r="L601" s="33">
        <f>F601*K601</f>
        <v>0</v>
      </c>
      <c r="M601" s="55" t="s">
        <v>1113</v>
      </c>
      <c r="P601" s="59">
        <f>IF(AG601="5",J601,0)</f>
        <v>0</v>
      </c>
      <c r="R601" s="59">
        <f>IF(AG601="1",H601,0)</f>
        <v>0</v>
      </c>
      <c r="S601" s="59">
        <f>IF(AG601="1",I601,0)</f>
        <v>0</v>
      </c>
      <c r="T601" s="59">
        <f>IF(AG601="7",H601,0)</f>
        <v>0</v>
      </c>
      <c r="U601" s="59">
        <f>IF(AG601="7",I601,0)</f>
        <v>0</v>
      </c>
      <c r="V601" s="59">
        <f>IF(AG601="2",H601,0)</f>
        <v>0</v>
      </c>
      <c r="W601" s="59">
        <f>IF(AG601="2",I601,0)</f>
        <v>0</v>
      </c>
      <c r="X601" s="59">
        <f>IF(AG601="0",J601,0)</f>
        <v>0</v>
      </c>
      <c r="Y601" s="49"/>
      <c r="Z601" s="33">
        <f>IF(AD601=0,J601,0)</f>
        <v>0</v>
      </c>
      <c r="AA601" s="33">
        <f>IF(AD601=15,J601,0)</f>
        <v>0</v>
      </c>
      <c r="AB601" s="33">
        <f>IF(AD601=21,J601,0)</f>
        <v>0</v>
      </c>
      <c r="AD601" s="59">
        <v>21</v>
      </c>
      <c r="AE601" s="59">
        <f>G601*0</f>
        <v>0</v>
      </c>
      <c r="AF601" s="59">
        <f>G601*(1-0)</f>
        <v>0</v>
      </c>
      <c r="AG601" s="55" t="s">
        <v>7</v>
      </c>
      <c r="AM601" s="59">
        <f>F601*AE601</f>
        <v>0</v>
      </c>
      <c r="AN601" s="59">
        <f>F601*AF601</f>
        <v>0</v>
      </c>
      <c r="AO601" s="60" t="s">
        <v>1162</v>
      </c>
      <c r="AP601" s="60" t="s">
        <v>1181</v>
      </c>
      <c r="AQ601" s="49" t="s">
        <v>1182</v>
      </c>
      <c r="AS601" s="59">
        <f>AM601+AN601</f>
        <v>0</v>
      </c>
      <c r="AT601" s="59">
        <f>G601/(100-AU601)*100</f>
        <v>0</v>
      </c>
      <c r="AU601" s="59">
        <v>0</v>
      </c>
      <c r="AV601" s="59">
        <f>L601</f>
        <v>0</v>
      </c>
    </row>
    <row r="602" spans="4:6" ht="12.75">
      <c r="D602" s="28" t="s">
        <v>27</v>
      </c>
      <c r="F602" s="34">
        <v>21</v>
      </c>
    </row>
    <row r="603" spans="1:48" ht="12.75">
      <c r="A603" s="10" t="s">
        <v>217</v>
      </c>
      <c r="B603" s="10"/>
      <c r="C603" s="10" t="s">
        <v>469</v>
      </c>
      <c r="D603" s="10" t="s">
        <v>1032</v>
      </c>
      <c r="E603" s="10" t="s">
        <v>1086</v>
      </c>
      <c r="F603" s="33">
        <v>34.8</v>
      </c>
      <c r="G603" s="33">
        <v>0</v>
      </c>
      <c r="H603" s="33">
        <f>F603*AE603</f>
        <v>0</v>
      </c>
      <c r="I603" s="33">
        <f>J603-H603</f>
        <v>0</v>
      </c>
      <c r="J603" s="33">
        <f>F603*G603</f>
        <v>0</v>
      </c>
      <c r="K603" s="33">
        <v>0.07717</v>
      </c>
      <c r="L603" s="33">
        <f>F603*K603</f>
        <v>2.685516</v>
      </c>
      <c r="M603" s="55" t="s">
        <v>1113</v>
      </c>
      <c r="P603" s="59">
        <f>IF(AG603="5",J603,0)</f>
        <v>0</v>
      </c>
      <c r="R603" s="59">
        <f>IF(AG603="1",H603,0)</f>
        <v>0</v>
      </c>
      <c r="S603" s="59">
        <f>IF(AG603="1",I603,0)</f>
        <v>0</v>
      </c>
      <c r="T603" s="59">
        <f>IF(AG603="7",H603,0)</f>
        <v>0</v>
      </c>
      <c r="U603" s="59">
        <f>IF(AG603="7",I603,0)</f>
        <v>0</v>
      </c>
      <c r="V603" s="59">
        <f>IF(AG603="2",H603,0)</f>
        <v>0</v>
      </c>
      <c r="W603" s="59">
        <f>IF(AG603="2",I603,0)</f>
        <v>0</v>
      </c>
      <c r="X603" s="59">
        <f>IF(AG603="0",J603,0)</f>
        <v>0</v>
      </c>
      <c r="Y603" s="49"/>
      <c r="Z603" s="33">
        <f>IF(AD603=0,J603,0)</f>
        <v>0</v>
      </c>
      <c r="AA603" s="33">
        <f>IF(AD603=15,J603,0)</f>
        <v>0</v>
      </c>
      <c r="AB603" s="33">
        <f>IF(AD603=21,J603,0)</f>
        <v>0</v>
      </c>
      <c r="AD603" s="59">
        <v>21</v>
      </c>
      <c r="AE603" s="59">
        <f>G603*0.100723327305606</f>
        <v>0</v>
      </c>
      <c r="AF603" s="59">
        <f>G603*(1-0.100723327305606)</f>
        <v>0</v>
      </c>
      <c r="AG603" s="55" t="s">
        <v>7</v>
      </c>
      <c r="AM603" s="59">
        <f>F603*AE603</f>
        <v>0</v>
      </c>
      <c r="AN603" s="59">
        <f>F603*AF603</f>
        <v>0</v>
      </c>
      <c r="AO603" s="60" t="s">
        <v>1162</v>
      </c>
      <c r="AP603" s="60" t="s">
        <v>1181</v>
      </c>
      <c r="AQ603" s="49" t="s">
        <v>1182</v>
      </c>
      <c r="AS603" s="59">
        <f>AM603+AN603</f>
        <v>0</v>
      </c>
      <c r="AT603" s="59">
        <f>G603/(100-AU603)*100</f>
        <v>0</v>
      </c>
      <c r="AU603" s="59">
        <v>0</v>
      </c>
      <c r="AV603" s="59">
        <f>L603</f>
        <v>2.685516</v>
      </c>
    </row>
    <row r="604" spans="4:6" ht="12.75">
      <c r="D604" s="28" t="s">
        <v>1033</v>
      </c>
      <c r="F604" s="34">
        <v>34.8</v>
      </c>
    </row>
    <row r="605" spans="1:48" ht="12.75">
      <c r="A605" s="10" t="s">
        <v>218</v>
      </c>
      <c r="B605" s="10"/>
      <c r="C605" s="10" t="s">
        <v>470</v>
      </c>
      <c r="D605" s="10" t="s">
        <v>1034</v>
      </c>
      <c r="E605" s="10" t="s">
        <v>1086</v>
      </c>
      <c r="F605" s="33">
        <v>2.8</v>
      </c>
      <c r="G605" s="33">
        <v>0</v>
      </c>
      <c r="H605" s="33">
        <f>F605*AE605</f>
        <v>0</v>
      </c>
      <c r="I605" s="33">
        <f>J605-H605</f>
        <v>0</v>
      </c>
      <c r="J605" s="33">
        <f>F605*G605</f>
        <v>0</v>
      </c>
      <c r="K605" s="33">
        <v>0.064</v>
      </c>
      <c r="L605" s="33">
        <f>F605*K605</f>
        <v>0.1792</v>
      </c>
      <c r="M605" s="55" t="s">
        <v>1113</v>
      </c>
      <c r="P605" s="59">
        <f>IF(AG605="5",J605,0)</f>
        <v>0</v>
      </c>
      <c r="R605" s="59">
        <f>IF(AG605="1",H605,0)</f>
        <v>0</v>
      </c>
      <c r="S605" s="59">
        <f>IF(AG605="1",I605,0)</f>
        <v>0</v>
      </c>
      <c r="T605" s="59">
        <f>IF(AG605="7",H605,0)</f>
        <v>0</v>
      </c>
      <c r="U605" s="59">
        <f>IF(AG605="7",I605,0)</f>
        <v>0</v>
      </c>
      <c r="V605" s="59">
        <f>IF(AG605="2",H605,0)</f>
        <v>0</v>
      </c>
      <c r="W605" s="59">
        <f>IF(AG605="2",I605,0)</f>
        <v>0</v>
      </c>
      <c r="X605" s="59">
        <f>IF(AG605="0",J605,0)</f>
        <v>0</v>
      </c>
      <c r="Y605" s="49"/>
      <c r="Z605" s="33">
        <f>IF(AD605=0,J605,0)</f>
        <v>0</v>
      </c>
      <c r="AA605" s="33">
        <f>IF(AD605=15,J605,0)</f>
        <v>0</v>
      </c>
      <c r="AB605" s="33">
        <f>IF(AD605=21,J605,0)</f>
        <v>0</v>
      </c>
      <c r="AD605" s="59">
        <v>21</v>
      </c>
      <c r="AE605" s="59">
        <f>G605*0.111007875851275</f>
        <v>0</v>
      </c>
      <c r="AF605" s="59">
        <f>G605*(1-0.111007875851275)</f>
        <v>0</v>
      </c>
      <c r="AG605" s="55" t="s">
        <v>7</v>
      </c>
      <c r="AM605" s="59">
        <f>F605*AE605</f>
        <v>0</v>
      </c>
      <c r="AN605" s="59">
        <f>F605*AF605</f>
        <v>0</v>
      </c>
      <c r="AO605" s="60" t="s">
        <v>1162</v>
      </c>
      <c r="AP605" s="60" t="s">
        <v>1181</v>
      </c>
      <c r="AQ605" s="49" t="s">
        <v>1182</v>
      </c>
      <c r="AS605" s="59">
        <f>AM605+AN605</f>
        <v>0</v>
      </c>
      <c r="AT605" s="59">
        <f>G605/(100-AU605)*100</f>
        <v>0</v>
      </c>
      <c r="AU605" s="59">
        <v>0</v>
      </c>
      <c r="AV605" s="59">
        <f>L605</f>
        <v>0.1792</v>
      </c>
    </row>
    <row r="606" spans="4:6" ht="12.75">
      <c r="D606" s="28" t="s">
        <v>1035</v>
      </c>
      <c r="F606" s="34">
        <v>2.8</v>
      </c>
    </row>
    <row r="607" spans="1:48" ht="12.75">
      <c r="A607" s="10" t="s">
        <v>219</v>
      </c>
      <c r="B607" s="10"/>
      <c r="C607" s="10" t="s">
        <v>464</v>
      </c>
      <c r="D607" s="10" t="s">
        <v>1003</v>
      </c>
      <c r="E607" s="10" t="s">
        <v>1083</v>
      </c>
      <c r="F607" s="33">
        <v>8.4</v>
      </c>
      <c r="G607" s="33">
        <v>0</v>
      </c>
      <c r="H607" s="33">
        <f>F607*AE607</f>
        <v>0</v>
      </c>
      <c r="I607" s="33">
        <f>J607-H607</f>
        <v>0</v>
      </c>
      <c r="J607" s="33">
        <f>F607*G607</f>
        <v>0</v>
      </c>
      <c r="K607" s="33">
        <v>1.95128</v>
      </c>
      <c r="L607" s="33">
        <f>F607*K607</f>
        <v>16.390752</v>
      </c>
      <c r="M607" s="55" t="s">
        <v>1115</v>
      </c>
      <c r="P607" s="59">
        <f>IF(AG607="5",J607,0)</f>
        <v>0</v>
      </c>
      <c r="R607" s="59">
        <f>IF(AG607="1",H607,0)</f>
        <v>0</v>
      </c>
      <c r="S607" s="59">
        <f>IF(AG607="1",I607,0)</f>
        <v>0</v>
      </c>
      <c r="T607" s="59">
        <f>IF(AG607="7",H607,0)</f>
        <v>0</v>
      </c>
      <c r="U607" s="59">
        <f>IF(AG607="7",I607,0)</f>
        <v>0</v>
      </c>
      <c r="V607" s="59">
        <f>IF(AG607="2",H607,0)</f>
        <v>0</v>
      </c>
      <c r="W607" s="59">
        <f>IF(AG607="2",I607,0)</f>
        <v>0</v>
      </c>
      <c r="X607" s="59">
        <f>IF(AG607="0",J607,0)</f>
        <v>0</v>
      </c>
      <c r="Y607" s="49"/>
      <c r="Z607" s="33">
        <f>IF(AD607=0,J607,0)</f>
        <v>0</v>
      </c>
      <c r="AA607" s="33">
        <f>IF(AD607=15,J607,0)</f>
        <v>0</v>
      </c>
      <c r="AB607" s="33">
        <f>IF(AD607=21,J607,0)</f>
        <v>0</v>
      </c>
      <c r="AD607" s="59">
        <v>21</v>
      </c>
      <c r="AE607" s="59">
        <f>G607*0.0404926764314248</f>
        <v>0</v>
      </c>
      <c r="AF607" s="59">
        <f>G607*(1-0.0404926764314248)</f>
        <v>0</v>
      </c>
      <c r="AG607" s="55" t="s">
        <v>7</v>
      </c>
      <c r="AM607" s="59">
        <f>F607*AE607</f>
        <v>0</v>
      </c>
      <c r="AN607" s="59">
        <f>F607*AF607</f>
        <v>0</v>
      </c>
      <c r="AO607" s="60" t="s">
        <v>1162</v>
      </c>
      <c r="AP607" s="60" t="s">
        <v>1181</v>
      </c>
      <c r="AQ607" s="49" t="s">
        <v>1182</v>
      </c>
      <c r="AS607" s="59">
        <f>AM607+AN607</f>
        <v>0</v>
      </c>
      <c r="AT607" s="59">
        <f>G607/(100-AU607)*100</f>
        <v>0</v>
      </c>
      <c r="AU607" s="59">
        <v>0</v>
      </c>
      <c r="AV607" s="59">
        <f>L607</f>
        <v>16.390752</v>
      </c>
    </row>
    <row r="608" spans="4:6" ht="12.75">
      <c r="D608" s="28" t="s">
        <v>1036</v>
      </c>
      <c r="F608" s="34">
        <v>8.4</v>
      </c>
    </row>
    <row r="609" spans="4:6" ht="12.75">
      <c r="D609" s="28" t="s">
        <v>1037</v>
      </c>
      <c r="F609" s="34">
        <v>0</v>
      </c>
    </row>
    <row r="610" spans="1:37" ht="12.75">
      <c r="A610" s="11"/>
      <c r="B610" s="24"/>
      <c r="C610" s="24" t="s">
        <v>103</v>
      </c>
      <c r="D610" s="24" t="s">
        <v>1038</v>
      </c>
      <c r="E610" s="11" t="s">
        <v>6</v>
      </c>
      <c r="F610" s="11" t="s">
        <v>6</v>
      </c>
      <c r="G610" s="11" t="s">
        <v>6</v>
      </c>
      <c r="H610" s="62">
        <f>SUM(H611:H618)</f>
        <v>0</v>
      </c>
      <c r="I610" s="62">
        <f>SUM(I611:I618)</f>
        <v>0</v>
      </c>
      <c r="J610" s="62">
        <f>H610+I610</f>
        <v>0</v>
      </c>
      <c r="K610" s="49"/>
      <c r="L610" s="62">
        <f>SUM(L611:L618)</f>
        <v>31.442906</v>
      </c>
      <c r="M610" s="49"/>
      <c r="Y610" s="49"/>
      <c r="AI610" s="62">
        <f>SUM(Z611:Z618)</f>
        <v>0</v>
      </c>
      <c r="AJ610" s="62">
        <f>SUM(AA611:AA618)</f>
        <v>0</v>
      </c>
      <c r="AK610" s="62">
        <f>SUM(AB611:AB618)</f>
        <v>0</v>
      </c>
    </row>
    <row r="611" spans="1:48" ht="12.75">
      <c r="A611" s="10" t="s">
        <v>220</v>
      </c>
      <c r="B611" s="10"/>
      <c r="C611" s="10" t="s">
        <v>471</v>
      </c>
      <c r="D611" s="10" t="s">
        <v>1039</v>
      </c>
      <c r="E611" s="10" t="s">
        <v>1084</v>
      </c>
      <c r="F611" s="33">
        <v>46.95</v>
      </c>
      <c r="G611" s="33">
        <v>0</v>
      </c>
      <c r="H611" s="33">
        <f>F611*AE611</f>
        <v>0</v>
      </c>
      <c r="I611" s="33">
        <f>J611-H611</f>
        <v>0</v>
      </c>
      <c r="J611" s="33">
        <f>F611*G611</f>
        <v>0</v>
      </c>
      <c r="K611" s="33">
        <v>0.16228</v>
      </c>
      <c r="L611" s="33">
        <f>F611*K611</f>
        <v>7.619046000000001</v>
      </c>
      <c r="M611" s="55" t="s">
        <v>1113</v>
      </c>
      <c r="P611" s="59">
        <f>IF(AG611="5",J611,0)</f>
        <v>0</v>
      </c>
      <c r="R611" s="59">
        <f>IF(AG611="1",H611,0)</f>
        <v>0</v>
      </c>
      <c r="S611" s="59">
        <f>IF(AG611="1",I611,0)</f>
        <v>0</v>
      </c>
      <c r="T611" s="59">
        <f>IF(AG611="7",H611,0)</f>
        <v>0</v>
      </c>
      <c r="U611" s="59">
        <f>IF(AG611="7",I611,0)</f>
        <v>0</v>
      </c>
      <c r="V611" s="59">
        <f>IF(AG611="2",H611,0)</f>
        <v>0</v>
      </c>
      <c r="W611" s="59">
        <f>IF(AG611="2",I611,0)</f>
        <v>0</v>
      </c>
      <c r="X611" s="59">
        <f>IF(AG611="0",J611,0)</f>
        <v>0</v>
      </c>
      <c r="Y611" s="49"/>
      <c r="Z611" s="33">
        <f>IF(AD611=0,J611,0)</f>
        <v>0</v>
      </c>
      <c r="AA611" s="33">
        <f>IF(AD611=15,J611,0)</f>
        <v>0</v>
      </c>
      <c r="AB611" s="33">
        <f>IF(AD611=21,J611,0)</f>
        <v>0</v>
      </c>
      <c r="AD611" s="59">
        <v>21</v>
      </c>
      <c r="AE611" s="59">
        <f>G611*0.0142250530785563</f>
        <v>0</v>
      </c>
      <c r="AF611" s="59">
        <f>G611*(1-0.0142250530785563)</f>
        <v>0</v>
      </c>
      <c r="AG611" s="55" t="s">
        <v>7</v>
      </c>
      <c r="AM611" s="59">
        <f>F611*AE611</f>
        <v>0</v>
      </c>
      <c r="AN611" s="59">
        <f>F611*AF611</f>
        <v>0</v>
      </c>
      <c r="AO611" s="60" t="s">
        <v>1163</v>
      </c>
      <c r="AP611" s="60" t="s">
        <v>1181</v>
      </c>
      <c r="AQ611" s="49" t="s">
        <v>1182</v>
      </c>
      <c r="AS611" s="59">
        <f>AM611+AN611</f>
        <v>0</v>
      </c>
      <c r="AT611" s="59">
        <f>G611/(100-AU611)*100</f>
        <v>0</v>
      </c>
      <c r="AU611" s="59">
        <v>0</v>
      </c>
      <c r="AV611" s="59">
        <f>L611</f>
        <v>7.619046000000001</v>
      </c>
    </row>
    <row r="612" spans="4:6" ht="12.75">
      <c r="D612" s="28" t="s">
        <v>1040</v>
      </c>
      <c r="F612" s="34">
        <v>11.4</v>
      </c>
    </row>
    <row r="613" spans="4:6" ht="12.75">
      <c r="D613" s="28" t="s">
        <v>1041</v>
      </c>
      <c r="F613" s="34">
        <v>10.8</v>
      </c>
    </row>
    <row r="614" spans="4:6" ht="12.75">
      <c r="D614" s="28" t="s">
        <v>1042</v>
      </c>
      <c r="F614" s="34">
        <v>7.2</v>
      </c>
    </row>
    <row r="615" spans="4:6" ht="12.75">
      <c r="D615" s="28" t="s">
        <v>1043</v>
      </c>
      <c r="F615" s="34">
        <v>17.55</v>
      </c>
    </row>
    <row r="616" spans="1:48" ht="12.75">
      <c r="A616" s="10" t="s">
        <v>221</v>
      </c>
      <c r="B616" s="10"/>
      <c r="C616" s="10" t="s">
        <v>472</v>
      </c>
      <c r="D616" s="10" t="s">
        <v>1044</v>
      </c>
      <c r="E616" s="10" t="s">
        <v>1086</v>
      </c>
      <c r="F616" s="33">
        <v>1183.66</v>
      </c>
      <c r="G616" s="33">
        <v>0</v>
      </c>
      <c r="H616" s="33">
        <f>F616*AE616</f>
        <v>0</v>
      </c>
      <c r="I616" s="33">
        <f>J616-H616</f>
        <v>0</v>
      </c>
      <c r="J616" s="33">
        <f>F616*G616</f>
        <v>0</v>
      </c>
      <c r="K616" s="33">
        <v>0.02</v>
      </c>
      <c r="L616" s="33">
        <f>F616*K616</f>
        <v>23.6732</v>
      </c>
      <c r="M616" s="55" t="s">
        <v>1113</v>
      </c>
      <c r="P616" s="59">
        <f>IF(AG616="5",J616,0)</f>
        <v>0</v>
      </c>
      <c r="R616" s="59">
        <f>IF(AG616="1",H616,0)</f>
        <v>0</v>
      </c>
      <c r="S616" s="59">
        <f>IF(AG616="1",I616,0)</f>
        <v>0</v>
      </c>
      <c r="T616" s="59">
        <f>IF(AG616="7",H616,0)</f>
        <v>0</v>
      </c>
      <c r="U616" s="59">
        <f>IF(AG616="7",I616,0)</f>
        <v>0</v>
      </c>
      <c r="V616" s="59">
        <f>IF(AG616="2",H616,0)</f>
        <v>0</v>
      </c>
      <c r="W616" s="59">
        <f>IF(AG616="2",I616,0)</f>
        <v>0</v>
      </c>
      <c r="X616" s="59">
        <f>IF(AG616="0",J616,0)</f>
        <v>0</v>
      </c>
      <c r="Y616" s="49"/>
      <c r="Z616" s="33">
        <f>IF(AD616=0,J616,0)</f>
        <v>0</v>
      </c>
      <c r="AA616" s="33">
        <f>IF(AD616=15,J616,0)</f>
        <v>0</v>
      </c>
      <c r="AB616" s="33">
        <f>IF(AD616=21,J616,0)</f>
        <v>0</v>
      </c>
      <c r="AD616" s="59">
        <v>21</v>
      </c>
      <c r="AE616" s="59">
        <f>G616*0</f>
        <v>0</v>
      </c>
      <c r="AF616" s="59">
        <f>G616*(1-0)</f>
        <v>0</v>
      </c>
      <c r="AG616" s="55" t="s">
        <v>7</v>
      </c>
      <c r="AM616" s="59">
        <f>F616*AE616</f>
        <v>0</v>
      </c>
      <c r="AN616" s="59">
        <f>F616*AF616</f>
        <v>0</v>
      </c>
      <c r="AO616" s="60" t="s">
        <v>1163</v>
      </c>
      <c r="AP616" s="60" t="s">
        <v>1181</v>
      </c>
      <c r="AQ616" s="49" t="s">
        <v>1182</v>
      </c>
      <c r="AS616" s="59">
        <f>AM616+AN616</f>
        <v>0</v>
      </c>
      <c r="AT616" s="59">
        <f>G616/(100-AU616)*100</f>
        <v>0</v>
      </c>
      <c r="AU616" s="59">
        <v>0</v>
      </c>
      <c r="AV616" s="59">
        <f>L616</f>
        <v>23.6732</v>
      </c>
    </row>
    <row r="617" spans="4:6" ht="12.75">
      <c r="D617" s="28" t="s">
        <v>1045</v>
      </c>
      <c r="F617" s="34">
        <v>1183.66</v>
      </c>
    </row>
    <row r="618" spans="1:48" ht="12.75">
      <c r="A618" s="10" t="s">
        <v>222</v>
      </c>
      <c r="B618" s="10"/>
      <c r="C618" s="10" t="s">
        <v>473</v>
      </c>
      <c r="D618" s="10" t="s">
        <v>1046</v>
      </c>
      <c r="E618" s="10" t="s">
        <v>1088</v>
      </c>
      <c r="F618" s="33">
        <v>2</v>
      </c>
      <c r="G618" s="33">
        <v>0</v>
      </c>
      <c r="H618" s="33">
        <f>F618*AE618</f>
        <v>0</v>
      </c>
      <c r="I618" s="33">
        <f>J618-H618</f>
        <v>0</v>
      </c>
      <c r="J618" s="33">
        <f>F618*G618</f>
        <v>0</v>
      </c>
      <c r="K618" s="33">
        <v>0.07533</v>
      </c>
      <c r="L618" s="33">
        <f>F618*K618</f>
        <v>0.15066</v>
      </c>
      <c r="M618" s="55" t="s">
        <v>1115</v>
      </c>
      <c r="P618" s="59">
        <f>IF(AG618="5",J618,0)</f>
        <v>0</v>
      </c>
      <c r="R618" s="59">
        <f>IF(AG618="1",H618,0)</f>
        <v>0</v>
      </c>
      <c r="S618" s="59">
        <f>IF(AG618="1",I618,0)</f>
        <v>0</v>
      </c>
      <c r="T618" s="59">
        <f>IF(AG618="7",H618,0)</f>
        <v>0</v>
      </c>
      <c r="U618" s="59">
        <f>IF(AG618="7",I618,0)</f>
        <v>0</v>
      </c>
      <c r="V618" s="59">
        <f>IF(AG618="2",H618,0)</f>
        <v>0</v>
      </c>
      <c r="W618" s="59">
        <f>IF(AG618="2",I618,0)</f>
        <v>0</v>
      </c>
      <c r="X618" s="59">
        <f>IF(AG618="0",J618,0)</f>
        <v>0</v>
      </c>
      <c r="Y618" s="49"/>
      <c r="Z618" s="33">
        <f>IF(AD618=0,J618,0)</f>
        <v>0</v>
      </c>
      <c r="AA618" s="33">
        <f>IF(AD618=15,J618,0)</f>
        <v>0</v>
      </c>
      <c r="AB618" s="33">
        <f>IF(AD618=21,J618,0)</f>
        <v>0</v>
      </c>
      <c r="AD618" s="59">
        <v>21</v>
      </c>
      <c r="AE618" s="59">
        <f>G618*0.126714931402744</f>
        <v>0</v>
      </c>
      <c r="AF618" s="59">
        <f>G618*(1-0.126714931402744)</f>
        <v>0</v>
      </c>
      <c r="AG618" s="55" t="s">
        <v>7</v>
      </c>
      <c r="AM618" s="59">
        <f>F618*AE618</f>
        <v>0</v>
      </c>
      <c r="AN618" s="59">
        <f>F618*AF618</f>
        <v>0</v>
      </c>
      <c r="AO618" s="60" t="s">
        <v>1163</v>
      </c>
      <c r="AP618" s="60" t="s">
        <v>1181</v>
      </c>
      <c r="AQ618" s="49" t="s">
        <v>1182</v>
      </c>
      <c r="AS618" s="59">
        <f>AM618+AN618</f>
        <v>0</v>
      </c>
      <c r="AT618" s="59">
        <f>G618/(100-AU618)*100</f>
        <v>0</v>
      </c>
      <c r="AU618" s="59">
        <v>0</v>
      </c>
      <c r="AV618" s="59">
        <f>L618</f>
        <v>0.15066</v>
      </c>
    </row>
    <row r="619" spans="4:6" ht="12.75">
      <c r="D619" s="28" t="s">
        <v>1047</v>
      </c>
      <c r="F619" s="34">
        <v>2</v>
      </c>
    </row>
    <row r="620" spans="1:37" ht="12.75">
      <c r="A620" s="11"/>
      <c r="B620" s="24"/>
      <c r="C620" s="24" t="s">
        <v>474</v>
      </c>
      <c r="D620" s="24" t="s">
        <v>1048</v>
      </c>
      <c r="E620" s="11" t="s">
        <v>6</v>
      </c>
      <c r="F620" s="11" t="s">
        <v>6</v>
      </c>
      <c r="G620" s="11" t="s">
        <v>6</v>
      </c>
      <c r="H620" s="62">
        <f>SUM(H621:H621)</f>
        <v>0</v>
      </c>
      <c r="I620" s="62">
        <f>SUM(I621:I621)</f>
        <v>0</v>
      </c>
      <c r="J620" s="62">
        <f>H620+I620</f>
        <v>0</v>
      </c>
      <c r="K620" s="49"/>
      <c r="L620" s="62">
        <f>SUM(L621:L621)</f>
        <v>0</v>
      </c>
      <c r="M620" s="49"/>
      <c r="Y620" s="49"/>
      <c r="AI620" s="62">
        <f>SUM(Z621:Z621)</f>
        <v>0</v>
      </c>
      <c r="AJ620" s="62">
        <f>SUM(AA621:AA621)</f>
        <v>0</v>
      </c>
      <c r="AK620" s="62">
        <f>SUM(AB621:AB621)</f>
        <v>0</v>
      </c>
    </row>
    <row r="621" spans="1:48" ht="12.75">
      <c r="A621" s="10" t="s">
        <v>223</v>
      </c>
      <c r="B621" s="10"/>
      <c r="C621" s="10" t="s">
        <v>475</v>
      </c>
      <c r="D621" s="10" t="s">
        <v>1049</v>
      </c>
      <c r="E621" s="10" t="s">
        <v>1085</v>
      </c>
      <c r="F621" s="33">
        <v>961.723</v>
      </c>
      <c r="G621" s="33">
        <v>0</v>
      </c>
      <c r="H621" s="33">
        <f>F621*AE621</f>
        <v>0</v>
      </c>
      <c r="I621" s="33">
        <f>J621-H621</f>
        <v>0</v>
      </c>
      <c r="J621" s="33">
        <f>F621*G621</f>
        <v>0</v>
      </c>
      <c r="K621" s="33">
        <v>0</v>
      </c>
      <c r="L621" s="33">
        <f>F621*K621</f>
        <v>0</v>
      </c>
      <c r="M621" s="55" t="s">
        <v>1113</v>
      </c>
      <c r="P621" s="59">
        <f>IF(AG621="5",J621,0)</f>
        <v>0</v>
      </c>
      <c r="R621" s="59">
        <f>IF(AG621="1",H621,0)</f>
        <v>0</v>
      </c>
      <c r="S621" s="59">
        <f>IF(AG621="1",I621,0)</f>
        <v>0</v>
      </c>
      <c r="T621" s="59">
        <f>IF(AG621="7",H621,0)</f>
        <v>0</v>
      </c>
      <c r="U621" s="59">
        <f>IF(AG621="7",I621,0)</f>
        <v>0</v>
      </c>
      <c r="V621" s="59">
        <f>IF(AG621="2",H621,0)</f>
        <v>0</v>
      </c>
      <c r="W621" s="59">
        <f>IF(AG621="2",I621,0)</f>
        <v>0</v>
      </c>
      <c r="X621" s="59">
        <f>IF(AG621="0",J621,0)</f>
        <v>0</v>
      </c>
      <c r="Y621" s="49"/>
      <c r="Z621" s="33">
        <f>IF(AD621=0,J621,0)</f>
        <v>0</v>
      </c>
      <c r="AA621" s="33">
        <f>IF(AD621=15,J621,0)</f>
        <v>0</v>
      </c>
      <c r="AB621" s="33">
        <f>IF(AD621=21,J621,0)</f>
        <v>0</v>
      </c>
      <c r="AD621" s="59">
        <v>21</v>
      </c>
      <c r="AE621" s="59">
        <f>G621*0</f>
        <v>0</v>
      </c>
      <c r="AF621" s="59">
        <f>G621*(1-0)</f>
        <v>0</v>
      </c>
      <c r="AG621" s="55" t="s">
        <v>11</v>
      </c>
      <c r="AM621" s="59">
        <f>F621*AE621</f>
        <v>0</v>
      </c>
      <c r="AN621" s="59">
        <f>F621*AF621</f>
        <v>0</v>
      </c>
      <c r="AO621" s="60" t="s">
        <v>1164</v>
      </c>
      <c r="AP621" s="60" t="s">
        <v>1181</v>
      </c>
      <c r="AQ621" s="49" t="s">
        <v>1182</v>
      </c>
      <c r="AS621" s="59">
        <f>AM621+AN621</f>
        <v>0</v>
      </c>
      <c r="AT621" s="59">
        <f>G621/(100-AU621)*100</f>
        <v>0</v>
      </c>
      <c r="AU621" s="59">
        <v>0</v>
      </c>
      <c r="AV621" s="59">
        <f>L621</f>
        <v>0</v>
      </c>
    </row>
    <row r="622" spans="4:6" ht="12.75">
      <c r="D622" s="28" t="s">
        <v>1050</v>
      </c>
      <c r="F622" s="34">
        <v>961.723</v>
      </c>
    </row>
    <row r="623" spans="1:37" ht="12.75">
      <c r="A623" s="11"/>
      <c r="B623" s="24"/>
      <c r="C623" s="24" t="s">
        <v>476</v>
      </c>
      <c r="D623" s="24" t="s">
        <v>1051</v>
      </c>
      <c r="E623" s="11" t="s">
        <v>6</v>
      </c>
      <c r="F623" s="11" t="s">
        <v>6</v>
      </c>
      <c r="G623" s="11" t="s">
        <v>6</v>
      </c>
      <c r="H623" s="62">
        <f>SUM(H624:H626)</f>
        <v>0</v>
      </c>
      <c r="I623" s="62">
        <f>SUM(I624:I626)</f>
        <v>0</v>
      </c>
      <c r="J623" s="62">
        <f>H623+I623</f>
        <v>0</v>
      </c>
      <c r="K623" s="49"/>
      <c r="L623" s="62">
        <f>SUM(L624:L626)</f>
        <v>0</v>
      </c>
      <c r="M623" s="49"/>
      <c r="Y623" s="49"/>
      <c r="AI623" s="62">
        <f>SUM(Z624:Z626)</f>
        <v>0</v>
      </c>
      <c r="AJ623" s="62">
        <f>SUM(AA624:AA626)</f>
        <v>0</v>
      </c>
      <c r="AK623" s="62">
        <f>SUM(AB624:AB626)</f>
        <v>0</v>
      </c>
    </row>
    <row r="624" spans="1:48" ht="12.75">
      <c r="A624" s="10" t="s">
        <v>224</v>
      </c>
      <c r="B624" s="10"/>
      <c r="C624" s="10" t="s">
        <v>477</v>
      </c>
      <c r="D624" s="10" t="s">
        <v>1052</v>
      </c>
      <c r="E624" s="10" t="s">
        <v>1089</v>
      </c>
      <c r="F624" s="33">
        <v>1</v>
      </c>
      <c r="G624" s="33">
        <v>0</v>
      </c>
      <c r="H624" s="33">
        <f>F624*AE624</f>
        <v>0</v>
      </c>
      <c r="I624" s="33">
        <f>J624-H624</f>
        <v>0</v>
      </c>
      <c r="J624" s="33">
        <f>F624*G624</f>
        <v>0</v>
      </c>
      <c r="K624" s="33">
        <v>0</v>
      </c>
      <c r="L624" s="33">
        <f>F624*K624</f>
        <v>0</v>
      </c>
      <c r="M624" s="55" t="s">
        <v>1113</v>
      </c>
      <c r="P624" s="59">
        <f>IF(AG624="5",J624,0)</f>
        <v>0</v>
      </c>
      <c r="R624" s="59">
        <f>IF(AG624="1",H624,0)</f>
        <v>0</v>
      </c>
      <c r="S624" s="59">
        <f>IF(AG624="1",I624,0)</f>
        <v>0</v>
      </c>
      <c r="T624" s="59">
        <f>IF(AG624="7",H624,0)</f>
        <v>0</v>
      </c>
      <c r="U624" s="59">
        <f>IF(AG624="7",I624,0)</f>
        <v>0</v>
      </c>
      <c r="V624" s="59">
        <f>IF(AG624="2",H624,0)</f>
        <v>0</v>
      </c>
      <c r="W624" s="59">
        <f>IF(AG624="2",I624,0)</f>
        <v>0</v>
      </c>
      <c r="X624" s="59">
        <f>IF(AG624="0",J624,0)</f>
        <v>0</v>
      </c>
      <c r="Y624" s="49"/>
      <c r="Z624" s="33">
        <f>IF(AD624=0,J624,0)</f>
        <v>0</v>
      </c>
      <c r="AA624" s="33">
        <f>IF(AD624=15,J624,0)</f>
        <v>0</v>
      </c>
      <c r="AB624" s="33">
        <f>IF(AD624=21,J624,0)</f>
        <v>0</v>
      </c>
      <c r="AD624" s="59">
        <v>21</v>
      </c>
      <c r="AE624" s="59">
        <f>G624*0.512651776042154</f>
        <v>0</v>
      </c>
      <c r="AF624" s="59">
        <f>G624*(1-0.512651776042154)</f>
        <v>0</v>
      </c>
      <c r="AG624" s="55" t="s">
        <v>8</v>
      </c>
      <c r="AM624" s="59">
        <f>F624*AE624</f>
        <v>0</v>
      </c>
      <c r="AN624" s="59">
        <f>F624*AF624</f>
        <v>0</v>
      </c>
      <c r="AO624" s="60" t="s">
        <v>1165</v>
      </c>
      <c r="AP624" s="60" t="s">
        <v>1181</v>
      </c>
      <c r="AQ624" s="49" t="s">
        <v>1182</v>
      </c>
      <c r="AS624" s="59">
        <f>AM624+AN624</f>
        <v>0</v>
      </c>
      <c r="AT624" s="59">
        <f>G624/(100-AU624)*100</f>
        <v>0</v>
      </c>
      <c r="AU624" s="59">
        <v>0</v>
      </c>
      <c r="AV624" s="59">
        <f>L624</f>
        <v>0</v>
      </c>
    </row>
    <row r="625" spans="4:6" ht="12.75">
      <c r="D625" s="28" t="s">
        <v>7</v>
      </c>
      <c r="F625" s="34">
        <v>1</v>
      </c>
    </row>
    <row r="626" spans="1:48" ht="12.75">
      <c r="A626" s="10" t="s">
        <v>225</v>
      </c>
      <c r="B626" s="10"/>
      <c r="C626" s="10" t="s">
        <v>478</v>
      </c>
      <c r="D626" s="10" t="s">
        <v>1053</v>
      </c>
      <c r="E626" s="10" t="s">
        <v>1087</v>
      </c>
      <c r="F626" s="33">
        <v>1</v>
      </c>
      <c r="G626" s="33">
        <v>0</v>
      </c>
      <c r="H626" s="33">
        <f>F626*AE626</f>
        <v>0</v>
      </c>
      <c r="I626" s="33">
        <f>J626-H626</f>
        <v>0</v>
      </c>
      <c r="J626" s="33">
        <f>F626*G626</f>
        <v>0</v>
      </c>
      <c r="K626" s="33">
        <v>0</v>
      </c>
      <c r="L626" s="33">
        <f>F626*K626</f>
        <v>0</v>
      </c>
      <c r="M626" s="55" t="s">
        <v>1115</v>
      </c>
      <c r="P626" s="59">
        <f>IF(AG626="5",J626,0)</f>
        <v>0</v>
      </c>
      <c r="R626" s="59">
        <f>IF(AG626="1",H626,0)</f>
        <v>0</v>
      </c>
      <c r="S626" s="59">
        <f>IF(AG626="1",I626,0)</f>
        <v>0</v>
      </c>
      <c r="T626" s="59">
        <f>IF(AG626="7",H626,0)</f>
        <v>0</v>
      </c>
      <c r="U626" s="59">
        <f>IF(AG626="7",I626,0)</f>
        <v>0</v>
      </c>
      <c r="V626" s="59">
        <f>IF(AG626="2",H626,0)</f>
        <v>0</v>
      </c>
      <c r="W626" s="59">
        <f>IF(AG626="2",I626,0)</f>
        <v>0</v>
      </c>
      <c r="X626" s="59">
        <f>IF(AG626="0",J626,0)</f>
        <v>0</v>
      </c>
      <c r="Y626" s="49"/>
      <c r="Z626" s="33">
        <f>IF(AD626=0,J626,0)</f>
        <v>0</v>
      </c>
      <c r="AA626" s="33">
        <f>IF(AD626=15,J626,0)</f>
        <v>0</v>
      </c>
      <c r="AB626" s="33">
        <f>IF(AD626=21,J626,0)</f>
        <v>0</v>
      </c>
      <c r="AD626" s="59">
        <v>21</v>
      </c>
      <c r="AE626" s="59">
        <f>G626*0.548154855939422</f>
        <v>0</v>
      </c>
      <c r="AF626" s="59">
        <f>G626*(1-0.548154855939422)</f>
        <v>0</v>
      </c>
      <c r="AG626" s="55" t="s">
        <v>8</v>
      </c>
      <c r="AM626" s="59">
        <f>F626*AE626</f>
        <v>0</v>
      </c>
      <c r="AN626" s="59">
        <f>F626*AF626</f>
        <v>0</v>
      </c>
      <c r="AO626" s="60" t="s">
        <v>1165</v>
      </c>
      <c r="AP626" s="60" t="s">
        <v>1181</v>
      </c>
      <c r="AQ626" s="49" t="s">
        <v>1182</v>
      </c>
      <c r="AS626" s="59">
        <f>AM626+AN626</f>
        <v>0</v>
      </c>
      <c r="AT626" s="59">
        <f>G626/(100-AU626)*100</f>
        <v>0</v>
      </c>
      <c r="AU626" s="59">
        <v>0</v>
      </c>
      <c r="AV626" s="59">
        <f>L626</f>
        <v>0</v>
      </c>
    </row>
    <row r="627" spans="4:6" ht="12.75">
      <c r="D627" s="28" t="s">
        <v>1054</v>
      </c>
      <c r="F627" s="34">
        <v>1</v>
      </c>
    </row>
    <row r="628" spans="1:37" ht="12.75">
      <c r="A628" s="11"/>
      <c r="B628" s="24"/>
      <c r="C628" s="24" t="s">
        <v>479</v>
      </c>
      <c r="D628" s="24" t="s">
        <v>1055</v>
      </c>
      <c r="E628" s="11" t="s">
        <v>6</v>
      </c>
      <c r="F628" s="11" t="s">
        <v>6</v>
      </c>
      <c r="G628" s="11" t="s">
        <v>6</v>
      </c>
      <c r="H628" s="62">
        <f>SUM(H629:H634)</f>
        <v>0</v>
      </c>
      <c r="I628" s="62">
        <f>SUM(I629:I634)</f>
        <v>0</v>
      </c>
      <c r="J628" s="62">
        <f>H628+I628</f>
        <v>0</v>
      </c>
      <c r="K628" s="49"/>
      <c r="L628" s="62">
        <f>SUM(L629:L634)</f>
        <v>0</v>
      </c>
      <c r="M628" s="49"/>
      <c r="Y628" s="49"/>
      <c r="AI628" s="62">
        <f>SUM(Z629:Z634)</f>
        <v>0</v>
      </c>
      <c r="AJ628" s="62">
        <f>SUM(AA629:AA634)</f>
        <v>0</v>
      </c>
      <c r="AK628" s="62">
        <f>SUM(AB629:AB634)</f>
        <v>0</v>
      </c>
    </row>
    <row r="629" spans="1:48" ht="12.75">
      <c r="A629" s="10" t="s">
        <v>226</v>
      </c>
      <c r="B629" s="10"/>
      <c r="C629" s="10" t="s">
        <v>480</v>
      </c>
      <c r="D629" s="10" t="s">
        <v>1056</v>
      </c>
      <c r="E629" s="10" t="s">
        <v>1088</v>
      </c>
      <c r="F629" s="33">
        <v>1</v>
      </c>
      <c r="G629" s="33">
        <v>0</v>
      </c>
      <c r="H629" s="33">
        <f>F629*AE629</f>
        <v>0</v>
      </c>
      <c r="I629" s="33">
        <f>J629-H629</f>
        <v>0</v>
      </c>
      <c r="J629" s="33">
        <f>F629*G629</f>
        <v>0</v>
      </c>
      <c r="K629" s="33">
        <v>0</v>
      </c>
      <c r="L629" s="33">
        <f>F629*K629</f>
        <v>0</v>
      </c>
      <c r="M629" s="55" t="s">
        <v>1113</v>
      </c>
      <c r="P629" s="59">
        <f>IF(AG629="5",J629,0)</f>
        <v>0</v>
      </c>
      <c r="R629" s="59">
        <f>IF(AG629="1",H629,0)</f>
        <v>0</v>
      </c>
      <c r="S629" s="59">
        <f>IF(AG629="1",I629,0)</f>
        <v>0</v>
      </c>
      <c r="T629" s="59">
        <f>IF(AG629="7",H629,0)</f>
        <v>0</v>
      </c>
      <c r="U629" s="59">
        <f>IF(AG629="7",I629,0)</f>
        <v>0</v>
      </c>
      <c r="V629" s="59">
        <f>IF(AG629="2",H629,0)</f>
        <v>0</v>
      </c>
      <c r="W629" s="59">
        <f>IF(AG629="2",I629,0)</f>
        <v>0</v>
      </c>
      <c r="X629" s="59">
        <f>IF(AG629="0",J629,0)</f>
        <v>0</v>
      </c>
      <c r="Y629" s="49"/>
      <c r="Z629" s="33">
        <f>IF(AD629=0,J629,0)</f>
        <v>0</v>
      </c>
      <c r="AA629" s="33">
        <f>IF(AD629=15,J629,0)</f>
        <v>0</v>
      </c>
      <c r="AB629" s="33">
        <f>IF(AD629=21,J629,0)</f>
        <v>0</v>
      </c>
      <c r="AD629" s="59">
        <v>21</v>
      </c>
      <c r="AE629" s="59">
        <f>G629*0</f>
        <v>0</v>
      </c>
      <c r="AF629" s="59">
        <f>G629*(1-0)</f>
        <v>0</v>
      </c>
      <c r="AG629" s="55" t="s">
        <v>8</v>
      </c>
      <c r="AM629" s="59">
        <f>F629*AE629</f>
        <v>0</v>
      </c>
      <c r="AN629" s="59">
        <f>F629*AF629</f>
        <v>0</v>
      </c>
      <c r="AO629" s="60" t="s">
        <v>1166</v>
      </c>
      <c r="AP629" s="60" t="s">
        <v>1181</v>
      </c>
      <c r="AQ629" s="49" t="s">
        <v>1182</v>
      </c>
      <c r="AS629" s="59">
        <f>AM629+AN629</f>
        <v>0</v>
      </c>
      <c r="AT629" s="59">
        <f>G629/(100-AU629)*100</f>
        <v>0</v>
      </c>
      <c r="AU629" s="59">
        <v>0</v>
      </c>
      <c r="AV629" s="59">
        <f>L629</f>
        <v>0</v>
      </c>
    </row>
    <row r="630" spans="4:6" ht="12.75">
      <c r="D630" s="28" t="s">
        <v>1057</v>
      </c>
      <c r="F630" s="34">
        <v>1</v>
      </c>
    </row>
    <row r="631" spans="1:48" ht="12.75">
      <c r="A631" s="10" t="s">
        <v>227</v>
      </c>
      <c r="B631" s="10"/>
      <c r="C631" s="10"/>
      <c r="D631" s="10"/>
      <c r="E631" s="10"/>
      <c r="F631" s="33">
        <v>0</v>
      </c>
      <c r="G631" s="33">
        <v>0</v>
      </c>
      <c r="H631" s="33">
        <f>F631*AE631</f>
        <v>0</v>
      </c>
      <c r="I631" s="33">
        <f>J631-H631</f>
        <v>0</v>
      </c>
      <c r="J631" s="33">
        <f>F631*G631</f>
        <v>0</v>
      </c>
      <c r="K631" s="33">
        <v>0</v>
      </c>
      <c r="L631" s="33">
        <f>F631*K631</f>
        <v>0</v>
      </c>
      <c r="M631" s="55"/>
      <c r="P631" s="59">
        <f>IF(AG631="5",J631,0)</f>
        <v>0</v>
      </c>
      <c r="R631" s="59">
        <f>IF(AG631="1",H631,0)</f>
        <v>0</v>
      </c>
      <c r="S631" s="59">
        <f>IF(AG631="1",I631,0)</f>
        <v>0</v>
      </c>
      <c r="T631" s="59">
        <f>IF(AG631="7",H631,0)</f>
        <v>0</v>
      </c>
      <c r="U631" s="59">
        <f>IF(AG631="7",I631,0)</f>
        <v>0</v>
      </c>
      <c r="V631" s="59">
        <f>IF(AG631="2",H631,0)</f>
        <v>0</v>
      </c>
      <c r="W631" s="59">
        <f>IF(AG631="2",I631,0)</f>
        <v>0</v>
      </c>
      <c r="X631" s="59">
        <f>IF(AG631="0",J631,0)</f>
        <v>0</v>
      </c>
      <c r="Y631" s="49"/>
      <c r="Z631" s="33">
        <f>IF(AD631=0,J631,0)</f>
        <v>0</v>
      </c>
      <c r="AA631" s="33">
        <f>IF(AD631=15,J631,0)</f>
        <v>0</v>
      </c>
      <c r="AB631" s="33">
        <f>IF(AD631=21,J631,0)</f>
        <v>0</v>
      </c>
      <c r="AD631" s="59">
        <v>21</v>
      </c>
      <c r="AE631" s="59">
        <f>G631*0</f>
        <v>0</v>
      </c>
      <c r="AF631" s="59">
        <f>G631*(1-0)</f>
        <v>0</v>
      </c>
      <c r="AG631" s="55" t="s">
        <v>8</v>
      </c>
      <c r="AM631" s="59">
        <f>F631*AE631</f>
        <v>0</v>
      </c>
      <c r="AN631" s="59">
        <f>F631*AF631</f>
        <v>0</v>
      </c>
      <c r="AO631" s="60" t="s">
        <v>1166</v>
      </c>
      <c r="AP631" s="60" t="s">
        <v>1181</v>
      </c>
      <c r="AQ631" s="49" t="s">
        <v>1182</v>
      </c>
      <c r="AS631" s="59">
        <f>AM631+AN631</f>
        <v>0</v>
      </c>
      <c r="AT631" s="59">
        <f>G631/(100-AU631)*100</f>
        <v>0</v>
      </c>
      <c r="AU631" s="59">
        <v>0</v>
      </c>
      <c r="AV631" s="59">
        <f>L631</f>
        <v>0</v>
      </c>
    </row>
    <row r="632" spans="4:6" ht="12.75">
      <c r="D632" s="28" t="s">
        <v>1058</v>
      </c>
      <c r="F632" s="34">
        <v>0</v>
      </c>
    </row>
    <row r="633" spans="4:6" ht="12.75">
      <c r="D633" s="28" t="s">
        <v>1059</v>
      </c>
      <c r="F633" s="34">
        <v>0</v>
      </c>
    </row>
    <row r="634" spans="1:48" ht="12.75">
      <c r="A634" s="10" t="s">
        <v>228</v>
      </c>
      <c r="B634" s="10"/>
      <c r="C634" s="10" t="s">
        <v>481</v>
      </c>
      <c r="D634" s="10" t="s">
        <v>1060</v>
      </c>
      <c r="E634" s="10" t="s">
        <v>1089</v>
      </c>
      <c r="F634" s="33">
        <v>1</v>
      </c>
      <c r="G634" s="33">
        <v>0</v>
      </c>
      <c r="H634" s="33">
        <f>F634*AE634</f>
        <v>0</v>
      </c>
      <c r="I634" s="33">
        <f>J634-H634</f>
        <v>0</v>
      </c>
      <c r="J634" s="33">
        <f>F634*G634</f>
        <v>0</v>
      </c>
      <c r="K634" s="33">
        <v>0</v>
      </c>
      <c r="L634" s="33">
        <f>F634*K634</f>
        <v>0</v>
      </c>
      <c r="M634" s="55" t="s">
        <v>1113</v>
      </c>
      <c r="P634" s="59">
        <f>IF(AG634="5",J634,0)</f>
        <v>0</v>
      </c>
      <c r="R634" s="59">
        <f>IF(AG634="1",H634,0)</f>
        <v>0</v>
      </c>
      <c r="S634" s="59">
        <f>IF(AG634="1",I634,0)</f>
        <v>0</v>
      </c>
      <c r="T634" s="59">
        <f>IF(AG634="7",H634,0)</f>
        <v>0</v>
      </c>
      <c r="U634" s="59">
        <f>IF(AG634="7",I634,0)</f>
        <v>0</v>
      </c>
      <c r="V634" s="59">
        <f>IF(AG634="2",H634,0)</f>
        <v>0</v>
      </c>
      <c r="W634" s="59">
        <f>IF(AG634="2",I634,0)</f>
        <v>0</v>
      </c>
      <c r="X634" s="59">
        <f>IF(AG634="0",J634,0)</f>
        <v>0</v>
      </c>
      <c r="Y634" s="49"/>
      <c r="Z634" s="33">
        <f>IF(AD634=0,J634,0)</f>
        <v>0</v>
      </c>
      <c r="AA634" s="33">
        <f>IF(AD634=15,J634,0)</f>
        <v>0</v>
      </c>
      <c r="AB634" s="33">
        <f>IF(AD634=21,J634,0)</f>
        <v>0</v>
      </c>
      <c r="AD634" s="59">
        <v>21</v>
      </c>
      <c r="AE634" s="59">
        <f>G634*0</f>
        <v>0</v>
      </c>
      <c r="AF634" s="59">
        <f>G634*(1-0)</f>
        <v>0</v>
      </c>
      <c r="AG634" s="55" t="s">
        <v>8</v>
      </c>
      <c r="AM634" s="59">
        <f>F634*AE634</f>
        <v>0</v>
      </c>
      <c r="AN634" s="59">
        <f>F634*AF634</f>
        <v>0</v>
      </c>
      <c r="AO634" s="60" t="s">
        <v>1166</v>
      </c>
      <c r="AP634" s="60" t="s">
        <v>1181</v>
      </c>
      <c r="AQ634" s="49" t="s">
        <v>1182</v>
      </c>
      <c r="AS634" s="59">
        <f>AM634+AN634</f>
        <v>0</v>
      </c>
      <c r="AT634" s="59">
        <f>G634/(100-AU634)*100</f>
        <v>0</v>
      </c>
      <c r="AU634" s="59">
        <v>0</v>
      </c>
      <c r="AV634" s="59">
        <f>L634</f>
        <v>0</v>
      </c>
    </row>
    <row r="635" spans="4:6" ht="12.75">
      <c r="D635" s="28" t="s">
        <v>7</v>
      </c>
      <c r="F635" s="34">
        <v>1</v>
      </c>
    </row>
    <row r="636" spans="1:37" ht="12.75">
      <c r="A636" s="11"/>
      <c r="B636" s="24"/>
      <c r="C636" s="24" t="s">
        <v>482</v>
      </c>
      <c r="D636" s="24" t="s">
        <v>1061</v>
      </c>
      <c r="E636" s="11" t="s">
        <v>6</v>
      </c>
      <c r="F636" s="11" t="s">
        <v>6</v>
      </c>
      <c r="G636" s="11" t="s">
        <v>6</v>
      </c>
      <c r="H636" s="62">
        <f>SUM(H637:H639)</f>
        <v>0</v>
      </c>
      <c r="I636" s="62">
        <f>SUM(I637:I639)</f>
        <v>0</v>
      </c>
      <c r="J636" s="62">
        <f>H636+I636</f>
        <v>0</v>
      </c>
      <c r="K636" s="49"/>
      <c r="L636" s="62">
        <f>SUM(L637:L639)</f>
        <v>0</v>
      </c>
      <c r="M636" s="49"/>
      <c r="Y636" s="49"/>
      <c r="AI636" s="62">
        <f>SUM(Z637:Z639)</f>
        <v>0</v>
      </c>
      <c r="AJ636" s="62">
        <f>SUM(AA637:AA639)</f>
        <v>0</v>
      </c>
      <c r="AK636" s="62">
        <f>SUM(AB637:AB639)</f>
        <v>0</v>
      </c>
    </row>
    <row r="637" spans="1:48" ht="12.75">
      <c r="A637" s="10" t="s">
        <v>229</v>
      </c>
      <c r="B637" s="10"/>
      <c r="C637" s="10" t="s">
        <v>483</v>
      </c>
      <c r="D637" s="10" t="s">
        <v>1062</v>
      </c>
      <c r="E637" s="10" t="s">
        <v>1084</v>
      </c>
      <c r="F637" s="33">
        <v>352.22</v>
      </c>
      <c r="G637" s="33">
        <v>0</v>
      </c>
      <c r="H637" s="33">
        <f>F637*AE637</f>
        <v>0</v>
      </c>
      <c r="I637" s="33">
        <f>J637-H637</f>
        <v>0</v>
      </c>
      <c r="J637" s="33">
        <f>F637*G637</f>
        <v>0</v>
      </c>
      <c r="K637" s="33">
        <v>0</v>
      </c>
      <c r="L637" s="33">
        <f>F637*K637</f>
        <v>0</v>
      </c>
      <c r="M637" s="55" t="s">
        <v>1113</v>
      </c>
      <c r="P637" s="59">
        <f>IF(AG637="5",J637,0)</f>
        <v>0</v>
      </c>
      <c r="R637" s="59">
        <f>IF(AG637="1",H637,0)</f>
        <v>0</v>
      </c>
      <c r="S637" s="59">
        <f>IF(AG637="1",I637,0)</f>
        <v>0</v>
      </c>
      <c r="T637" s="59">
        <f>IF(AG637="7",H637,0)</f>
        <v>0</v>
      </c>
      <c r="U637" s="59">
        <f>IF(AG637="7",I637,0)</f>
        <v>0</v>
      </c>
      <c r="V637" s="59">
        <f>IF(AG637="2",H637,0)</f>
        <v>0</v>
      </c>
      <c r="W637" s="59">
        <f>IF(AG637="2",I637,0)</f>
        <v>0</v>
      </c>
      <c r="X637" s="59">
        <f>IF(AG637="0",J637,0)</f>
        <v>0</v>
      </c>
      <c r="Y637" s="49"/>
      <c r="Z637" s="33">
        <f>IF(AD637=0,J637,0)</f>
        <v>0</v>
      </c>
      <c r="AA637" s="33">
        <f>IF(AD637=15,J637,0)</f>
        <v>0</v>
      </c>
      <c r="AB637" s="33">
        <f>IF(AD637=21,J637,0)</f>
        <v>0</v>
      </c>
      <c r="AD637" s="59">
        <v>21</v>
      </c>
      <c r="AE637" s="59">
        <f>G637*0</f>
        <v>0</v>
      </c>
      <c r="AF637" s="59">
        <f>G637*(1-0)</f>
        <v>0</v>
      </c>
      <c r="AG637" s="55" t="s">
        <v>8</v>
      </c>
      <c r="AM637" s="59">
        <f>F637*AE637</f>
        <v>0</v>
      </c>
      <c r="AN637" s="59">
        <f>F637*AF637</f>
        <v>0</v>
      </c>
      <c r="AO637" s="60" t="s">
        <v>1167</v>
      </c>
      <c r="AP637" s="60" t="s">
        <v>1181</v>
      </c>
      <c r="AQ637" s="49" t="s">
        <v>1182</v>
      </c>
      <c r="AS637" s="59">
        <f>AM637+AN637</f>
        <v>0</v>
      </c>
      <c r="AT637" s="59">
        <f>G637/(100-AU637)*100</f>
        <v>0</v>
      </c>
      <c r="AU637" s="59">
        <v>0</v>
      </c>
      <c r="AV637" s="59">
        <f>L637</f>
        <v>0</v>
      </c>
    </row>
    <row r="638" spans="4:6" ht="12.75">
      <c r="D638" s="28" t="s">
        <v>1063</v>
      </c>
      <c r="F638" s="34">
        <v>352.22</v>
      </c>
    </row>
    <row r="639" spans="1:48" ht="12.75">
      <c r="A639" s="10" t="s">
        <v>230</v>
      </c>
      <c r="B639" s="10"/>
      <c r="C639" s="10" t="s">
        <v>484</v>
      </c>
      <c r="D639" s="10" t="s">
        <v>1064</v>
      </c>
      <c r="E639" s="10" t="s">
        <v>1084</v>
      </c>
      <c r="F639" s="33">
        <v>352.22</v>
      </c>
      <c r="G639" s="33">
        <v>0</v>
      </c>
      <c r="H639" s="33">
        <f>F639*AE639</f>
        <v>0</v>
      </c>
      <c r="I639" s="33">
        <f>J639-H639</f>
        <v>0</v>
      </c>
      <c r="J639" s="33">
        <f>F639*G639</f>
        <v>0</v>
      </c>
      <c r="K639" s="33">
        <v>0</v>
      </c>
      <c r="L639" s="33">
        <f>F639*K639</f>
        <v>0</v>
      </c>
      <c r="M639" s="55" t="s">
        <v>1113</v>
      </c>
      <c r="P639" s="59">
        <f>IF(AG639="5",J639,0)</f>
        <v>0</v>
      </c>
      <c r="R639" s="59">
        <f>IF(AG639="1",H639,0)</f>
        <v>0</v>
      </c>
      <c r="S639" s="59">
        <f>IF(AG639="1",I639,0)</f>
        <v>0</v>
      </c>
      <c r="T639" s="59">
        <f>IF(AG639="7",H639,0)</f>
        <v>0</v>
      </c>
      <c r="U639" s="59">
        <f>IF(AG639="7",I639,0)</f>
        <v>0</v>
      </c>
      <c r="V639" s="59">
        <f>IF(AG639="2",H639,0)</f>
        <v>0</v>
      </c>
      <c r="W639" s="59">
        <f>IF(AG639="2",I639,0)</f>
        <v>0</v>
      </c>
      <c r="X639" s="59">
        <f>IF(AG639="0",J639,0)</f>
        <v>0</v>
      </c>
      <c r="Y639" s="49"/>
      <c r="Z639" s="33">
        <f>IF(AD639=0,J639,0)</f>
        <v>0</v>
      </c>
      <c r="AA639" s="33">
        <f>IF(AD639=15,J639,0)</f>
        <v>0</v>
      </c>
      <c r="AB639" s="33">
        <f>IF(AD639=21,J639,0)</f>
        <v>0</v>
      </c>
      <c r="AD639" s="59">
        <v>21</v>
      </c>
      <c r="AE639" s="59">
        <f>G639*0</f>
        <v>0</v>
      </c>
      <c r="AF639" s="59">
        <f>G639*(1-0)</f>
        <v>0</v>
      </c>
      <c r="AG639" s="55" t="s">
        <v>8</v>
      </c>
      <c r="AM639" s="59">
        <f>F639*AE639</f>
        <v>0</v>
      </c>
      <c r="AN639" s="59">
        <f>F639*AF639</f>
        <v>0</v>
      </c>
      <c r="AO639" s="60" t="s">
        <v>1167</v>
      </c>
      <c r="AP639" s="60" t="s">
        <v>1181</v>
      </c>
      <c r="AQ639" s="49" t="s">
        <v>1182</v>
      </c>
      <c r="AS639" s="59">
        <f>AM639+AN639</f>
        <v>0</v>
      </c>
      <c r="AT639" s="59">
        <f>G639/(100-AU639)*100</f>
        <v>0</v>
      </c>
      <c r="AU639" s="59">
        <v>0</v>
      </c>
      <c r="AV639" s="59">
        <f>L639</f>
        <v>0</v>
      </c>
    </row>
    <row r="640" spans="4:6" ht="12.75">
      <c r="D640" s="28" t="s">
        <v>1065</v>
      </c>
      <c r="F640" s="34">
        <v>352.22</v>
      </c>
    </row>
    <row r="641" spans="1:37" ht="12.75">
      <c r="A641" s="11"/>
      <c r="B641" s="24"/>
      <c r="C641" s="24" t="s">
        <v>485</v>
      </c>
      <c r="D641" s="24" t="s">
        <v>1066</v>
      </c>
      <c r="E641" s="11" t="s">
        <v>6</v>
      </c>
      <c r="F641" s="11" t="s">
        <v>6</v>
      </c>
      <c r="G641" s="11" t="s">
        <v>6</v>
      </c>
      <c r="H641" s="62">
        <f>SUM(H642:H655)</f>
        <v>0</v>
      </c>
      <c r="I641" s="62">
        <f>SUM(I642:I655)</f>
        <v>0</v>
      </c>
      <c r="J641" s="62">
        <f>H641+I641</f>
        <v>0</v>
      </c>
      <c r="K641" s="49"/>
      <c r="L641" s="62">
        <f>SUM(L642:L655)</f>
        <v>0</v>
      </c>
      <c r="M641" s="49"/>
      <c r="Y641" s="49"/>
      <c r="AI641" s="62">
        <f>SUM(Z642:Z655)</f>
        <v>0</v>
      </c>
      <c r="AJ641" s="62">
        <f>SUM(AA642:AA655)</f>
        <v>0</v>
      </c>
      <c r="AK641" s="62">
        <f>SUM(AB642:AB655)</f>
        <v>0</v>
      </c>
    </row>
    <row r="642" spans="1:48" ht="12.75">
      <c r="A642" s="10" t="s">
        <v>231</v>
      </c>
      <c r="B642" s="10"/>
      <c r="C642" s="10" t="s">
        <v>486</v>
      </c>
      <c r="D642" s="10" t="s">
        <v>1067</v>
      </c>
      <c r="E642" s="10" t="s">
        <v>1085</v>
      </c>
      <c r="F642" s="33">
        <v>435.18</v>
      </c>
      <c r="G642" s="33">
        <v>0</v>
      </c>
      <c r="H642" s="33">
        <f>F642*AE642</f>
        <v>0</v>
      </c>
      <c r="I642" s="33">
        <f>J642-H642</f>
        <v>0</v>
      </c>
      <c r="J642" s="33">
        <f>F642*G642</f>
        <v>0</v>
      </c>
      <c r="K642" s="33">
        <v>0</v>
      </c>
      <c r="L642" s="33">
        <f>F642*K642</f>
        <v>0</v>
      </c>
      <c r="M642" s="55" t="s">
        <v>1113</v>
      </c>
      <c r="P642" s="59">
        <f>IF(AG642="5",J642,0)</f>
        <v>0</v>
      </c>
      <c r="R642" s="59">
        <f>IF(AG642="1",H642,0)</f>
        <v>0</v>
      </c>
      <c r="S642" s="59">
        <f>IF(AG642="1",I642,0)</f>
        <v>0</v>
      </c>
      <c r="T642" s="59">
        <f>IF(AG642="7",H642,0)</f>
        <v>0</v>
      </c>
      <c r="U642" s="59">
        <f>IF(AG642="7",I642,0)</f>
        <v>0</v>
      </c>
      <c r="V642" s="59">
        <f>IF(AG642="2",H642,0)</f>
        <v>0</v>
      </c>
      <c r="W642" s="59">
        <f>IF(AG642="2",I642,0)</f>
        <v>0</v>
      </c>
      <c r="X642" s="59">
        <f>IF(AG642="0",J642,0)</f>
        <v>0</v>
      </c>
      <c r="Y642" s="49"/>
      <c r="Z642" s="33">
        <f>IF(AD642=0,J642,0)</f>
        <v>0</v>
      </c>
      <c r="AA642" s="33">
        <f>IF(AD642=15,J642,0)</f>
        <v>0</v>
      </c>
      <c r="AB642" s="33">
        <f>IF(AD642=21,J642,0)</f>
        <v>0</v>
      </c>
      <c r="AD642" s="59">
        <v>21</v>
      </c>
      <c r="AE642" s="59">
        <f>G642*0</f>
        <v>0</v>
      </c>
      <c r="AF642" s="59">
        <f>G642*(1-0)</f>
        <v>0</v>
      </c>
      <c r="AG642" s="55" t="s">
        <v>11</v>
      </c>
      <c r="AM642" s="59">
        <f>F642*AE642</f>
        <v>0</v>
      </c>
      <c r="AN642" s="59">
        <f>F642*AF642</f>
        <v>0</v>
      </c>
      <c r="AO642" s="60" t="s">
        <v>1168</v>
      </c>
      <c r="AP642" s="60" t="s">
        <v>1181</v>
      </c>
      <c r="AQ642" s="49" t="s">
        <v>1182</v>
      </c>
      <c r="AS642" s="59">
        <f>AM642+AN642</f>
        <v>0</v>
      </c>
      <c r="AT642" s="59">
        <f>G642/(100-AU642)*100</f>
        <v>0</v>
      </c>
      <c r="AU642" s="59">
        <v>0</v>
      </c>
      <c r="AV642" s="59">
        <f>L642</f>
        <v>0</v>
      </c>
    </row>
    <row r="643" spans="4:6" ht="12.75">
      <c r="D643" s="28" t="s">
        <v>1068</v>
      </c>
      <c r="F643" s="34">
        <v>430.825</v>
      </c>
    </row>
    <row r="644" spans="4:6" ht="12.75">
      <c r="D644" s="28" t="s">
        <v>1069</v>
      </c>
      <c r="F644" s="34">
        <v>4.355</v>
      </c>
    </row>
    <row r="645" spans="1:48" ht="12.75">
      <c r="A645" s="10" t="s">
        <v>232</v>
      </c>
      <c r="B645" s="10"/>
      <c r="C645" s="10" t="s">
        <v>487</v>
      </c>
      <c r="D645" s="10" t="s">
        <v>1070</v>
      </c>
      <c r="E645" s="10" t="s">
        <v>1085</v>
      </c>
      <c r="F645" s="33">
        <v>435.18</v>
      </c>
      <c r="G645" s="33">
        <v>0</v>
      </c>
      <c r="H645" s="33">
        <f>F645*AE645</f>
        <v>0</v>
      </c>
      <c r="I645" s="33">
        <f>J645-H645</f>
        <v>0</v>
      </c>
      <c r="J645" s="33">
        <f>F645*G645</f>
        <v>0</v>
      </c>
      <c r="K645" s="33">
        <v>0</v>
      </c>
      <c r="L645" s="33">
        <f>F645*K645</f>
        <v>0</v>
      </c>
      <c r="M645" s="55" t="s">
        <v>1113</v>
      </c>
      <c r="P645" s="59">
        <f>IF(AG645="5",J645,0)</f>
        <v>0</v>
      </c>
      <c r="R645" s="59">
        <f>IF(AG645="1",H645,0)</f>
        <v>0</v>
      </c>
      <c r="S645" s="59">
        <f>IF(AG645="1",I645,0)</f>
        <v>0</v>
      </c>
      <c r="T645" s="59">
        <f>IF(AG645="7",H645,0)</f>
        <v>0</v>
      </c>
      <c r="U645" s="59">
        <f>IF(AG645="7",I645,0)</f>
        <v>0</v>
      </c>
      <c r="V645" s="59">
        <f>IF(AG645="2",H645,0)</f>
        <v>0</v>
      </c>
      <c r="W645" s="59">
        <f>IF(AG645="2",I645,0)</f>
        <v>0</v>
      </c>
      <c r="X645" s="59">
        <f>IF(AG645="0",J645,0)</f>
        <v>0</v>
      </c>
      <c r="Y645" s="49"/>
      <c r="Z645" s="33">
        <f>IF(AD645=0,J645,0)</f>
        <v>0</v>
      </c>
      <c r="AA645" s="33">
        <f>IF(AD645=15,J645,0)</f>
        <v>0</v>
      </c>
      <c r="AB645" s="33">
        <f>IF(AD645=21,J645,0)</f>
        <v>0</v>
      </c>
      <c r="AD645" s="59">
        <v>21</v>
      </c>
      <c r="AE645" s="59">
        <f>G645*0</f>
        <v>0</v>
      </c>
      <c r="AF645" s="59">
        <f>G645*(1-0)</f>
        <v>0</v>
      </c>
      <c r="AG645" s="55" t="s">
        <v>11</v>
      </c>
      <c r="AM645" s="59">
        <f>F645*AE645</f>
        <v>0</v>
      </c>
      <c r="AN645" s="59">
        <f>F645*AF645</f>
        <v>0</v>
      </c>
      <c r="AO645" s="60" t="s">
        <v>1168</v>
      </c>
      <c r="AP645" s="60" t="s">
        <v>1181</v>
      </c>
      <c r="AQ645" s="49" t="s">
        <v>1182</v>
      </c>
      <c r="AS645" s="59">
        <f>AM645+AN645</f>
        <v>0</v>
      </c>
      <c r="AT645" s="59">
        <f>G645/(100-AU645)*100</f>
        <v>0</v>
      </c>
      <c r="AU645" s="59">
        <v>0</v>
      </c>
      <c r="AV645" s="59">
        <f>L645</f>
        <v>0</v>
      </c>
    </row>
    <row r="646" spans="4:6" ht="12.75">
      <c r="D646" s="28" t="s">
        <v>1071</v>
      </c>
      <c r="F646" s="34">
        <v>435.18</v>
      </c>
    </row>
    <row r="647" spans="1:48" ht="12.75">
      <c r="A647" s="10" t="s">
        <v>233</v>
      </c>
      <c r="B647" s="10"/>
      <c r="C647" s="10" t="s">
        <v>488</v>
      </c>
      <c r="D647" s="10" t="s">
        <v>1072</v>
      </c>
      <c r="E647" s="10" t="s">
        <v>1085</v>
      </c>
      <c r="F647" s="33">
        <v>435.18</v>
      </c>
      <c r="G647" s="33">
        <v>0</v>
      </c>
      <c r="H647" s="33">
        <f>F647*AE647</f>
        <v>0</v>
      </c>
      <c r="I647" s="33">
        <f>J647-H647</f>
        <v>0</v>
      </c>
      <c r="J647" s="33">
        <f>F647*G647</f>
        <v>0</v>
      </c>
      <c r="K647" s="33">
        <v>0</v>
      </c>
      <c r="L647" s="33">
        <f>F647*K647</f>
        <v>0</v>
      </c>
      <c r="M647" s="55" t="s">
        <v>1113</v>
      </c>
      <c r="P647" s="59">
        <f>IF(AG647="5",J647,0)</f>
        <v>0</v>
      </c>
      <c r="R647" s="59">
        <f>IF(AG647="1",H647,0)</f>
        <v>0</v>
      </c>
      <c r="S647" s="59">
        <f>IF(AG647="1",I647,0)</f>
        <v>0</v>
      </c>
      <c r="T647" s="59">
        <f>IF(AG647="7",H647,0)</f>
        <v>0</v>
      </c>
      <c r="U647" s="59">
        <f>IF(AG647="7",I647,0)</f>
        <v>0</v>
      </c>
      <c r="V647" s="59">
        <f>IF(AG647="2",H647,0)</f>
        <v>0</v>
      </c>
      <c r="W647" s="59">
        <f>IF(AG647="2",I647,0)</f>
        <v>0</v>
      </c>
      <c r="X647" s="59">
        <f>IF(AG647="0",J647,0)</f>
        <v>0</v>
      </c>
      <c r="Y647" s="49"/>
      <c r="Z647" s="33">
        <f>IF(AD647=0,J647,0)</f>
        <v>0</v>
      </c>
      <c r="AA647" s="33">
        <f>IF(AD647=15,J647,0)</f>
        <v>0</v>
      </c>
      <c r="AB647" s="33">
        <f>IF(AD647=21,J647,0)</f>
        <v>0</v>
      </c>
      <c r="AD647" s="59">
        <v>21</v>
      </c>
      <c r="AE647" s="59">
        <f>G647*0</f>
        <v>0</v>
      </c>
      <c r="AF647" s="59">
        <f>G647*(1-0)</f>
        <v>0</v>
      </c>
      <c r="AG647" s="55" t="s">
        <v>11</v>
      </c>
      <c r="AM647" s="59">
        <f>F647*AE647</f>
        <v>0</v>
      </c>
      <c r="AN647" s="59">
        <f>F647*AF647</f>
        <v>0</v>
      </c>
      <c r="AO647" s="60" t="s">
        <v>1168</v>
      </c>
      <c r="AP647" s="60" t="s">
        <v>1181</v>
      </c>
      <c r="AQ647" s="49" t="s">
        <v>1182</v>
      </c>
      <c r="AS647" s="59">
        <f>AM647+AN647</f>
        <v>0</v>
      </c>
      <c r="AT647" s="59">
        <f>G647/(100-AU647)*100</f>
        <v>0</v>
      </c>
      <c r="AU647" s="59">
        <v>0</v>
      </c>
      <c r="AV647" s="59">
        <f>L647</f>
        <v>0</v>
      </c>
    </row>
    <row r="648" spans="4:6" ht="12.75">
      <c r="D648" s="28" t="s">
        <v>1071</v>
      </c>
      <c r="F648" s="34">
        <v>435.18</v>
      </c>
    </row>
    <row r="649" spans="1:48" ht="12.75">
      <c r="A649" s="10" t="s">
        <v>234</v>
      </c>
      <c r="B649" s="10"/>
      <c r="C649" s="10" t="s">
        <v>489</v>
      </c>
      <c r="D649" s="10" t="s">
        <v>1073</v>
      </c>
      <c r="E649" s="10" t="s">
        <v>1085</v>
      </c>
      <c r="F649" s="33">
        <v>435.18</v>
      </c>
      <c r="G649" s="33">
        <v>0</v>
      </c>
      <c r="H649" s="33">
        <f>F649*AE649</f>
        <v>0</v>
      </c>
      <c r="I649" s="33">
        <f>J649-H649</f>
        <v>0</v>
      </c>
      <c r="J649" s="33">
        <f>F649*G649</f>
        <v>0</v>
      </c>
      <c r="K649" s="33">
        <v>0</v>
      </c>
      <c r="L649" s="33">
        <f>F649*K649</f>
        <v>0</v>
      </c>
      <c r="M649" s="55" t="s">
        <v>1113</v>
      </c>
      <c r="P649" s="59">
        <f>IF(AG649="5",J649,0)</f>
        <v>0</v>
      </c>
      <c r="R649" s="59">
        <f>IF(AG649="1",H649,0)</f>
        <v>0</v>
      </c>
      <c r="S649" s="59">
        <f>IF(AG649="1",I649,0)</f>
        <v>0</v>
      </c>
      <c r="T649" s="59">
        <f>IF(AG649="7",H649,0)</f>
        <v>0</v>
      </c>
      <c r="U649" s="59">
        <f>IF(AG649="7",I649,0)</f>
        <v>0</v>
      </c>
      <c r="V649" s="59">
        <f>IF(AG649="2",H649,0)</f>
        <v>0</v>
      </c>
      <c r="W649" s="59">
        <f>IF(AG649="2",I649,0)</f>
        <v>0</v>
      </c>
      <c r="X649" s="59">
        <f>IF(AG649="0",J649,0)</f>
        <v>0</v>
      </c>
      <c r="Y649" s="49"/>
      <c r="Z649" s="33">
        <f>IF(AD649=0,J649,0)</f>
        <v>0</v>
      </c>
      <c r="AA649" s="33">
        <f>IF(AD649=15,J649,0)</f>
        <v>0</v>
      </c>
      <c r="AB649" s="33">
        <f>IF(AD649=21,J649,0)</f>
        <v>0</v>
      </c>
      <c r="AD649" s="59">
        <v>21</v>
      </c>
      <c r="AE649" s="59">
        <f>G649*0.00937996820349762</f>
        <v>0</v>
      </c>
      <c r="AF649" s="59">
        <f>G649*(1-0.00937996820349762)</f>
        <v>0</v>
      </c>
      <c r="AG649" s="55" t="s">
        <v>11</v>
      </c>
      <c r="AM649" s="59">
        <f>F649*AE649</f>
        <v>0</v>
      </c>
      <c r="AN649" s="59">
        <f>F649*AF649</f>
        <v>0</v>
      </c>
      <c r="AO649" s="60" t="s">
        <v>1168</v>
      </c>
      <c r="AP649" s="60" t="s">
        <v>1181</v>
      </c>
      <c r="AQ649" s="49" t="s">
        <v>1182</v>
      </c>
      <c r="AS649" s="59">
        <f>AM649+AN649</f>
        <v>0</v>
      </c>
      <c r="AT649" s="59">
        <f>G649/(100-AU649)*100</f>
        <v>0</v>
      </c>
      <c r="AU649" s="59">
        <v>0</v>
      </c>
      <c r="AV649" s="59">
        <f>L649</f>
        <v>0</v>
      </c>
    </row>
    <row r="650" spans="4:6" ht="12.75">
      <c r="D650" s="28" t="s">
        <v>1071</v>
      </c>
      <c r="F650" s="34">
        <v>435.18</v>
      </c>
    </row>
    <row r="651" spans="1:48" ht="12.75">
      <c r="A651" s="10" t="s">
        <v>235</v>
      </c>
      <c r="B651" s="10"/>
      <c r="C651" s="10" t="s">
        <v>490</v>
      </c>
      <c r="D651" s="10" t="s">
        <v>1074</v>
      </c>
      <c r="E651" s="10" t="s">
        <v>1085</v>
      </c>
      <c r="F651" s="33">
        <v>15671.448</v>
      </c>
      <c r="G651" s="33">
        <v>0</v>
      </c>
      <c r="H651" s="33">
        <f>F651*AE651</f>
        <v>0</v>
      </c>
      <c r="I651" s="33">
        <f>J651-H651</f>
        <v>0</v>
      </c>
      <c r="J651" s="33">
        <f>F651*G651</f>
        <v>0</v>
      </c>
      <c r="K651" s="33">
        <v>0</v>
      </c>
      <c r="L651" s="33">
        <f>F651*K651</f>
        <v>0</v>
      </c>
      <c r="M651" s="55" t="s">
        <v>1113</v>
      </c>
      <c r="P651" s="59">
        <f>IF(AG651="5",J651,0)</f>
        <v>0</v>
      </c>
      <c r="R651" s="59">
        <f>IF(AG651="1",H651,0)</f>
        <v>0</v>
      </c>
      <c r="S651" s="59">
        <f>IF(AG651="1",I651,0)</f>
        <v>0</v>
      </c>
      <c r="T651" s="59">
        <f>IF(AG651="7",H651,0)</f>
        <v>0</v>
      </c>
      <c r="U651" s="59">
        <f>IF(AG651="7",I651,0)</f>
        <v>0</v>
      </c>
      <c r="V651" s="59">
        <f>IF(AG651="2",H651,0)</f>
        <v>0</v>
      </c>
      <c r="W651" s="59">
        <f>IF(AG651="2",I651,0)</f>
        <v>0</v>
      </c>
      <c r="X651" s="59">
        <f>IF(AG651="0",J651,0)</f>
        <v>0</v>
      </c>
      <c r="Y651" s="49"/>
      <c r="Z651" s="33">
        <f>IF(AD651=0,J651,0)</f>
        <v>0</v>
      </c>
      <c r="AA651" s="33">
        <f>IF(AD651=15,J651,0)</f>
        <v>0</v>
      </c>
      <c r="AB651" s="33">
        <f>IF(AD651=21,J651,0)</f>
        <v>0</v>
      </c>
      <c r="AD651" s="59">
        <v>21</v>
      </c>
      <c r="AE651" s="59">
        <f>G651*0</f>
        <v>0</v>
      </c>
      <c r="AF651" s="59">
        <f>G651*(1-0)</f>
        <v>0</v>
      </c>
      <c r="AG651" s="55" t="s">
        <v>11</v>
      </c>
      <c r="AM651" s="59">
        <f>F651*AE651</f>
        <v>0</v>
      </c>
      <c r="AN651" s="59">
        <f>F651*AF651</f>
        <v>0</v>
      </c>
      <c r="AO651" s="60" t="s">
        <v>1168</v>
      </c>
      <c r="AP651" s="60" t="s">
        <v>1181</v>
      </c>
      <c r="AQ651" s="49" t="s">
        <v>1182</v>
      </c>
      <c r="AS651" s="59">
        <f>AM651+AN651</f>
        <v>0</v>
      </c>
      <c r="AT651" s="59">
        <f>G651/(100-AU651)*100</f>
        <v>0</v>
      </c>
      <c r="AU651" s="59">
        <v>0</v>
      </c>
      <c r="AV651" s="59">
        <f>L651</f>
        <v>0</v>
      </c>
    </row>
    <row r="652" spans="4:6" ht="12.75">
      <c r="D652" s="28" t="s">
        <v>1075</v>
      </c>
      <c r="F652" s="34">
        <v>15671.448</v>
      </c>
    </row>
    <row r="653" spans="1:48" ht="12.75">
      <c r="A653" s="10" t="s">
        <v>236</v>
      </c>
      <c r="B653" s="10"/>
      <c r="C653" s="10" t="s">
        <v>491</v>
      </c>
      <c r="D653" s="10" t="s">
        <v>1076</v>
      </c>
      <c r="E653" s="10" t="s">
        <v>1085</v>
      </c>
      <c r="F653" s="33">
        <v>435.18</v>
      </c>
      <c r="G653" s="33">
        <v>0</v>
      </c>
      <c r="H653" s="33">
        <f>F653*AE653</f>
        <v>0</v>
      </c>
      <c r="I653" s="33">
        <f>J653-H653</f>
        <v>0</v>
      </c>
      <c r="J653" s="33">
        <f>F653*G653</f>
        <v>0</v>
      </c>
      <c r="K653" s="33">
        <v>0</v>
      </c>
      <c r="L653" s="33">
        <f>F653*K653</f>
        <v>0</v>
      </c>
      <c r="M653" s="55" t="s">
        <v>1113</v>
      </c>
      <c r="P653" s="59">
        <f>IF(AG653="5",J653,0)</f>
        <v>0</v>
      </c>
      <c r="R653" s="59">
        <f>IF(AG653="1",H653,0)</f>
        <v>0</v>
      </c>
      <c r="S653" s="59">
        <f>IF(AG653="1",I653,0)</f>
        <v>0</v>
      </c>
      <c r="T653" s="59">
        <f>IF(AG653="7",H653,0)</f>
        <v>0</v>
      </c>
      <c r="U653" s="59">
        <f>IF(AG653="7",I653,0)</f>
        <v>0</v>
      </c>
      <c r="V653" s="59">
        <f>IF(AG653="2",H653,0)</f>
        <v>0</v>
      </c>
      <c r="W653" s="59">
        <f>IF(AG653="2",I653,0)</f>
        <v>0</v>
      </c>
      <c r="X653" s="59">
        <f>IF(AG653="0",J653,0)</f>
        <v>0</v>
      </c>
      <c r="Y653" s="49"/>
      <c r="Z653" s="33">
        <f>IF(AD653=0,J653,0)</f>
        <v>0</v>
      </c>
      <c r="AA653" s="33">
        <f>IF(AD653=15,J653,0)</f>
        <v>0</v>
      </c>
      <c r="AB653" s="33">
        <f>IF(AD653=21,J653,0)</f>
        <v>0</v>
      </c>
      <c r="AD653" s="59">
        <v>21</v>
      </c>
      <c r="AE653" s="59">
        <f>G653*0</f>
        <v>0</v>
      </c>
      <c r="AF653" s="59">
        <f>G653*(1-0)</f>
        <v>0</v>
      </c>
      <c r="AG653" s="55" t="s">
        <v>11</v>
      </c>
      <c r="AM653" s="59">
        <f>F653*AE653</f>
        <v>0</v>
      </c>
      <c r="AN653" s="59">
        <f>F653*AF653</f>
        <v>0</v>
      </c>
      <c r="AO653" s="60" t="s">
        <v>1168</v>
      </c>
      <c r="AP653" s="60" t="s">
        <v>1181</v>
      </c>
      <c r="AQ653" s="49" t="s">
        <v>1182</v>
      </c>
      <c r="AS653" s="59">
        <f>AM653+AN653</f>
        <v>0</v>
      </c>
      <c r="AT653" s="59">
        <f>G653/(100-AU653)*100</f>
        <v>0</v>
      </c>
      <c r="AU653" s="59">
        <v>0</v>
      </c>
      <c r="AV653" s="59">
        <f>L653</f>
        <v>0</v>
      </c>
    </row>
    <row r="654" spans="4:6" ht="12.75">
      <c r="D654" s="28" t="s">
        <v>1071</v>
      </c>
      <c r="F654" s="34">
        <v>435.18</v>
      </c>
    </row>
    <row r="655" spans="1:48" ht="12.75">
      <c r="A655" s="10" t="s">
        <v>237</v>
      </c>
      <c r="B655" s="10"/>
      <c r="C655" s="10" t="s">
        <v>492</v>
      </c>
      <c r="D655" s="10" t="s">
        <v>1077</v>
      </c>
      <c r="E655" s="10" t="s">
        <v>1085</v>
      </c>
      <c r="F655" s="33">
        <v>435.18</v>
      </c>
      <c r="G655" s="33">
        <v>0</v>
      </c>
      <c r="H655" s="33">
        <f>F655*AE655</f>
        <v>0</v>
      </c>
      <c r="I655" s="33">
        <f>J655-H655</f>
        <v>0</v>
      </c>
      <c r="J655" s="33">
        <f>F655*G655</f>
        <v>0</v>
      </c>
      <c r="K655" s="33">
        <v>0</v>
      </c>
      <c r="L655" s="33">
        <f>F655*K655</f>
        <v>0</v>
      </c>
      <c r="M655" s="55" t="s">
        <v>1113</v>
      </c>
      <c r="P655" s="59">
        <f>IF(AG655="5",J655,0)</f>
        <v>0</v>
      </c>
      <c r="R655" s="59">
        <f>IF(AG655="1",H655,0)</f>
        <v>0</v>
      </c>
      <c r="S655" s="59">
        <f>IF(AG655="1",I655,0)</f>
        <v>0</v>
      </c>
      <c r="T655" s="59">
        <f>IF(AG655="7",H655,0)</f>
        <v>0</v>
      </c>
      <c r="U655" s="59">
        <f>IF(AG655="7",I655,0)</f>
        <v>0</v>
      </c>
      <c r="V655" s="59">
        <f>IF(AG655="2",H655,0)</f>
        <v>0</v>
      </c>
      <c r="W655" s="59">
        <f>IF(AG655="2",I655,0)</f>
        <v>0</v>
      </c>
      <c r="X655" s="59">
        <f>IF(AG655="0",J655,0)</f>
        <v>0</v>
      </c>
      <c r="Y655" s="49"/>
      <c r="Z655" s="33">
        <f>IF(AD655=0,J655,0)</f>
        <v>0</v>
      </c>
      <c r="AA655" s="33">
        <f>IF(AD655=15,J655,0)</f>
        <v>0</v>
      </c>
      <c r="AB655" s="33">
        <f>IF(AD655=21,J655,0)</f>
        <v>0</v>
      </c>
      <c r="AD655" s="59">
        <v>21</v>
      </c>
      <c r="AE655" s="59">
        <f>G655*0</f>
        <v>0</v>
      </c>
      <c r="AF655" s="59">
        <f>G655*(1-0)</f>
        <v>0</v>
      </c>
      <c r="AG655" s="55" t="s">
        <v>11</v>
      </c>
      <c r="AM655" s="59">
        <f>F655*AE655</f>
        <v>0</v>
      </c>
      <c r="AN655" s="59">
        <f>F655*AF655</f>
        <v>0</v>
      </c>
      <c r="AO655" s="60" t="s">
        <v>1168</v>
      </c>
      <c r="AP655" s="60" t="s">
        <v>1181</v>
      </c>
      <c r="AQ655" s="49" t="s">
        <v>1182</v>
      </c>
      <c r="AS655" s="59">
        <f>AM655+AN655</f>
        <v>0</v>
      </c>
      <c r="AT655" s="59">
        <f>G655/(100-AU655)*100</f>
        <v>0</v>
      </c>
      <c r="AU655" s="59">
        <v>0</v>
      </c>
      <c r="AV655" s="59">
        <f>L655</f>
        <v>0</v>
      </c>
    </row>
    <row r="656" spans="1:13" ht="12.75">
      <c r="A656" s="13"/>
      <c r="B656" s="13"/>
      <c r="C656" s="13"/>
      <c r="D656" s="29" t="s">
        <v>1071</v>
      </c>
      <c r="E656" s="13"/>
      <c r="F656" s="36">
        <v>435.18</v>
      </c>
      <c r="G656" s="13"/>
      <c r="H656" s="13"/>
      <c r="I656" s="13"/>
      <c r="J656" s="13"/>
      <c r="K656" s="13"/>
      <c r="L656" s="13"/>
      <c r="M656" s="13"/>
    </row>
    <row r="657" spans="1:13" ht="12.75">
      <c r="A657" s="14"/>
      <c r="B657" s="14"/>
      <c r="C657" s="14"/>
      <c r="D657" s="14"/>
      <c r="E657" s="14"/>
      <c r="F657" s="14"/>
      <c r="G657" s="14"/>
      <c r="H657" s="41" t="s">
        <v>1099</v>
      </c>
      <c r="I657" s="45"/>
      <c r="J657" s="63">
        <f>J12+J26+J51+J57+J60+J86+J108+J134+J166+J169+J192+J198+J229+J240+J249+J304+J337+J340+J343+J369+J376+J379+J409+J418+J442+J445+J472+J513+J520+J523+J528+J531+J545+J548+J555+J562+J610+J620+J623+J628+J636+J641</f>
        <v>0</v>
      </c>
      <c r="K657" s="14"/>
      <c r="L657" s="14"/>
      <c r="M657" s="14"/>
    </row>
    <row r="658" ht="11.25" customHeight="1">
      <c r="A658" s="15" t="s">
        <v>238</v>
      </c>
    </row>
    <row r="659" spans="1:13" ht="12.75">
      <c r="A659" s="16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</row>
  </sheetData>
  <mergeCells count="29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H657:I657"/>
    <mergeCell ref="A659:M659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workbookViewId="0" topLeftCell="A1">
      <pane ySplit="10" topLeftCell="A11" activePane="bottomLeft" state="frozen"/>
      <selection pane="bottomLeft" activeCell="A1" sqref="A1:G1"/>
    </sheetView>
  </sheetViews>
  <sheetFormatPr defaultColWidth="11.57421875" defaultRowHeight="12.75"/>
  <cols>
    <col min="1" max="2" width="16.57421875" customWidth="1"/>
    <col min="3" max="3" width="41.7109375" customWidth="1"/>
    <col min="4" max="4" width="22.140625" customWidth="1"/>
    <col min="5" max="5" width="21.00390625" customWidth="1"/>
    <col min="6" max="6" width="20.8515625" customWidth="1"/>
    <col min="7" max="7" width="19.7109375" customWidth="1"/>
    <col min="8" max="9" width="0" hidden="1" customWidth="1"/>
  </cols>
  <sheetData>
    <row r="1" spans="1:7" ht="72.75" customHeight="1">
      <c r="A1" s="120" t="s">
        <v>1183</v>
      </c>
      <c r="B1" s="17"/>
      <c r="C1" s="17"/>
      <c r="D1" s="17"/>
      <c r="E1" s="17"/>
      <c r="F1" s="17"/>
      <c r="G1" s="17"/>
    </row>
    <row r="2" spans="1:8" ht="12.75">
      <c r="A2" s="3" t="s">
        <v>1</v>
      </c>
      <c r="B2" s="25" t="str">
        <f>'Stavební rozpočet'!D2</f>
        <v>REKONSTRUKCE A MODERNIZACE</v>
      </c>
      <c r="C2" s="45"/>
      <c r="D2" s="42" t="s">
        <v>1100</v>
      </c>
      <c r="E2" s="42" t="str">
        <f>'Stavební rozpočet'!J2</f>
        <v>MĚSTO VARNSDORF</v>
      </c>
      <c r="F2" s="18"/>
      <c r="G2" s="50"/>
      <c r="H2" s="57"/>
    </row>
    <row r="3" spans="1:8" ht="12.75">
      <c r="A3" s="4"/>
      <c r="B3" s="26"/>
      <c r="C3" s="26"/>
      <c r="D3" s="19"/>
      <c r="E3" s="19"/>
      <c r="F3" s="19"/>
      <c r="G3" s="51"/>
      <c r="H3" s="57"/>
    </row>
    <row r="4" spans="1:8" ht="12.75">
      <c r="A4" s="5" t="s">
        <v>2</v>
      </c>
      <c r="B4" s="16" t="str">
        <f>'Stavební rozpočet'!D4</f>
        <v>STRAVOVACÍ PROVOZ A DISTRIBUCE JÍDEL</v>
      </c>
      <c r="C4" s="19"/>
      <c r="D4" s="16" t="s">
        <v>1101</v>
      </c>
      <c r="E4" s="16" t="str">
        <f>'Stavební rozpočet'!J4</f>
        <v>FORWOOD DVF</v>
      </c>
      <c r="F4" s="19"/>
      <c r="G4" s="51"/>
      <c r="H4" s="57"/>
    </row>
    <row r="5" spans="1:8" ht="12.75">
      <c r="A5" s="4"/>
      <c r="B5" s="19"/>
      <c r="C5" s="19"/>
      <c r="D5" s="19"/>
      <c r="E5" s="19"/>
      <c r="F5" s="19"/>
      <c r="G5" s="51"/>
      <c r="H5" s="57"/>
    </row>
    <row r="6" spans="1:8" ht="12.75">
      <c r="A6" s="5" t="s">
        <v>3</v>
      </c>
      <c r="B6" s="16" t="str">
        <f>'Stavební rozpočet'!D6</f>
        <v>NEMOCNICE VARNSDORF</v>
      </c>
      <c r="C6" s="19"/>
      <c r="D6" s="16" t="s">
        <v>1102</v>
      </c>
      <c r="E6" s="16" t="str">
        <f>'Stavební rozpočet'!J6</f>
        <v>BUDE VYBRÁN</v>
      </c>
      <c r="F6" s="19"/>
      <c r="G6" s="51"/>
      <c r="H6" s="57"/>
    </row>
    <row r="7" spans="1:8" ht="12.75">
      <c r="A7" s="4"/>
      <c r="B7" s="19"/>
      <c r="C7" s="19"/>
      <c r="D7" s="19"/>
      <c r="E7" s="19"/>
      <c r="F7" s="19"/>
      <c r="G7" s="51"/>
      <c r="H7" s="57"/>
    </row>
    <row r="8" spans="1:8" ht="12.75">
      <c r="A8" s="5" t="s">
        <v>1103</v>
      </c>
      <c r="B8" s="16" t="str">
        <f>'Stavební rozpočet'!J8</f>
        <v>IIČVDF</v>
      </c>
      <c r="C8" s="19"/>
      <c r="D8" s="31" t="s">
        <v>1081</v>
      </c>
      <c r="E8" s="16" t="str">
        <f>'Stavební rozpočet'!G8</f>
        <v>02.03.2018</v>
      </c>
      <c r="F8" s="19"/>
      <c r="G8" s="51"/>
      <c r="H8" s="57"/>
    </row>
    <row r="9" spans="1:8" ht="12.75">
      <c r="A9" s="6"/>
      <c r="B9" s="20"/>
      <c r="C9" s="20"/>
      <c r="D9" s="20"/>
      <c r="E9" s="20"/>
      <c r="F9" s="20"/>
      <c r="G9" s="52"/>
      <c r="H9" s="57"/>
    </row>
    <row r="10" spans="1:8" ht="12.75">
      <c r="A10" s="64" t="s">
        <v>239</v>
      </c>
      <c r="B10" s="66" t="s">
        <v>240</v>
      </c>
      <c r="C10" s="67" t="s">
        <v>496</v>
      </c>
      <c r="D10" s="68" t="s">
        <v>1184</v>
      </c>
      <c r="E10" s="68" t="s">
        <v>1185</v>
      </c>
      <c r="F10" s="68" t="s">
        <v>1186</v>
      </c>
      <c r="G10" s="70" t="s">
        <v>1187</v>
      </c>
      <c r="H10" s="58"/>
    </row>
    <row r="11" spans="1:9" ht="12.75">
      <c r="A11" s="65"/>
      <c r="B11" s="65" t="s">
        <v>19</v>
      </c>
      <c r="C11" s="65" t="s">
        <v>498</v>
      </c>
      <c r="D11" s="71">
        <f>'Stavební rozpočet'!H12</f>
        <v>0</v>
      </c>
      <c r="E11" s="71">
        <f>'Stavební rozpočet'!I12</f>
        <v>0</v>
      </c>
      <c r="F11" s="71">
        <f>D11+E11</f>
        <v>0</v>
      </c>
      <c r="G11" s="71">
        <f>'Stavební rozpočet'!L12</f>
        <v>0</v>
      </c>
      <c r="H11" s="59" t="s">
        <v>1188</v>
      </c>
      <c r="I11" s="59">
        <f>IF(H11="F",0,F11)</f>
        <v>0</v>
      </c>
    </row>
    <row r="12" spans="1:9" ht="12.75">
      <c r="A12" s="31"/>
      <c r="B12" s="31" t="s">
        <v>22</v>
      </c>
      <c r="C12" s="31" t="s">
        <v>512</v>
      </c>
      <c r="D12" s="59">
        <f>'Stavební rozpočet'!H26</f>
        <v>0</v>
      </c>
      <c r="E12" s="59">
        <f>'Stavební rozpočet'!I26</f>
        <v>0</v>
      </c>
      <c r="F12" s="59">
        <f>D12+E12</f>
        <v>0</v>
      </c>
      <c r="G12" s="59">
        <f>'Stavební rozpočet'!L26</f>
        <v>0</v>
      </c>
      <c r="H12" s="59" t="s">
        <v>1188</v>
      </c>
      <c r="I12" s="59">
        <f>IF(H12="F",0,F12)</f>
        <v>0</v>
      </c>
    </row>
    <row r="13" spans="1:9" ht="12.75">
      <c r="A13" s="31"/>
      <c r="B13" s="31" t="s">
        <v>25</v>
      </c>
      <c r="C13" s="31" t="s">
        <v>527</v>
      </c>
      <c r="D13" s="59">
        <f>'Stavební rozpočet'!H51</f>
        <v>0</v>
      </c>
      <c r="E13" s="59">
        <f>'Stavební rozpočet'!I51</f>
        <v>0</v>
      </c>
      <c r="F13" s="59">
        <f>D13+E13</f>
        <v>0</v>
      </c>
      <c r="G13" s="59">
        <f>'Stavební rozpočet'!L51</f>
        <v>0</v>
      </c>
      <c r="H13" s="59" t="s">
        <v>1188</v>
      </c>
      <c r="I13" s="59">
        <f>IF(H13="F",0,F13)</f>
        <v>0</v>
      </c>
    </row>
    <row r="14" spans="1:9" ht="12.75">
      <c r="A14" s="31"/>
      <c r="B14" s="31" t="s">
        <v>28</v>
      </c>
      <c r="C14" s="31" t="s">
        <v>530</v>
      </c>
      <c r="D14" s="59">
        <f>'Stavební rozpočet'!H57</f>
        <v>0</v>
      </c>
      <c r="E14" s="59">
        <f>'Stavební rozpočet'!I57</f>
        <v>0</v>
      </c>
      <c r="F14" s="59">
        <f>D14+E14</f>
        <v>0</v>
      </c>
      <c r="G14" s="59">
        <f>'Stavební rozpočet'!L57</f>
        <v>4.32918</v>
      </c>
      <c r="H14" s="59" t="s">
        <v>1188</v>
      </c>
      <c r="I14" s="59">
        <f>IF(H14="F",0,F14)</f>
        <v>0</v>
      </c>
    </row>
    <row r="15" spans="1:9" ht="12.75">
      <c r="A15" s="31"/>
      <c r="B15" s="31" t="s">
        <v>33</v>
      </c>
      <c r="C15" s="31" t="s">
        <v>533</v>
      </c>
      <c r="D15" s="59">
        <f>'Stavební rozpočet'!H60</f>
        <v>0</v>
      </c>
      <c r="E15" s="59">
        <f>'Stavební rozpočet'!I60</f>
        <v>0</v>
      </c>
      <c r="F15" s="59">
        <f>D15+E15</f>
        <v>0</v>
      </c>
      <c r="G15" s="59">
        <f>'Stavební rozpočet'!L60</f>
        <v>194.3410693344</v>
      </c>
      <c r="H15" s="59" t="s">
        <v>1188</v>
      </c>
      <c r="I15" s="59">
        <f>IF(H15="F",0,F15)</f>
        <v>0</v>
      </c>
    </row>
    <row r="16" spans="1:9" ht="12.75">
      <c r="A16" s="31"/>
      <c r="B16" s="31" t="s">
        <v>37</v>
      </c>
      <c r="C16" s="31" t="s">
        <v>557</v>
      </c>
      <c r="D16" s="59">
        <f>'Stavební rozpočet'!H86</f>
        <v>0</v>
      </c>
      <c r="E16" s="59">
        <f>'Stavební rozpočet'!I86</f>
        <v>0</v>
      </c>
      <c r="F16" s="59">
        <f>D16+E16</f>
        <v>0</v>
      </c>
      <c r="G16" s="59">
        <f>'Stavební rozpočet'!L86</f>
        <v>129.3041572224</v>
      </c>
      <c r="H16" s="59" t="s">
        <v>1188</v>
      </c>
      <c r="I16" s="59">
        <f>IF(H16="F",0,F16)</f>
        <v>0</v>
      </c>
    </row>
    <row r="17" spans="1:9" ht="12.75">
      <c r="A17" s="31"/>
      <c r="B17" s="31" t="s">
        <v>40</v>
      </c>
      <c r="C17" s="31" t="s">
        <v>579</v>
      </c>
      <c r="D17" s="59">
        <f>'Stavební rozpočet'!H108</f>
        <v>0</v>
      </c>
      <c r="E17" s="59">
        <f>'Stavební rozpočet'!I108</f>
        <v>0</v>
      </c>
      <c r="F17" s="59">
        <f>D17+E17</f>
        <v>0</v>
      </c>
      <c r="G17" s="59">
        <f>'Stavební rozpočet'!L108</f>
        <v>61.17101383</v>
      </c>
      <c r="H17" s="59" t="s">
        <v>1188</v>
      </c>
      <c r="I17" s="59">
        <f>IF(H17="F",0,F17)</f>
        <v>0</v>
      </c>
    </row>
    <row r="18" spans="1:9" ht="12.75">
      <c r="A18" s="31"/>
      <c r="B18" s="31" t="s">
        <v>47</v>
      </c>
      <c r="C18" s="31" t="s">
        <v>605</v>
      </c>
      <c r="D18" s="59">
        <f>'Stavební rozpočet'!H134</f>
        <v>0</v>
      </c>
      <c r="E18" s="59">
        <f>'Stavební rozpočet'!I134</f>
        <v>0</v>
      </c>
      <c r="F18" s="59">
        <f>D18+E18</f>
        <v>0</v>
      </c>
      <c r="G18" s="59">
        <f>'Stavební rozpočet'!L134</f>
        <v>24.109564048</v>
      </c>
      <c r="H18" s="59" t="s">
        <v>1188</v>
      </c>
      <c r="I18" s="59">
        <f>IF(H18="F",0,F18)</f>
        <v>0</v>
      </c>
    </row>
    <row r="19" spans="1:9" ht="12.75">
      <c r="A19" s="31"/>
      <c r="B19" s="31" t="s">
        <v>49</v>
      </c>
      <c r="C19" s="31" t="s">
        <v>636</v>
      </c>
      <c r="D19" s="59">
        <f>'Stavební rozpočet'!H166</f>
        <v>0</v>
      </c>
      <c r="E19" s="59">
        <f>'Stavební rozpočet'!I166</f>
        <v>0</v>
      </c>
      <c r="F19" s="59">
        <f>D19+E19</f>
        <v>0</v>
      </c>
      <c r="G19" s="59">
        <f>'Stavební rozpočet'!L166</f>
        <v>6.1010508</v>
      </c>
      <c r="H19" s="59" t="s">
        <v>1188</v>
      </c>
      <c r="I19" s="59">
        <f>IF(H19="F",0,F19)</f>
        <v>0</v>
      </c>
    </row>
    <row r="20" spans="1:9" ht="12.75">
      <c r="A20" s="31"/>
      <c r="B20" s="31" t="s">
        <v>67</v>
      </c>
      <c r="C20" s="31" t="s">
        <v>639</v>
      </c>
      <c r="D20" s="59">
        <f>'Stavební rozpočet'!H169</f>
        <v>0</v>
      </c>
      <c r="E20" s="59">
        <f>'Stavební rozpočet'!I169</f>
        <v>0</v>
      </c>
      <c r="F20" s="59">
        <f>D20+E20</f>
        <v>0</v>
      </c>
      <c r="G20" s="59">
        <f>'Stavební rozpočet'!L169</f>
        <v>53.011048519999996</v>
      </c>
      <c r="H20" s="59" t="s">
        <v>1188</v>
      </c>
      <c r="I20" s="59">
        <f>IF(H20="F",0,F20)</f>
        <v>0</v>
      </c>
    </row>
    <row r="21" spans="1:9" ht="12.75">
      <c r="A21" s="31"/>
      <c r="B21" s="31" t="s">
        <v>68</v>
      </c>
      <c r="C21" s="31" t="s">
        <v>658</v>
      </c>
      <c r="D21" s="59">
        <f>'Stavební rozpočet'!H192</f>
        <v>0</v>
      </c>
      <c r="E21" s="59">
        <f>'Stavební rozpočet'!I192</f>
        <v>0</v>
      </c>
      <c r="F21" s="59">
        <f>D21+E21</f>
        <v>0</v>
      </c>
      <c r="G21" s="59">
        <f>'Stavební rozpočet'!L192</f>
        <v>1.8847955999999997</v>
      </c>
      <c r="H21" s="59" t="s">
        <v>1188</v>
      </c>
      <c r="I21" s="59">
        <f>IF(H21="F",0,F21)</f>
        <v>0</v>
      </c>
    </row>
    <row r="22" spans="1:9" ht="12.75">
      <c r="A22" s="31"/>
      <c r="B22" s="31" t="s">
        <v>69</v>
      </c>
      <c r="C22" s="31" t="s">
        <v>663</v>
      </c>
      <c r="D22" s="59">
        <f>'Stavební rozpočet'!H198</f>
        <v>0</v>
      </c>
      <c r="E22" s="59">
        <f>'Stavební rozpočet'!I198</f>
        <v>0</v>
      </c>
      <c r="F22" s="59">
        <f>D22+E22</f>
        <v>0</v>
      </c>
      <c r="G22" s="59">
        <f>'Stavební rozpočet'!L198</f>
        <v>494.05096808880006</v>
      </c>
      <c r="H22" s="59" t="s">
        <v>1188</v>
      </c>
      <c r="I22" s="59">
        <f>IF(H22="F",0,F22)</f>
        <v>0</v>
      </c>
    </row>
    <row r="23" spans="1:9" ht="12.75">
      <c r="A23" s="31"/>
      <c r="B23" s="31" t="s">
        <v>310</v>
      </c>
      <c r="C23" s="31" t="s">
        <v>692</v>
      </c>
      <c r="D23" s="59">
        <f>'Stavební rozpočet'!H229</f>
        <v>0</v>
      </c>
      <c r="E23" s="59">
        <f>'Stavební rozpočet'!I229</f>
        <v>0</v>
      </c>
      <c r="F23" s="59">
        <f>D23+E23</f>
        <v>0</v>
      </c>
      <c r="G23" s="59">
        <f>'Stavební rozpočet'!L229</f>
        <v>1.4273513999999998</v>
      </c>
      <c r="H23" s="59" t="s">
        <v>1188</v>
      </c>
      <c r="I23" s="59">
        <f>IF(H23="F",0,F23)</f>
        <v>0</v>
      </c>
    </row>
    <row r="24" spans="1:9" ht="12.75">
      <c r="A24" s="31"/>
      <c r="B24" s="31" t="s">
        <v>316</v>
      </c>
      <c r="C24" s="31" t="s">
        <v>703</v>
      </c>
      <c r="D24" s="59">
        <f>'Stavební rozpočet'!H240</f>
        <v>0</v>
      </c>
      <c r="E24" s="59">
        <f>'Stavební rozpočet'!I240</f>
        <v>0</v>
      </c>
      <c r="F24" s="59">
        <f>D24+E24</f>
        <v>0</v>
      </c>
      <c r="G24" s="59">
        <f>'Stavební rozpočet'!L240</f>
        <v>0.3264744</v>
      </c>
      <c r="H24" s="59" t="s">
        <v>1188</v>
      </c>
      <c r="I24" s="59">
        <f>IF(H24="F",0,F24)</f>
        <v>0</v>
      </c>
    </row>
    <row r="25" spans="1:9" ht="12.75">
      <c r="A25" s="31"/>
      <c r="B25" s="31" t="s">
        <v>321</v>
      </c>
      <c r="C25" s="31" t="s">
        <v>712</v>
      </c>
      <c r="D25" s="59">
        <f>'Stavební rozpočet'!H249</f>
        <v>0</v>
      </c>
      <c r="E25" s="59">
        <f>'Stavební rozpočet'!I249</f>
        <v>0</v>
      </c>
      <c r="F25" s="59">
        <f>D25+E25</f>
        <v>0</v>
      </c>
      <c r="G25" s="59">
        <f>'Stavební rozpočet'!L249</f>
        <v>9.9650281</v>
      </c>
      <c r="H25" s="59" t="s">
        <v>1188</v>
      </c>
      <c r="I25" s="59">
        <f>IF(H25="F",0,F25)</f>
        <v>0</v>
      </c>
    </row>
    <row r="26" spans="1:9" ht="12.75">
      <c r="A26" s="31"/>
      <c r="B26" s="31" t="s">
        <v>346</v>
      </c>
      <c r="C26" s="31" t="s">
        <v>760</v>
      </c>
      <c r="D26" s="59">
        <f>'Stavební rozpočet'!H304</f>
        <v>0</v>
      </c>
      <c r="E26" s="59">
        <f>'Stavební rozpočet'!I304</f>
        <v>0</v>
      </c>
      <c r="F26" s="59">
        <f>D26+E26</f>
        <v>0</v>
      </c>
      <c r="G26" s="59">
        <f>'Stavební rozpočet'!L304</f>
        <v>2.3356553</v>
      </c>
      <c r="H26" s="59" t="s">
        <v>1188</v>
      </c>
      <c r="I26" s="59">
        <f>IF(H26="F",0,F26)</f>
        <v>0</v>
      </c>
    </row>
    <row r="27" spans="1:9" ht="12.75">
      <c r="A27" s="31"/>
      <c r="B27" s="31" t="s">
        <v>358</v>
      </c>
      <c r="C27" s="31" t="s">
        <v>788</v>
      </c>
      <c r="D27" s="59">
        <f>'Stavební rozpočet'!H337</f>
        <v>0</v>
      </c>
      <c r="E27" s="59">
        <f>'Stavební rozpočet'!I337</f>
        <v>0</v>
      </c>
      <c r="F27" s="59">
        <f>D27+E27</f>
        <v>0</v>
      </c>
      <c r="G27" s="59">
        <f>'Stavební rozpočet'!L337</f>
        <v>0.00019</v>
      </c>
      <c r="H27" s="59" t="s">
        <v>1188</v>
      </c>
      <c r="I27" s="59">
        <f>IF(H27="F",0,F27)</f>
        <v>0</v>
      </c>
    </row>
    <row r="28" spans="1:9" ht="12.75">
      <c r="A28" s="31"/>
      <c r="B28" s="31" t="s">
        <v>360</v>
      </c>
      <c r="C28" s="31" t="s">
        <v>791</v>
      </c>
      <c r="D28" s="59">
        <f>'Stavební rozpočet'!H340</f>
        <v>0</v>
      </c>
      <c r="E28" s="59">
        <f>'Stavební rozpočet'!I340</f>
        <v>0</v>
      </c>
      <c r="F28" s="59">
        <f>D28+E28</f>
        <v>0</v>
      </c>
      <c r="G28" s="59">
        <f>'Stavební rozpočet'!L340</f>
        <v>0.03937</v>
      </c>
      <c r="H28" s="59" t="s">
        <v>1188</v>
      </c>
      <c r="I28" s="59">
        <f>IF(H28="F",0,F28)</f>
        <v>0</v>
      </c>
    </row>
    <row r="29" spans="1:9" ht="12.75">
      <c r="A29" s="31"/>
      <c r="B29" s="31" t="s">
        <v>362</v>
      </c>
      <c r="C29" s="31" t="s">
        <v>794</v>
      </c>
      <c r="D29" s="59">
        <f>'Stavební rozpočet'!H343</f>
        <v>0</v>
      </c>
      <c r="E29" s="59">
        <f>'Stavební rozpočet'!I343</f>
        <v>0</v>
      </c>
      <c r="F29" s="59">
        <f>D29+E29</f>
        <v>0</v>
      </c>
      <c r="G29" s="59">
        <f>'Stavební rozpočet'!L343</f>
        <v>0.64954</v>
      </c>
      <c r="H29" s="59" t="s">
        <v>1188</v>
      </c>
      <c r="I29" s="59">
        <f>IF(H29="F",0,F29)</f>
        <v>0</v>
      </c>
    </row>
    <row r="30" spans="1:9" ht="12.75">
      <c r="A30" s="31"/>
      <c r="B30" s="31" t="s">
        <v>375</v>
      </c>
      <c r="C30" s="31" t="s">
        <v>812</v>
      </c>
      <c r="D30" s="59">
        <f>'Stavební rozpočet'!H369</f>
        <v>0</v>
      </c>
      <c r="E30" s="59">
        <f>'Stavební rozpočet'!I369</f>
        <v>0</v>
      </c>
      <c r="F30" s="59">
        <f>D30+E30</f>
        <v>0</v>
      </c>
      <c r="G30" s="59">
        <f>'Stavební rozpočet'!L369</f>
        <v>0</v>
      </c>
      <c r="H30" s="59" t="s">
        <v>1188</v>
      </c>
      <c r="I30" s="59">
        <f>IF(H30="F",0,F30)</f>
        <v>0</v>
      </c>
    </row>
    <row r="31" spans="1:9" ht="12.75">
      <c r="A31" s="31"/>
      <c r="B31" s="31" t="s">
        <v>379</v>
      </c>
      <c r="C31" s="31" t="s">
        <v>819</v>
      </c>
      <c r="D31" s="59">
        <f>'Stavební rozpočet'!H376</f>
        <v>0</v>
      </c>
      <c r="E31" s="59">
        <f>'Stavební rozpočet'!I376</f>
        <v>0</v>
      </c>
      <c r="F31" s="59">
        <f>D31+E31</f>
        <v>0</v>
      </c>
      <c r="G31" s="59">
        <f>'Stavební rozpočet'!L376</f>
        <v>1.52045</v>
      </c>
      <c r="H31" s="59" t="s">
        <v>1188</v>
      </c>
      <c r="I31" s="59">
        <f>IF(H31="F",0,F31)</f>
        <v>0</v>
      </c>
    </row>
    <row r="32" spans="1:9" ht="12.75">
      <c r="A32" s="31"/>
      <c r="B32" s="31" t="s">
        <v>381</v>
      </c>
      <c r="C32" s="31" t="s">
        <v>822</v>
      </c>
      <c r="D32" s="59">
        <f>'Stavební rozpočet'!H379</f>
        <v>0</v>
      </c>
      <c r="E32" s="59">
        <f>'Stavební rozpočet'!I379</f>
        <v>0</v>
      </c>
      <c r="F32" s="59">
        <f>D32+E32</f>
        <v>0</v>
      </c>
      <c r="G32" s="59">
        <f>'Stavební rozpočet'!L379</f>
        <v>6.400155900000001</v>
      </c>
      <c r="H32" s="59" t="s">
        <v>1188</v>
      </c>
      <c r="I32" s="59">
        <f>IF(H32="F",0,F32)</f>
        <v>0</v>
      </c>
    </row>
    <row r="33" spans="1:9" ht="12.75">
      <c r="A33" s="31"/>
      <c r="B33" s="31" t="s">
        <v>392</v>
      </c>
      <c r="C33" s="31" t="s">
        <v>849</v>
      </c>
      <c r="D33" s="59">
        <f>'Stavební rozpočet'!H409</f>
        <v>0</v>
      </c>
      <c r="E33" s="59">
        <f>'Stavební rozpočet'!I409</f>
        <v>0</v>
      </c>
      <c r="F33" s="59">
        <f>D33+E33</f>
        <v>0</v>
      </c>
      <c r="G33" s="59">
        <f>'Stavební rozpočet'!L409</f>
        <v>1.2701425</v>
      </c>
      <c r="H33" s="59" t="s">
        <v>1188</v>
      </c>
      <c r="I33" s="59">
        <f>IF(H33="F",0,F33)</f>
        <v>0</v>
      </c>
    </row>
    <row r="34" spans="1:9" ht="12.75">
      <c r="A34" s="31"/>
      <c r="B34" s="31" t="s">
        <v>396</v>
      </c>
      <c r="C34" s="31" t="s">
        <v>857</v>
      </c>
      <c r="D34" s="59">
        <f>'Stavební rozpočet'!H418</f>
        <v>0</v>
      </c>
      <c r="E34" s="59">
        <f>'Stavební rozpočet'!I418</f>
        <v>0</v>
      </c>
      <c r="F34" s="59">
        <f>D34+E34</f>
        <v>0</v>
      </c>
      <c r="G34" s="59">
        <f>'Stavební rozpočet'!L418</f>
        <v>1.0278847999999998</v>
      </c>
      <c r="H34" s="59" t="s">
        <v>1188</v>
      </c>
      <c r="I34" s="59">
        <f>IF(H34="F",0,F34)</f>
        <v>0</v>
      </c>
    </row>
    <row r="35" spans="1:9" ht="12.75">
      <c r="A35" s="31"/>
      <c r="B35" s="31" t="s">
        <v>408</v>
      </c>
      <c r="C35" s="31" t="s">
        <v>876</v>
      </c>
      <c r="D35" s="59">
        <f>'Stavební rozpočet'!H442</f>
        <v>0</v>
      </c>
      <c r="E35" s="59">
        <f>'Stavební rozpočet'!I442</f>
        <v>0</v>
      </c>
      <c r="F35" s="59">
        <f>D35+E35</f>
        <v>0</v>
      </c>
      <c r="G35" s="59">
        <f>'Stavební rozpočet'!L442</f>
        <v>4.355</v>
      </c>
      <c r="H35" s="59" t="s">
        <v>1188</v>
      </c>
      <c r="I35" s="59">
        <f>IF(H35="F",0,F35)</f>
        <v>0</v>
      </c>
    </row>
    <row r="36" spans="1:9" ht="12.75">
      <c r="A36" s="31"/>
      <c r="B36" s="31" t="s">
        <v>410</v>
      </c>
      <c r="C36" s="31" t="s">
        <v>879</v>
      </c>
      <c r="D36" s="59">
        <f>'Stavební rozpočet'!H445</f>
        <v>0</v>
      </c>
      <c r="E36" s="59">
        <f>'Stavební rozpočet'!I445</f>
        <v>0</v>
      </c>
      <c r="F36" s="59">
        <f>D36+E36</f>
        <v>0</v>
      </c>
      <c r="G36" s="59">
        <f>'Stavební rozpočet'!L445</f>
        <v>0.16823000000000002</v>
      </c>
      <c r="H36" s="59" t="s">
        <v>1188</v>
      </c>
      <c r="I36" s="59">
        <f>IF(H36="F",0,F36)</f>
        <v>0</v>
      </c>
    </row>
    <row r="37" spans="1:9" ht="12.75">
      <c r="A37" s="31"/>
      <c r="B37" s="31" t="s">
        <v>423</v>
      </c>
      <c r="C37" s="31" t="s">
        <v>904</v>
      </c>
      <c r="D37" s="59">
        <f>'Stavební rozpočet'!H472</f>
        <v>0</v>
      </c>
      <c r="E37" s="59">
        <f>'Stavební rozpočet'!I472</f>
        <v>0</v>
      </c>
      <c r="F37" s="59">
        <f>D37+E37</f>
        <v>0</v>
      </c>
      <c r="G37" s="59">
        <f>'Stavební rozpočet'!L472</f>
        <v>6.10758</v>
      </c>
      <c r="H37" s="59" t="s">
        <v>1188</v>
      </c>
      <c r="I37" s="59">
        <f>IF(H37="F",0,F37)</f>
        <v>0</v>
      </c>
    </row>
    <row r="38" spans="1:9" ht="12.75">
      <c r="A38" s="31"/>
      <c r="B38" s="31" t="s">
        <v>438</v>
      </c>
      <c r="C38" s="31" t="s">
        <v>945</v>
      </c>
      <c r="D38" s="59">
        <f>'Stavební rozpočet'!H513</f>
        <v>0</v>
      </c>
      <c r="E38" s="59">
        <f>'Stavební rozpočet'!I513</f>
        <v>0</v>
      </c>
      <c r="F38" s="59">
        <f>D38+E38</f>
        <v>0</v>
      </c>
      <c r="G38" s="59">
        <f>'Stavební rozpočet'!L513</f>
        <v>3.23106</v>
      </c>
      <c r="H38" s="59" t="s">
        <v>1188</v>
      </c>
      <c r="I38" s="59">
        <f>IF(H38="F",0,F38)</f>
        <v>0</v>
      </c>
    </row>
    <row r="39" spans="1:9" ht="12.75">
      <c r="A39" s="31"/>
      <c r="B39" s="31" t="s">
        <v>441</v>
      </c>
      <c r="C39" s="31" t="s">
        <v>952</v>
      </c>
      <c r="D39" s="59">
        <f>'Stavební rozpočet'!H520</f>
        <v>0</v>
      </c>
      <c r="E39" s="59">
        <f>'Stavební rozpočet'!I520</f>
        <v>0</v>
      </c>
      <c r="F39" s="59">
        <f>D39+E39</f>
        <v>0</v>
      </c>
      <c r="G39" s="59">
        <f>'Stavební rozpočet'!L520</f>
        <v>0.12819999999999998</v>
      </c>
      <c r="H39" s="59" t="s">
        <v>1188</v>
      </c>
      <c r="I39" s="59">
        <f>IF(H39="F",0,F39)</f>
        <v>0</v>
      </c>
    </row>
    <row r="40" spans="1:9" ht="12.75">
      <c r="A40" s="31"/>
      <c r="B40" s="31" t="s">
        <v>443</v>
      </c>
      <c r="C40" s="31" t="s">
        <v>955</v>
      </c>
      <c r="D40" s="59">
        <f>'Stavební rozpočet'!H523</f>
        <v>0</v>
      </c>
      <c r="E40" s="59">
        <f>'Stavební rozpočet'!I523</f>
        <v>0</v>
      </c>
      <c r="F40" s="59">
        <f>D40+E40</f>
        <v>0</v>
      </c>
      <c r="G40" s="59">
        <f>'Stavební rozpočet'!L523</f>
        <v>5.88714</v>
      </c>
      <c r="H40" s="59" t="s">
        <v>1188</v>
      </c>
      <c r="I40" s="59">
        <f>IF(H40="F",0,F40)</f>
        <v>0</v>
      </c>
    </row>
    <row r="41" spans="1:9" ht="12.75">
      <c r="A41" s="31"/>
      <c r="B41" s="31" t="s">
        <v>446</v>
      </c>
      <c r="C41" s="31" t="s">
        <v>960</v>
      </c>
      <c r="D41" s="59">
        <f>'Stavební rozpočet'!H528</f>
        <v>0</v>
      </c>
      <c r="E41" s="59">
        <f>'Stavební rozpočet'!I528</f>
        <v>0</v>
      </c>
      <c r="F41" s="59">
        <f>D41+E41</f>
        <v>0</v>
      </c>
      <c r="G41" s="59">
        <f>'Stavební rozpočet'!L528</f>
        <v>0.0005389</v>
      </c>
      <c r="H41" s="59" t="s">
        <v>1188</v>
      </c>
      <c r="I41" s="59">
        <f>IF(H41="F",0,F41)</f>
        <v>0</v>
      </c>
    </row>
    <row r="42" spans="1:9" ht="12.75">
      <c r="A42" s="31"/>
      <c r="B42" s="31" t="s">
        <v>448</v>
      </c>
      <c r="C42" s="31" t="s">
        <v>962</v>
      </c>
      <c r="D42" s="59">
        <f>'Stavební rozpočet'!H531</f>
        <v>0</v>
      </c>
      <c r="E42" s="59">
        <f>'Stavební rozpočet'!I531</f>
        <v>0</v>
      </c>
      <c r="F42" s="59">
        <f>D42+E42</f>
        <v>0</v>
      </c>
      <c r="G42" s="59">
        <f>'Stavební rozpočet'!L531</f>
        <v>1.2308454</v>
      </c>
      <c r="H42" s="59" t="s">
        <v>1188</v>
      </c>
      <c r="I42" s="59">
        <f>IF(H42="F",0,F42)</f>
        <v>0</v>
      </c>
    </row>
    <row r="43" spans="1:9" ht="12.75">
      <c r="A43" s="31"/>
      <c r="B43" s="31" t="s">
        <v>452</v>
      </c>
      <c r="C43" s="31" t="s">
        <v>976</v>
      </c>
      <c r="D43" s="59">
        <f>'Stavební rozpočet'!H545</f>
        <v>0</v>
      </c>
      <c r="E43" s="59">
        <f>'Stavební rozpočet'!I545</f>
        <v>0</v>
      </c>
      <c r="F43" s="59">
        <f>D43+E43</f>
        <v>0</v>
      </c>
      <c r="G43" s="59">
        <f>'Stavební rozpočet'!L545</f>
        <v>0</v>
      </c>
      <c r="H43" s="59" t="s">
        <v>1188</v>
      </c>
      <c r="I43" s="59">
        <f>IF(H43="F",0,F43)</f>
        <v>0</v>
      </c>
    </row>
    <row r="44" spans="1:9" ht="12.75">
      <c r="A44" s="31"/>
      <c r="B44" s="31" t="s">
        <v>100</v>
      </c>
      <c r="C44" s="31" t="s">
        <v>979</v>
      </c>
      <c r="D44" s="59">
        <f>'Stavební rozpočet'!H548</f>
        <v>0</v>
      </c>
      <c r="E44" s="59">
        <f>'Stavební rozpočet'!I548</f>
        <v>0</v>
      </c>
      <c r="F44" s="59">
        <f>D44+E44</f>
        <v>0</v>
      </c>
      <c r="G44" s="59">
        <f>'Stavební rozpočet'!L548</f>
        <v>0.6730069999999999</v>
      </c>
      <c r="H44" s="59" t="s">
        <v>1188</v>
      </c>
      <c r="I44" s="59">
        <f>IF(H44="F",0,F44)</f>
        <v>0</v>
      </c>
    </row>
    <row r="45" spans="1:9" ht="12.75">
      <c r="A45" s="31"/>
      <c r="B45" s="31" t="s">
        <v>101</v>
      </c>
      <c r="C45" s="31" t="s">
        <v>986</v>
      </c>
      <c r="D45" s="59">
        <f>'Stavební rozpočet'!H555</f>
        <v>0</v>
      </c>
      <c r="E45" s="59">
        <f>'Stavební rozpočet'!I555</f>
        <v>0</v>
      </c>
      <c r="F45" s="59">
        <f>D45+E45</f>
        <v>0</v>
      </c>
      <c r="G45" s="59">
        <f>'Stavební rozpočet'!L555</f>
        <v>0.067568</v>
      </c>
      <c r="H45" s="59" t="s">
        <v>1188</v>
      </c>
      <c r="I45" s="59">
        <f>IF(H45="F",0,F45)</f>
        <v>0</v>
      </c>
    </row>
    <row r="46" spans="1:9" ht="12.75">
      <c r="A46" s="31"/>
      <c r="B46" s="31" t="s">
        <v>102</v>
      </c>
      <c r="C46" s="31" t="s">
        <v>992</v>
      </c>
      <c r="D46" s="59">
        <f>'Stavební rozpočet'!H562</f>
        <v>0</v>
      </c>
      <c r="E46" s="59">
        <f>'Stavební rozpočet'!I562</f>
        <v>0</v>
      </c>
      <c r="F46" s="59">
        <f>D46+E46</f>
        <v>0</v>
      </c>
      <c r="G46" s="59">
        <f>'Stavební rozpočet'!L562</f>
        <v>399.38383208240003</v>
      </c>
      <c r="H46" s="59" t="s">
        <v>1188</v>
      </c>
      <c r="I46" s="59">
        <f>IF(H46="F",0,F46)</f>
        <v>0</v>
      </c>
    </row>
    <row r="47" spans="1:9" ht="12.75">
      <c r="A47" s="31"/>
      <c r="B47" s="31" t="s">
        <v>103</v>
      </c>
      <c r="C47" s="31" t="s">
        <v>1038</v>
      </c>
      <c r="D47" s="59">
        <f>'Stavební rozpočet'!H610</f>
        <v>0</v>
      </c>
      <c r="E47" s="59">
        <f>'Stavební rozpočet'!I610</f>
        <v>0</v>
      </c>
      <c r="F47" s="59">
        <f>D47+E47</f>
        <v>0</v>
      </c>
      <c r="G47" s="59">
        <f>'Stavební rozpočet'!L610</f>
        <v>31.442906</v>
      </c>
      <c r="H47" s="59" t="s">
        <v>1188</v>
      </c>
      <c r="I47" s="59">
        <f>IF(H47="F",0,F47)</f>
        <v>0</v>
      </c>
    </row>
    <row r="48" spans="1:9" ht="12.75">
      <c r="A48" s="31"/>
      <c r="B48" s="31" t="s">
        <v>474</v>
      </c>
      <c r="C48" s="31" t="s">
        <v>1048</v>
      </c>
      <c r="D48" s="59">
        <f>'Stavební rozpočet'!H620</f>
        <v>0</v>
      </c>
      <c r="E48" s="59">
        <f>'Stavební rozpočet'!I620</f>
        <v>0</v>
      </c>
      <c r="F48" s="59">
        <f>D48+E48</f>
        <v>0</v>
      </c>
      <c r="G48" s="59">
        <f>'Stavební rozpočet'!L620</f>
        <v>0</v>
      </c>
      <c r="H48" s="59" t="s">
        <v>1188</v>
      </c>
      <c r="I48" s="59">
        <f>IF(H48="F",0,F48)</f>
        <v>0</v>
      </c>
    </row>
    <row r="49" spans="1:9" ht="12.75">
      <c r="A49" s="31"/>
      <c r="B49" s="31" t="s">
        <v>476</v>
      </c>
      <c r="C49" s="31" t="s">
        <v>1051</v>
      </c>
      <c r="D49" s="59">
        <f>'Stavební rozpočet'!H623</f>
        <v>0</v>
      </c>
      <c r="E49" s="59">
        <f>'Stavební rozpočet'!I623</f>
        <v>0</v>
      </c>
      <c r="F49" s="59">
        <f>D49+E49</f>
        <v>0</v>
      </c>
      <c r="G49" s="59">
        <f>'Stavební rozpočet'!L623</f>
        <v>0</v>
      </c>
      <c r="H49" s="59" t="s">
        <v>1188</v>
      </c>
      <c r="I49" s="59">
        <f>IF(H49="F",0,F49)</f>
        <v>0</v>
      </c>
    </row>
    <row r="50" spans="1:9" ht="12.75">
      <c r="A50" s="31"/>
      <c r="B50" s="31" t="s">
        <v>479</v>
      </c>
      <c r="C50" s="31" t="s">
        <v>1055</v>
      </c>
      <c r="D50" s="59">
        <f>'Stavební rozpočet'!H628</f>
        <v>0</v>
      </c>
      <c r="E50" s="59">
        <f>'Stavební rozpočet'!I628</f>
        <v>0</v>
      </c>
      <c r="F50" s="59">
        <f>D50+E50</f>
        <v>0</v>
      </c>
      <c r="G50" s="59">
        <f>'Stavební rozpočet'!L628</f>
        <v>0</v>
      </c>
      <c r="H50" s="59" t="s">
        <v>1188</v>
      </c>
      <c r="I50" s="59">
        <f>IF(H50="F",0,F50)</f>
        <v>0</v>
      </c>
    </row>
    <row r="51" spans="1:9" ht="12.75">
      <c r="A51" s="31"/>
      <c r="B51" s="31" t="s">
        <v>482</v>
      </c>
      <c r="C51" s="31" t="s">
        <v>1061</v>
      </c>
      <c r="D51" s="59">
        <f>'Stavební rozpočet'!H636</f>
        <v>0</v>
      </c>
      <c r="E51" s="59">
        <f>'Stavební rozpočet'!I636</f>
        <v>0</v>
      </c>
      <c r="F51" s="59">
        <f>D51+E51</f>
        <v>0</v>
      </c>
      <c r="G51" s="59">
        <f>'Stavební rozpočet'!L636</f>
        <v>0</v>
      </c>
      <c r="H51" s="59" t="s">
        <v>1188</v>
      </c>
      <c r="I51" s="59">
        <f>IF(H51="F",0,F51)</f>
        <v>0</v>
      </c>
    </row>
    <row r="52" spans="1:9" ht="12.75">
      <c r="A52" s="31"/>
      <c r="B52" s="31" t="s">
        <v>485</v>
      </c>
      <c r="C52" s="31" t="s">
        <v>1066</v>
      </c>
      <c r="D52" s="59">
        <f>'Stavební rozpočet'!H641</f>
        <v>0</v>
      </c>
      <c r="E52" s="59">
        <f>'Stavební rozpočet'!I641</f>
        <v>0</v>
      </c>
      <c r="F52" s="59">
        <f>D52+E52</f>
        <v>0</v>
      </c>
      <c r="G52" s="59">
        <f>'Stavební rozpočet'!L641</f>
        <v>0</v>
      </c>
      <c r="H52" s="59" t="s">
        <v>1188</v>
      </c>
      <c r="I52" s="59">
        <f>IF(H52="F",0,F52)</f>
        <v>0</v>
      </c>
    </row>
    <row r="54" spans="5:6" ht="12.75">
      <c r="E54" s="69" t="s">
        <v>1099</v>
      </c>
      <c r="F54" s="72">
        <f>SUM(I11:I52)</f>
        <v>0</v>
      </c>
    </row>
  </sheetData>
  <mergeCells count="17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0"/>
  <sheetViews>
    <sheetView workbookViewId="0" topLeftCell="A1">
      <pane ySplit="10" topLeftCell="A11" activePane="bottomLeft" state="frozen"/>
      <selection pane="bottomLeft" activeCell="A1" sqref="A1:H1"/>
    </sheetView>
  </sheetViews>
  <sheetFormatPr defaultColWidth="11.57421875" defaultRowHeight="12.75"/>
  <cols>
    <col min="1" max="2" width="9.140625" customWidth="1"/>
    <col min="3" max="3" width="13.28125" customWidth="1"/>
    <col min="4" max="4" width="82.8515625" customWidth="1"/>
    <col min="5" max="5" width="14.57421875" customWidth="1"/>
    <col min="6" max="6" width="24.140625" customWidth="1"/>
    <col min="7" max="7" width="20.421875" customWidth="1"/>
    <col min="8" max="8" width="16.421875" customWidth="1"/>
  </cols>
  <sheetData>
    <row r="1" spans="1:8" ht="72.75" customHeight="1">
      <c r="A1" s="120" t="s">
        <v>1189</v>
      </c>
      <c r="B1" s="17"/>
      <c r="C1" s="17"/>
      <c r="D1" s="17"/>
      <c r="E1" s="17"/>
      <c r="F1" s="17"/>
      <c r="G1" s="17"/>
      <c r="H1" s="17"/>
    </row>
    <row r="2" spans="1:9" ht="12.75">
      <c r="A2" s="3" t="s">
        <v>1</v>
      </c>
      <c r="B2" s="18"/>
      <c r="C2" s="25" t="str">
        <f>'Stavební rozpočet'!D2</f>
        <v>REKONSTRUKCE A MODERNIZACE</v>
      </c>
      <c r="D2" s="45"/>
      <c r="E2" s="42" t="s">
        <v>1100</v>
      </c>
      <c r="F2" s="42" t="str">
        <f>'Stavební rozpočet'!J2</f>
        <v>MĚSTO VARNSDORF</v>
      </c>
      <c r="G2" s="18"/>
      <c r="H2" s="50"/>
      <c r="I2" s="57"/>
    </row>
    <row r="3" spans="1:9" ht="12.75">
      <c r="A3" s="4"/>
      <c r="B3" s="19"/>
      <c r="C3" s="26"/>
      <c r="D3" s="26"/>
      <c r="E3" s="19"/>
      <c r="F3" s="19"/>
      <c r="G3" s="19"/>
      <c r="H3" s="51"/>
      <c r="I3" s="57"/>
    </row>
    <row r="4" spans="1:9" ht="12.75">
      <c r="A4" s="5" t="s">
        <v>2</v>
      </c>
      <c r="B4" s="19"/>
      <c r="C4" s="16" t="str">
        <f>'Stavební rozpočet'!D4</f>
        <v>STRAVOVACÍ PROVOZ A DISTRIBUCE JÍDEL</v>
      </c>
      <c r="D4" s="19"/>
      <c r="E4" s="16" t="s">
        <v>1101</v>
      </c>
      <c r="F4" s="16" t="str">
        <f>'Stavební rozpočet'!J4</f>
        <v>FORWOOD DVF</v>
      </c>
      <c r="G4" s="19"/>
      <c r="H4" s="51"/>
      <c r="I4" s="57"/>
    </row>
    <row r="5" spans="1:9" ht="12.75">
      <c r="A5" s="4"/>
      <c r="B5" s="19"/>
      <c r="C5" s="19"/>
      <c r="D5" s="19"/>
      <c r="E5" s="19"/>
      <c r="F5" s="19"/>
      <c r="G5" s="19"/>
      <c r="H5" s="51"/>
      <c r="I5" s="57"/>
    </row>
    <row r="6" spans="1:9" ht="12.75">
      <c r="A6" s="5" t="s">
        <v>3</v>
      </c>
      <c r="B6" s="19"/>
      <c r="C6" s="16" t="str">
        <f>'Stavební rozpočet'!D6</f>
        <v>NEMOCNICE VARNSDORF</v>
      </c>
      <c r="D6" s="19"/>
      <c r="E6" s="16" t="s">
        <v>1102</v>
      </c>
      <c r="F6" s="16" t="str">
        <f>'Stavební rozpočet'!J6</f>
        <v>BUDE VYBRÁN</v>
      </c>
      <c r="G6" s="19"/>
      <c r="H6" s="51"/>
      <c r="I6" s="57"/>
    </row>
    <row r="7" spans="1:9" ht="12.75">
      <c r="A7" s="4"/>
      <c r="B7" s="19"/>
      <c r="C7" s="19"/>
      <c r="D7" s="19"/>
      <c r="E7" s="19"/>
      <c r="F7" s="19"/>
      <c r="G7" s="19"/>
      <c r="H7" s="51"/>
      <c r="I7" s="57"/>
    </row>
    <row r="8" spans="1:9" ht="12.75">
      <c r="A8" s="5" t="s">
        <v>1103</v>
      </c>
      <c r="B8" s="19"/>
      <c r="C8" s="16" t="str">
        <f>'Stavební rozpočet'!J8</f>
        <v>IIČVDF</v>
      </c>
      <c r="D8" s="19"/>
      <c r="E8" s="16" t="s">
        <v>1081</v>
      </c>
      <c r="F8" s="16" t="str">
        <f>'Stavební rozpočet'!G8</f>
        <v>02.03.2018</v>
      </c>
      <c r="G8" s="19"/>
      <c r="H8" s="51"/>
      <c r="I8" s="57"/>
    </row>
    <row r="9" spans="1:9" ht="12.75">
      <c r="A9" s="6"/>
      <c r="B9" s="20"/>
      <c r="C9" s="20"/>
      <c r="D9" s="20"/>
      <c r="E9" s="20"/>
      <c r="F9" s="20"/>
      <c r="G9" s="20"/>
      <c r="H9" s="52"/>
      <c r="I9" s="57"/>
    </row>
    <row r="10" spans="1:9" ht="12.75">
      <c r="A10" s="66" t="s">
        <v>5</v>
      </c>
      <c r="B10" s="67" t="s">
        <v>239</v>
      </c>
      <c r="C10" s="67" t="s">
        <v>240</v>
      </c>
      <c r="D10" s="67" t="s">
        <v>496</v>
      </c>
      <c r="E10" s="67" t="s">
        <v>1082</v>
      </c>
      <c r="F10" s="67" t="s">
        <v>497</v>
      </c>
      <c r="G10" s="75" t="s">
        <v>1093</v>
      </c>
      <c r="H10" s="64" t="s">
        <v>1190</v>
      </c>
      <c r="I10" s="58"/>
    </row>
    <row r="11" spans="1:8" ht="12.75">
      <c r="A11" s="73" t="s">
        <v>7</v>
      </c>
      <c r="B11" s="73"/>
      <c r="C11" s="73" t="s">
        <v>241</v>
      </c>
      <c r="D11" s="73" t="s">
        <v>499</v>
      </c>
      <c r="E11" s="73" t="s">
        <v>1083</v>
      </c>
      <c r="F11" s="74"/>
      <c r="G11" s="76">
        <v>124.31485</v>
      </c>
      <c r="H11" s="77" t="s">
        <v>1113</v>
      </c>
    </row>
    <row r="12" spans="6:7" ht="12.75">
      <c r="F12" s="10" t="s">
        <v>500</v>
      </c>
      <c r="G12" s="33">
        <v>15.5479</v>
      </c>
    </row>
    <row r="13" spans="1:7" ht="12.75">
      <c r="A13" s="10"/>
      <c r="B13" s="10"/>
      <c r="C13" s="10"/>
      <c r="D13" s="10"/>
      <c r="E13" s="10"/>
      <c r="F13" s="10" t="s">
        <v>501</v>
      </c>
      <c r="G13" s="33">
        <v>15.87695</v>
      </c>
    </row>
    <row r="14" spans="1:7" ht="12.75">
      <c r="A14" s="10"/>
      <c r="B14" s="10"/>
      <c r="C14" s="10"/>
      <c r="D14" s="10"/>
      <c r="E14" s="10"/>
      <c r="F14" s="10" t="s">
        <v>502</v>
      </c>
      <c r="G14" s="33">
        <v>92.89</v>
      </c>
    </row>
    <row r="15" spans="1:8" ht="12.75">
      <c r="A15" s="10" t="s">
        <v>8</v>
      </c>
      <c r="B15" s="10"/>
      <c r="C15" s="10" t="s">
        <v>242</v>
      </c>
      <c r="D15" s="10" t="s">
        <v>503</v>
      </c>
      <c r="E15" s="10" t="s">
        <v>1083</v>
      </c>
      <c r="G15" s="33">
        <v>26.688</v>
      </c>
      <c r="H15" s="55" t="s">
        <v>1113</v>
      </c>
    </row>
    <row r="16" spans="6:7" ht="12.75">
      <c r="F16" s="10" t="s">
        <v>504</v>
      </c>
      <c r="G16" s="33">
        <v>2.9484</v>
      </c>
    </row>
    <row r="17" spans="1:7" ht="12.75">
      <c r="A17" s="10"/>
      <c r="B17" s="10"/>
      <c r="C17" s="10"/>
      <c r="D17" s="10"/>
      <c r="E17" s="10"/>
      <c r="F17" s="10" t="s">
        <v>505</v>
      </c>
      <c r="G17" s="33">
        <v>4.1184</v>
      </c>
    </row>
    <row r="18" spans="1:7" ht="12.75">
      <c r="A18" s="10"/>
      <c r="B18" s="10"/>
      <c r="C18" s="10"/>
      <c r="D18" s="10"/>
      <c r="E18" s="10"/>
      <c r="F18" s="10" t="s">
        <v>506</v>
      </c>
      <c r="G18" s="33">
        <v>2.9484</v>
      </c>
    </row>
    <row r="19" spans="1:7" ht="12.75">
      <c r="A19" s="10"/>
      <c r="B19" s="10"/>
      <c r="C19" s="10"/>
      <c r="D19" s="10"/>
      <c r="E19" s="10"/>
      <c r="F19" s="10" t="s">
        <v>507</v>
      </c>
      <c r="G19" s="33">
        <v>2.2308</v>
      </c>
    </row>
    <row r="20" spans="1:7" ht="12.75">
      <c r="A20" s="10"/>
      <c r="B20" s="10"/>
      <c r="C20" s="10"/>
      <c r="D20" s="10"/>
      <c r="E20" s="10"/>
      <c r="F20" s="10" t="s">
        <v>508</v>
      </c>
      <c r="G20" s="33">
        <v>7.236</v>
      </c>
    </row>
    <row r="21" spans="1:7" ht="12.75">
      <c r="A21" s="10"/>
      <c r="B21" s="10"/>
      <c r="C21" s="10"/>
      <c r="D21" s="10"/>
      <c r="E21" s="10"/>
      <c r="F21" s="10" t="s">
        <v>509</v>
      </c>
      <c r="G21" s="33">
        <v>1.872</v>
      </c>
    </row>
    <row r="22" spans="1:7" ht="12.75">
      <c r="A22" s="10"/>
      <c r="B22" s="10"/>
      <c r="C22" s="10"/>
      <c r="D22" s="10"/>
      <c r="E22" s="10"/>
      <c r="F22" s="10" t="s">
        <v>510</v>
      </c>
      <c r="G22" s="33">
        <v>4.086</v>
      </c>
    </row>
    <row r="23" spans="1:7" ht="12.75">
      <c r="A23" s="10"/>
      <c r="B23" s="10"/>
      <c r="C23" s="10"/>
      <c r="D23" s="10"/>
      <c r="E23" s="10"/>
      <c r="F23" s="10" t="s">
        <v>511</v>
      </c>
      <c r="G23" s="33">
        <v>1.248</v>
      </c>
    </row>
    <row r="24" spans="1:8" ht="12.75">
      <c r="A24" s="10" t="s">
        <v>9</v>
      </c>
      <c r="B24" s="10"/>
      <c r="C24" s="10" t="s">
        <v>243</v>
      </c>
      <c r="D24" s="10" t="s">
        <v>513</v>
      </c>
      <c r="E24" s="10" t="s">
        <v>1083</v>
      </c>
      <c r="F24" s="10" t="s">
        <v>514</v>
      </c>
      <c r="G24" s="33">
        <v>58.112</v>
      </c>
      <c r="H24" s="55" t="s">
        <v>1113</v>
      </c>
    </row>
    <row r="25" spans="1:8" ht="12.75">
      <c r="A25" s="10" t="s">
        <v>10</v>
      </c>
      <c r="B25" s="10"/>
      <c r="C25" s="10" t="s">
        <v>244</v>
      </c>
      <c r="D25" s="10" t="s">
        <v>515</v>
      </c>
      <c r="E25" s="10" t="s">
        <v>1083</v>
      </c>
      <c r="G25" s="33">
        <v>151.002</v>
      </c>
      <c r="H25" s="55" t="s">
        <v>1113</v>
      </c>
    </row>
    <row r="26" spans="6:7" ht="12.75">
      <c r="F26" s="10" t="s">
        <v>516</v>
      </c>
      <c r="G26" s="33">
        <v>43.67</v>
      </c>
    </row>
    <row r="27" spans="1:7" ht="12.75">
      <c r="A27" s="10"/>
      <c r="B27" s="10"/>
      <c r="C27" s="10"/>
      <c r="D27" s="10"/>
      <c r="E27" s="10"/>
      <c r="F27" s="10" t="s">
        <v>517</v>
      </c>
      <c r="G27" s="33">
        <v>9.108</v>
      </c>
    </row>
    <row r="28" spans="1:7" ht="12.75">
      <c r="A28" s="10"/>
      <c r="B28" s="10"/>
      <c r="C28" s="10"/>
      <c r="D28" s="10"/>
      <c r="E28" s="10"/>
      <c r="F28" s="10" t="s">
        <v>518</v>
      </c>
      <c r="G28" s="33">
        <v>5.334</v>
      </c>
    </row>
    <row r="29" spans="1:7" ht="12.75">
      <c r="A29" s="10"/>
      <c r="B29" s="10"/>
      <c r="C29" s="10"/>
      <c r="D29" s="10"/>
      <c r="E29" s="10"/>
      <c r="F29" s="10" t="s">
        <v>519</v>
      </c>
      <c r="G29" s="33">
        <v>92.89</v>
      </c>
    </row>
    <row r="30" spans="1:8" ht="12.75">
      <c r="A30" s="10" t="s">
        <v>11</v>
      </c>
      <c r="B30" s="10"/>
      <c r="C30" s="10" t="s">
        <v>245</v>
      </c>
      <c r="D30" s="10" t="s">
        <v>520</v>
      </c>
      <c r="E30" s="10" t="s">
        <v>1083</v>
      </c>
      <c r="G30" s="33">
        <v>151.002</v>
      </c>
      <c r="H30" s="55" t="s">
        <v>1113</v>
      </c>
    </row>
    <row r="31" spans="6:7" ht="12.75">
      <c r="F31" s="10" t="s">
        <v>516</v>
      </c>
      <c r="G31" s="33">
        <v>43.67</v>
      </c>
    </row>
    <row r="32" spans="1:7" ht="12.75">
      <c r="A32" s="10"/>
      <c r="B32" s="10"/>
      <c r="C32" s="10"/>
      <c r="D32" s="10"/>
      <c r="E32" s="10"/>
      <c r="F32" s="10" t="s">
        <v>521</v>
      </c>
      <c r="G32" s="33">
        <v>9.108</v>
      </c>
    </row>
    <row r="33" spans="1:7" ht="12.75">
      <c r="A33" s="10"/>
      <c r="B33" s="10"/>
      <c r="C33" s="10"/>
      <c r="D33" s="10"/>
      <c r="E33" s="10"/>
      <c r="F33" s="10" t="s">
        <v>522</v>
      </c>
      <c r="G33" s="33">
        <v>5.334</v>
      </c>
    </row>
    <row r="34" spans="1:7" ht="12.75">
      <c r="A34" s="10"/>
      <c r="B34" s="10"/>
      <c r="C34" s="10"/>
      <c r="D34" s="10"/>
      <c r="E34" s="10"/>
      <c r="F34" s="10" t="s">
        <v>519</v>
      </c>
      <c r="G34" s="33">
        <v>92.89</v>
      </c>
    </row>
    <row r="35" spans="1:8" ht="12.75">
      <c r="A35" s="10" t="s">
        <v>12</v>
      </c>
      <c r="B35" s="10"/>
      <c r="C35" s="10" t="s">
        <v>246</v>
      </c>
      <c r="D35" s="10" t="s">
        <v>523</v>
      </c>
      <c r="E35" s="10" t="s">
        <v>1083</v>
      </c>
      <c r="G35" s="33">
        <v>151.002</v>
      </c>
      <c r="H35" s="55" t="s">
        <v>1113</v>
      </c>
    </row>
    <row r="36" spans="6:7" ht="12.75">
      <c r="F36" s="10" t="s">
        <v>516</v>
      </c>
      <c r="G36" s="33">
        <v>43.67</v>
      </c>
    </row>
    <row r="37" spans="1:7" ht="12.75">
      <c r="A37" s="10"/>
      <c r="B37" s="10"/>
      <c r="C37" s="10"/>
      <c r="D37" s="10"/>
      <c r="E37" s="10"/>
      <c r="F37" s="10" t="s">
        <v>521</v>
      </c>
      <c r="G37" s="33">
        <v>9.108</v>
      </c>
    </row>
    <row r="38" spans="1:7" ht="12.75">
      <c r="A38" s="10"/>
      <c r="B38" s="10"/>
      <c r="C38" s="10"/>
      <c r="D38" s="10"/>
      <c r="E38" s="10"/>
      <c r="F38" s="10" t="s">
        <v>522</v>
      </c>
      <c r="G38" s="33">
        <v>5.334</v>
      </c>
    </row>
    <row r="39" spans="1:7" ht="12.75">
      <c r="A39" s="10"/>
      <c r="B39" s="10"/>
      <c r="C39" s="10"/>
      <c r="D39" s="10"/>
      <c r="E39" s="10"/>
      <c r="F39" s="10" t="s">
        <v>519</v>
      </c>
      <c r="G39" s="33">
        <v>92.89</v>
      </c>
    </row>
    <row r="40" spans="1:8" ht="12.75">
      <c r="A40" s="10" t="s">
        <v>13</v>
      </c>
      <c r="B40" s="10"/>
      <c r="C40" s="10" t="s">
        <v>247</v>
      </c>
      <c r="D40" s="10" t="s">
        <v>524</v>
      </c>
      <c r="E40" s="10" t="s">
        <v>1083</v>
      </c>
      <c r="F40" s="10" t="s">
        <v>525</v>
      </c>
      <c r="G40" s="33">
        <v>4832.064</v>
      </c>
      <c r="H40" s="55" t="s">
        <v>1113</v>
      </c>
    </row>
    <row r="41" spans="1:8" ht="12.75">
      <c r="A41" s="10" t="s">
        <v>14</v>
      </c>
      <c r="B41" s="10"/>
      <c r="C41" s="10" t="s">
        <v>248</v>
      </c>
      <c r="D41" s="10" t="s">
        <v>526</v>
      </c>
      <c r="E41" s="10" t="s">
        <v>1083</v>
      </c>
      <c r="G41" s="33">
        <v>151.002</v>
      </c>
      <c r="H41" s="55" t="s">
        <v>1113</v>
      </c>
    </row>
    <row r="42" spans="6:7" ht="12.75">
      <c r="F42" s="10" t="s">
        <v>516</v>
      </c>
      <c r="G42" s="33">
        <v>43.67</v>
      </c>
    </row>
    <row r="43" spans="1:7" ht="12.75">
      <c r="A43" s="10"/>
      <c r="B43" s="10"/>
      <c r="C43" s="10"/>
      <c r="D43" s="10"/>
      <c r="E43" s="10"/>
      <c r="F43" s="10" t="s">
        <v>521</v>
      </c>
      <c r="G43" s="33">
        <v>9.108</v>
      </c>
    </row>
    <row r="44" spans="1:7" ht="12.75">
      <c r="A44" s="10"/>
      <c r="B44" s="10"/>
      <c r="C44" s="10"/>
      <c r="D44" s="10"/>
      <c r="E44" s="10"/>
      <c r="F44" s="10" t="s">
        <v>522</v>
      </c>
      <c r="G44" s="33">
        <v>5.334</v>
      </c>
    </row>
    <row r="45" spans="1:7" ht="12.75">
      <c r="A45" s="10"/>
      <c r="B45" s="10"/>
      <c r="C45" s="10"/>
      <c r="D45" s="10"/>
      <c r="E45" s="10"/>
      <c r="F45" s="10" t="s">
        <v>519</v>
      </c>
      <c r="G45" s="33">
        <v>92.89</v>
      </c>
    </row>
    <row r="46" spans="1:8" ht="12.75">
      <c r="A46" s="10" t="s">
        <v>15</v>
      </c>
      <c r="B46" s="10"/>
      <c r="C46" s="10" t="s">
        <v>249</v>
      </c>
      <c r="D46" s="10" t="s">
        <v>528</v>
      </c>
      <c r="E46" s="10" t="s">
        <v>1083</v>
      </c>
      <c r="G46" s="33">
        <v>150.002</v>
      </c>
      <c r="H46" s="55" t="s">
        <v>1113</v>
      </c>
    </row>
    <row r="47" spans="6:7" ht="12.75">
      <c r="F47" s="10" t="s">
        <v>516</v>
      </c>
      <c r="G47" s="33">
        <v>43.67</v>
      </c>
    </row>
    <row r="48" spans="1:7" ht="12.75">
      <c r="A48" s="10"/>
      <c r="B48" s="10"/>
      <c r="C48" s="10"/>
      <c r="D48" s="10"/>
      <c r="E48" s="10"/>
      <c r="F48" s="10" t="s">
        <v>529</v>
      </c>
      <c r="G48" s="33">
        <v>8.108</v>
      </c>
    </row>
    <row r="49" spans="1:7" ht="12.75">
      <c r="A49" s="10"/>
      <c r="B49" s="10"/>
      <c r="C49" s="10"/>
      <c r="D49" s="10"/>
      <c r="E49" s="10"/>
      <c r="F49" s="10" t="s">
        <v>522</v>
      </c>
      <c r="G49" s="33">
        <v>5.334</v>
      </c>
    </row>
    <row r="50" spans="1:7" ht="12.75">
      <c r="A50" s="10"/>
      <c r="B50" s="10"/>
      <c r="C50" s="10"/>
      <c r="D50" s="10"/>
      <c r="E50" s="10"/>
      <c r="F50" s="10" t="s">
        <v>519</v>
      </c>
      <c r="G50" s="33">
        <v>92.89</v>
      </c>
    </row>
    <row r="51" spans="1:8" ht="12.75">
      <c r="A51" s="10" t="s">
        <v>16</v>
      </c>
      <c r="B51" s="10"/>
      <c r="C51" s="10" t="s">
        <v>250</v>
      </c>
      <c r="D51" s="10" t="s">
        <v>531</v>
      </c>
      <c r="E51" s="10" t="s">
        <v>1084</v>
      </c>
      <c r="F51" s="10" t="s">
        <v>532</v>
      </c>
      <c r="G51" s="33">
        <v>54</v>
      </c>
      <c r="H51" s="55" t="s">
        <v>1113</v>
      </c>
    </row>
    <row r="52" spans="1:8" ht="12.75">
      <c r="A52" s="10" t="s">
        <v>17</v>
      </c>
      <c r="B52" s="10"/>
      <c r="C52" s="10" t="s">
        <v>251</v>
      </c>
      <c r="D52" s="10" t="s">
        <v>534</v>
      </c>
      <c r="E52" s="10" t="s">
        <v>1083</v>
      </c>
      <c r="G52" s="33">
        <v>28.632</v>
      </c>
      <c r="H52" s="55" t="s">
        <v>1113</v>
      </c>
    </row>
    <row r="53" spans="6:7" ht="12.75">
      <c r="F53" s="10" t="s">
        <v>535</v>
      </c>
      <c r="G53" s="33">
        <v>7.066</v>
      </c>
    </row>
    <row r="54" spans="1:7" ht="12.75">
      <c r="A54" s="10"/>
      <c r="B54" s="10"/>
      <c r="C54" s="10"/>
      <c r="D54" s="10"/>
      <c r="E54" s="10"/>
      <c r="F54" s="10" t="s">
        <v>536</v>
      </c>
      <c r="G54" s="33">
        <v>7.124</v>
      </c>
    </row>
    <row r="55" spans="1:7" ht="12.75">
      <c r="A55" s="10"/>
      <c r="B55" s="10"/>
      <c r="C55" s="10"/>
      <c r="D55" s="10"/>
      <c r="E55" s="10"/>
      <c r="F55" s="10" t="s">
        <v>521</v>
      </c>
      <c r="G55" s="33">
        <v>9.108</v>
      </c>
    </row>
    <row r="56" spans="1:7" ht="12.75">
      <c r="A56" s="10"/>
      <c r="B56" s="10"/>
      <c r="C56" s="10"/>
      <c r="D56" s="10"/>
      <c r="E56" s="10"/>
      <c r="F56" s="10" t="s">
        <v>522</v>
      </c>
      <c r="G56" s="33">
        <v>5.334</v>
      </c>
    </row>
    <row r="57" spans="1:8" ht="12.75">
      <c r="A57" s="10" t="s">
        <v>18</v>
      </c>
      <c r="B57" s="10"/>
      <c r="C57" s="10" t="s">
        <v>252</v>
      </c>
      <c r="D57" s="10" t="s">
        <v>537</v>
      </c>
      <c r="E57" s="10" t="s">
        <v>1083</v>
      </c>
      <c r="G57" s="33">
        <v>2.508</v>
      </c>
      <c r="H57" s="55" t="s">
        <v>1113</v>
      </c>
    </row>
    <row r="58" spans="6:7" ht="12.75">
      <c r="F58" s="10" t="s">
        <v>538</v>
      </c>
      <c r="G58" s="33">
        <v>1.254</v>
      </c>
    </row>
    <row r="59" spans="1:7" ht="12.75">
      <c r="A59" s="10"/>
      <c r="B59" s="10"/>
      <c r="C59" s="10"/>
      <c r="D59" s="10"/>
      <c r="E59" s="10"/>
      <c r="F59" s="10" t="s">
        <v>539</v>
      </c>
      <c r="G59" s="33">
        <v>1.254</v>
      </c>
    </row>
    <row r="60" spans="1:8" ht="12.75">
      <c r="A60" s="10" t="s">
        <v>19</v>
      </c>
      <c r="B60" s="10"/>
      <c r="C60" s="10" t="s">
        <v>253</v>
      </c>
      <c r="D60" s="10" t="s">
        <v>540</v>
      </c>
      <c r="E60" s="10" t="s">
        <v>1083</v>
      </c>
      <c r="G60" s="33">
        <v>3.344</v>
      </c>
      <c r="H60" s="55" t="s">
        <v>1113</v>
      </c>
    </row>
    <row r="61" spans="6:7" ht="12.75">
      <c r="F61" s="10" t="s">
        <v>541</v>
      </c>
      <c r="G61" s="33">
        <v>1.672</v>
      </c>
    </row>
    <row r="62" spans="1:7" ht="12.75">
      <c r="A62" s="10"/>
      <c r="B62" s="10"/>
      <c r="C62" s="10"/>
      <c r="D62" s="10"/>
      <c r="E62" s="10"/>
      <c r="F62" s="10" t="s">
        <v>542</v>
      </c>
      <c r="G62" s="33">
        <v>1.672</v>
      </c>
    </row>
    <row r="63" spans="1:8" ht="12.75">
      <c r="A63" s="10" t="s">
        <v>20</v>
      </c>
      <c r="B63" s="10"/>
      <c r="C63" s="10" t="s">
        <v>254</v>
      </c>
      <c r="D63" s="10" t="s">
        <v>543</v>
      </c>
      <c r="E63" s="10" t="s">
        <v>1085</v>
      </c>
      <c r="G63" s="33">
        <v>0.26752</v>
      </c>
      <c r="H63" s="55" t="s">
        <v>1113</v>
      </c>
    </row>
    <row r="64" spans="6:7" ht="12.75">
      <c r="F64" s="10" t="s">
        <v>544</v>
      </c>
      <c r="G64" s="33">
        <v>0.13376</v>
      </c>
    </row>
    <row r="65" spans="1:7" ht="12.75">
      <c r="A65" s="10"/>
      <c r="B65" s="10"/>
      <c r="C65" s="10"/>
      <c r="D65" s="10"/>
      <c r="E65" s="10"/>
      <c r="F65" s="10" t="s">
        <v>545</v>
      </c>
      <c r="G65" s="33">
        <v>0.13376</v>
      </c>
    </row>
    <row r="66" spans="1:8" ht="12.75">
      <c r="A66" s="10" t="s">
        <v>21</v>
      </c>
      <c r="B66" s="10"/>
      <c r="C66" s="10" t="s">
        <v>255</v>
      </c>
      <c r="D66" s="10" t="s">
        <v>546</v>
      </c>
      <c r="E66" s="10" t="s">
        <v>1086</v>
      </c>
      <c r="G66" s="33">
        <v>27.88</v>
      </c>
      <c r="H66" s="55" t="s">
        <v>1113</v>
      </c>
    </row>
    <row r="67" spans="6:7" ht="12.75">
      <c r="F67" s="10" t="s">
        <v>547</v>
      </c>
      <c r="G67" s="33">
        <v>13.94</v>
      </c>
    </row>
    <row r="68" spans="1:7" ht="12.75">
      <c r="A68" s="10"/>
      <c r="B68" s="10"/>
      <c r="C68" s="10"/>
      <c r="D68" s="10"/>
      <c r="E68" s="10"/>
      <c r="F68" s="10" t="s">
        <v>548</v>
      </c>
      <c r="G68" s="33">
        <v>13.94</v>
      </c>
    </row>
    <row r="69" spans="1:8" ht="12.75">
      <c r="A69" s="10" t="s">
        <v>22</v>
      </c>
      <c r="B69" s="10"/>
      <c r="C69" s="10" t="s">
        <v>256</v>
      </c>
      <c r="D69" s="10" t="s">
        <v>549</v>
      </c>
      <c r="E69" s="10" t="s">
        <v>1086</v>
      </c>
      <c r="G69" s="33">
        <v>12.92</v>
      </c>
      <c r="H69" s="55" t="s">
        <v>1113</v>
      </c>
    </row>
    <row r="70" spans="6:7" ht="12.75">
      <c r="F70" s="10" t="s">
        <v>550</v>
      </c>
      <c r="G70" s="33">
        <v>6.46</v>
      </c>
    </row>
    <row r="71" spans="1:7" ht="12.75">
      <c r="A71" s="10"/>
      <c r="B71" s="10"/>
      <c r="C71" s="10"/>
      <c r="D71" s="10"/>
      <c r="E71" s="10"/>
      <c r="F71" s="10" t="s">
        <v>551</v>
      </c>
      <c r="G71" s="33">
        <v>6.46</v>
      </c>
    </row>
    <row r="72" spans="1:8" ht="12.75">
      <c r="A72" s="10" t="s">
        <v>23</v>
      </c>
      <c r="B72" s="10"/>
      <c r="C72" s="10" t="s">
        <v>257</v>
      </c>
      <c r="D72" s="10" t="s">
        <v>552</v>
      </c>
      <c r="E72" s="10" t="s">
        <v>1086</v>
      </c>
      <c r="G72" s="33">
        <v>59.88</v>
      </c>
      <c r="H72" s="55" t="s">
        <v>1113</v>
      </c>
    </row>
    <row r="73" spans="6:7" ht="12.75">
      <c r="F73" s="10" t="s">
        <v>553</v>
      </c>
      <c r="G73" s="33">
        <v>30.5</v>
      </c>
    </row>
    <row r="74" spans="1:7" ht="12.75">
      <c r="A74" s="10"/>
      <c r="B74" s="10"/>
      <c r="C74" s="10"/>
      <c r="D74" s="10"/>
      <c r="E74" s="10"/>
      <c r="F74" s="10" t="s">
        <v>554</v>
      </c>
      <c r="G74" s="33">
        <v>29.38</v>
      </c>
    </row>
    <row r="75" spans="1:8" ht="12.75">
      <c r="A75" s="10" t="s">
        <v>24</v>
      </c>
      <c r="B75" s="10"/>
      <c r="C75" s="10" t="s">
        <v>258</v>
      </c>
      <c r="D75" s="10" t="s">
        <v>555</v>
      </c>
      <c r="E75" s="10" t="s">
        <v>1086</v>
      </c>
      <c r="F75" s="10" t="s">
        <v>556</v>
      </c>
      <c r="G75" s="33">
        <v>15.25</v>
      </c>
      <c r="H75" s="55" t="s">
        <v>1113</v>
      </c>
    </row>
    <row r="76" spans="1:8" ht="12.75">
      <c r="A76" s="10" t="s">
        <v>25</v>
      </c>
      <c r="B76" s="10"/>
      <c r="C76" s="10" t="s">
        <v>259</v>
      </c>
      <c r="D76" s="10" t="s">
        <v>558</v>
      </c>
      <c r="E76" s="10" t="s">
        <v>1083</v>
      </c>
      <c r="G76" s="33">
        <v>6.74766</v>
      </c>
      <c r="H76" s="55" t="s">
        <v>1113</v>
      </c>
    </row>
    <row r="77" spans="6:7" ht="12.75">
      <c r="F77" s="10" t="s">
        <v>559</v>
      </c>
      <c r="G77" s="33">
        <v>5.39766</v>
      </c>
    </row>
    <row r="78" spans="1:7" ht="12.75">
      <c r="A78" s="10"/>
      <c r="B78" s="10"/>
      <c r="C78" s="10"/>
      <c r="D78" s="10"/>
      <c r="E78" s="10"/>
      <c r="F78" s="10" t="s">
        <v>560</v>
      </c>
      <c r="G78" s="33">
        <v>1.35</v>
      </c>
    </row>
    <row r="79" spans="1:8" ht="12.75">
      <c r="A79" s="10" t="s">
        <v>26</v>
      </c>
      <c r="B79" s="10"/>
      <c r="C79" s="10" t="s">
        <v>260</v>
      </c>
      <c r="D79" s="10" t="s">
        <v>561</v>
      </c>
      <c r="E79" s="10" t="s">
        <v>1086</v>
      </c>
      <c r="G79" s="33">
        <v>92.184</v>
      </c>
      <c r="H79" s="55" t="s">
        <v>1113</v>
      </c>
    </row>
    <row r="80" spans="6:7" ht="12.75">
      <c r="F80" s="10" t="s">
        <v>562</v>
      </c>
      <c r="G80" s="33">
        <v>46.092</v>
      </c>
    </row>
    <row r="81" spans="1:7" ht="12.75">
      <c r="A81" s="10"/>
      <c r="B81" s="10"/>
      <c r="C81" s="10"/>
      <c r="D81" s="10"/>
      <c r="E81" s="10"/>
      <c r="F81" s="10" t="s">
        <v>563</v>
      </c>
      <c r="G81" s="33">
        <v>46.092</v>
      </c>
    </row>
    <row r="82" spans="1:8" ht="12.75">
      <c r="A82" s="10" t="s">
        <v>27</v>
      </c>
      <c r="B82" s="10"/>
      <c r="C82" s="10" t="s">
        <v>261</v>
      </c>
      <c r="D82" s="10" t="s">
        <v>564</v>
      </c>
      <c r="E82" s="10" t="s">
        <v>1083</v>
      </c>
      <c r="G82" s="33">
        <v>21.5232</v>
      </c>
      <c r="H82" s="55" t="s">
        <v>1113</v>
      </c>
    </row>
    <row r="83" spans="6:7" ht="12.75">
      <c r="F83" s="10" t="s">
        <v>565</v>
      </c>
      <c r="G83" s="33">
        <v>7.944</v>
      </c>
    </row>
    <row r="84" spans="1:7" ht="12.75">
      <c r="A84" s="10"/>
      <c r="B84" s="10"/>
      <c r="C84" s="10"/>
      <c r="D84" s="10"/>
      <c r="E84" s="10"/>
      <c r="F84" s="10" t="s">
        <v>566</v>
      </c>
      <c r="G84" s="33">
        <v>6.944</v>
      </c>
    </row>
    <row r="85" spans="1:7" ht="12.75">
      <c r="A85" s="10"/>
      <c r="B85" s="10"/>
      <c r="C85" s="10"/>
      <c r="D85" s="10"/>
      <c r="E85" s="10"/>
      <c r="F85" s="10" t="s">
        <v>567</v>
      </c>
      <c r="G85" s="33">
        <v>6.6352</v>
      </c>
    </row>
    <row r="86" spans="1:8" ht="12.75">
      <c r="A86" s="10" t="s">
        <v>28</v>
      </c>
      <c r="B86" s="10"/>
      <c r="C86" s="10" t="s">
        <v>262</v>
      </c>
      <c r="D86" s="10" t="s">
        <v>568</v>
      </c>
      <c r="E86" s="10" t="s">
        <v>1083</v>
      </c>
      <c r="G86" s="33">
        <v>8.12</v>
      </c>
      <c r="H86" s="55" t="s">
        <v>1113</v>
      </c>
    </row>
    <row r="87" spans="6:7" ht="12.75">
      <c r="F87" s="10" t="s">
        <v>569</v>
      </c>
      <c r="G87" s="33">
        <v>1.47</v>
      </c>
    </row>
    <row r="88" spans="1:7" ht="12.75">
      <c r="A88" s="10"/>
      <c r="B88" s="10"/>
      <c r="C88" s="10"/>
      <c r="D88" s="10"/>
      <c r="E88" s="10"/>
      <c r="F88" s="10" t="s">
        <v>570</v>
      </c>
      <c r="G88" s="33">
        <v>0.6</v>
      </c>
    </row>
    <row r="89" spans="1:7" ht="12.75">
      <c r="A89" s="10"/>
      <c r="B89" s="10"/>
      <c r="C89" s="10"/>
      <c r="D89" s="10"/>
      <c r="E89" s="10"/>
      <c r="F89" s="10" t="s">
        <v>571</v>
      </c>
      <c r="G89" s="33">
        <v>6.05</v>
      </c>
    </row>
    <row r="90" spans="1:8" ht="12.75">
      <c r="A90" s="10" t="s">
        <v>29</v>
      </c>
      <c r="B90" s="10"/>
      <c r="C90" s="10" t="s">
        <v>263</v>
      </c>
      <c r="D90" s="10" t="s">
        <v>572</v>
      </c>
      <c r="E90" s="10" t="s">
        <v>1086</v>
      </c>
      <c r="F90" s="10" t="s">
        <v>573</v>
      </c>
      <c r="G90" s="33">
        <v>5.936</v>
      </c>
      <c r="H90" s="55" t="s">
        <v>1113</v>
      </c>
    </row>
    <row r="91" spans="1:8" ht="12.75">
      <c r="A91" s="10" t="s">
        <v>30</v>
      </c>
      <c r="B91" s="10"/>
      <c r="C91" s="10" t="s">
        <v>264</v>
      </c>
      <c r="D91" s="10" t="s">
        <v>574</v>
      </c>
      <c r="E91" s="10" t="s">
        <v>1083</v>
      </c>
      <c r="F91" s="10" t="s">
        <v>575</v>
      </c>
      <c r="G91" s="33">
        <v>6.128</v>
      </c>
      <c r="H91" s="55" t="s">
        <v>1113</v>
      </c>
    </row>
    <row r="92" spans="1:8" ht="12.75">
      <c r="A92" s="10" t="s">
        <v>31</v>
      </c>
      <c r="B92" s="10"/>
      <c r="C92" s="10" t="s">
        <v>265</v>
      </c>
      <c r="D92" s="10" t="s">
        <v>576</v>
      </c>
      <c r="E92" s="10" t="s">
        <v>1087</v>
      </c>
      <c r="G92" s="33">
        <v>2</v>
      </c>
      <c r="H92" s="55" t="s">
        <v>1114</v>
      </c>
    </row>
    <row r="93" spans="6:7" ht="12.75">
      <c r="F93" s="10" t="s">
        <v>577</v>
      </c>
      <c r="G93" s="33">
        <v>1</v>
      </c>
    </row>
    <row r="94" spans="1:7" ht="12.75">
      <c r="A94" s="10"/>
      <c r="B94" s="10"/>
      <c r="C94" s="10"/>
      <c r="D94" s="10"/>
      <c r="E94" s="10"/>
      <c r="F94" s="10" t="s">
        <v>578</v>
      </c>
      <c r="G94" s="33">
        <v>1</v>
      </c>
    </row>
    <row r="95" spans="1:8" ht="12.75">
      <c r="A95" s="10" t="s">
        <v>32</v>
      </c>
      <c r="B95" s="10"/>
      <c r="C95" s="10" t="s">
        <v>266</v>
      </c>
      <c r="D95" s="10" t="s">
        <v>580</v>
      </c>
      <c r="E95" s="10" t="s">
        <v>1086</v>
      </c>
      <c r="G95" s="33">
        <v>81.9274</v>
      </c>
      <c r="H95" s="55" t="s">
        <v>1113</v>
      </c>
    </row>
    <row r="96" spans="6:7" ht="12.75">
      <c r="F96" s="10" t="s">
        <v>581</v>
      </c>
      <c r="G96" s="33">
        <v>11.9598</v>
      </c>
    </row>
    <row r="97" spans="1:7" ht="12.75">
      <c r="A97" s="10"/>
      <c r="B97" s="10"/>
      <c r="C97" s="10"/>
      <c r="D97" s="10"/>
      <c r="E97" s="10"/>
      <c r="F97" s="10" t="s">
        <v>582</v>
      </c>
      <c r="G97" s="33">
        <v>11.904</v>
      </c>
    </row>
    <row r="98" spans="1:7" ht="12.75">
      <c r="A98" s="10"/>
      <c r="B98" s="10"/>
      <c r="C98" s="10"/>
      <c r="D98" s="10"/>
      <c r="E98" s="10"/>
      <c r="F98" s="10" t="s">
        <v>583</v>
      </c>
      <c r="G98" s="33">
        <v>12.2016</v>
      </c>
    </row>
    <row r="99" spans="1:7" ht="12.75">
      <c r="A99" s="10"/>
      <c r="B99" s="10"/>
      <c r="C99" s="10"/>
      <c r="D99" s="10"/>
      <c r="E99" s="10"/>
      <c r="F99" s="10" t="s">
        <v>584</v>
      </c>
      <c r="G99" s="33">
        <v>17.112</v>
      </c>
    </row>
    <row r="100" spans="1:7" ht="12.75">
      <c r="A100" s="10"/>
      <c r="B100" s="10"/>
      <c r="C100" s="10"/>
      <c r="D100" s="10"/>
      <c r="E100" s="10"/>
      <c r="F100" s="10" t="s">
        <v>585</v>
      </c>
      <c r="G100" s="33">
        <v>28.75</v>
      </c>
    </row>
    <row r="101" spans="1:8" ht="12.75">
      <c r="A101" s="10" t="s">
        <v>33</v>
      </c>
      <c r="B101" s="10"/>
      <c r="C101" s="10" t="s">
        <v>267</v>
      </c>
      <c r="D101" s="10" t="s">
        <v>586</v>
      </c>
      <c r="E101" s="10" t="s">
        <v>1086</v>
      </c>
      <c r="G101" s="33">
        <v>142.5488</v>
      </c>
      <c r="H101" s="55" t="s">
        <v>1113</v>
      </c>
    </row>
    <row r="102" spans="6:7" ht="12.75">
      <c r="F102" s="10" t="s">
        <v>587</v>
      </c>
      <c r="G102" s="33">
        <v>37.584</v>
      </c>
    </row>
    <row r="103" spans="1:7" ht="12.75">
      <c r="A103" s="10"/>
      <c r="B103" s="10"/>
      <c r="C103" s="10"/>
      <c r="D103" s="10"/>
      <c r="E103" s="10"/>
      <c r="F103" s="10" t="s">
        <v>588</v>
      </c>
      <c r="G103" s="33">
        <v>36.5184</v>
      </c>
    </row>
    <row r="104" spans="1:7" ht="12.75">
      <c r="A104" s="10"/>
      <c r="B104" s="10"/>
      <c r="C104" s="10"/>
      <c r="D104" s="10"/>
      <c r="E104" s="10"/>
      <c r="F104" s="10" t="s">
        <v>589</v>
      </c>
      <c r="G104" s="33">
        <v>31.248</v>
      </c>
    </row>
    <row r="105" spans="1:7" ht="12.75">
      <c r="A105" s="10"/>
      <c r="B105" s="10"/>
      <c r="C105" s="10"/>
      <c r="D105" s="10"/>
      <c r="E105" s="10"/>
      <c r="F105" s="10" t="s">
        <v>590</v>
      </c>
      <c r="G105" s="33">
        <v>11.84</v>
      </c>
    </row>
    <row r="106" spans="1:7" ht="12.75">
      <c r="A106" s="10"/>
      <c r="B106" s="10"/>
      <c r="C106" s="10"/>
      <c r="D106" s="10"/>
      <c r="E106" s="10"/>
      <c r="F106" s="10" t="s">
        <v>591</v>
      </c>
      <c r="G106" s="33">
        <v>25.3584</v>
      </c>
    </row>
    <row r="107" spans="1:8" ht="12.75">
      <c r="A107" s="10" t="s">
        <v>34</v>
      </c>
      <c r="B107" s="10"/>
      <c r="C107" s="10" t="s">
        <v>268</v>
      </c>
      <c r="D107" s="10" t="s">
        <v>592</v>
      </c>
      <c r="E107" s="10" t="s">
        <v>1086</v>
      </c>
      <c r="F107" s="10" t="s">
        <v>593</v>
      </c>
      <c r="G107" s="33">
        <v>17.721</v>
      </c>
      <c r="H107" s="55" t="s">
        <v>1113</v>
      </c>
    </row>
    <row r="108" spans="1:8" ht="12.75">
      <c r="A108" s="10" t="s">
        <v>35</v>
      </c>
      <c r="B108" s="10"/>
      <c r="C108" s="10" t="s">
        <v>269</v>
      </c>
      <c r="D108" s="10" t="s">
        <v>594</v>
      </c>
      <c r="E108" s="10" t="s">
        <v>1086</v>
      </c>
      <c r="F108" s="10" t="s">
        <v>595</v>
      </c>
      <c r="G108" s="33">
        <v>17.6</v>
      </c>
      <c r="H108" s="55" t="s">
        <v>1113</v>
      </c>
    </row>
    <row r="109" spans="1:8" ht="12.75">
      <c r="A109" s="10" t="s">
        <v>36</v>
      </c>
      <c r="B109" s="10"/>
      <c r="C109" s="10" t="s">
        <v>270</v>
      </c>
      <c r="D109" s="10" t="s">
        <v>596</v>
      </c>
      <c r="E109" s="10" t="s">
        <v>1086</v>
      </c>
      <c r="F109" s="10" t="s">
        <v>597</v>
      </c>
      <c r="G109" s="33">
        <v>36.3</v>
      </c>
      <c r="H109" s="55" t="s">
        <v>1113</v>
      </c>
    </row>
    <row r="110" spans="1:8" ht="12.75">
      <c r="A110" s="10" t="s">
        <v>37</v>
      </c>
      <c r="B110" s="10"/>
      <c r="C110" s="10" t="s">
        <v>271</v>
      </c>
      <c r="D110" s="10" t="s">
        <v>598</v>
      </c>
      <c r="E110" s="10" t="s">
        <v>1086</v>
      </c>
      <c r="G110" s="33">
        <v>110</v>
      </c>
      <c r="H110" s="55" t="s">
        <v>1115</v>
      </c>
    </row>
    <row r="111" spans="6:7" ht="12.75">
      <c r="F111" s="10" t="s">
        <v>599</v>
      </c>
      <c r="G111" s="33">
        <v>60</v>
      </c>
    </row>
    <row r="112" spans="1:7" ht="12.75">
      <c r="A112" s="10"/>
      <c r="B112" s="10"/>
      <c r="C112" s="10"/>
      <c r="D112" s="10"/>
      <c r="E112" s="10"/>
      <c r="F112" s="10" t="s">
        <v>600</v>
      </c>
      <c r="G112" s="33">
        <v>25</v>
      </c>
    </row>
    <row r="113" spans="1:7" ht="12.75">
      <c r="A113" s="10"/>
      <c r="B113" s="10"/>
      <c r="C113" s="10"/>
      <c r="D113" s="10"/>
      <c r="E113" s="10"/>
      <c r="F113" s="10" t="s">
        <v>601</v>
      </c>
      <c r="G113" s="33">
        <v>25</v>
      </c>
    </row>
    <row r="114" spans="1:8" ht="12.75">
      <c r="A114" s="10" t="s">
        <v>38</v>
      </c>
      <c r="B114" s="10"/>
      <c r="C114" s="10" t="s">
        <v>272</v>
      </c>
      <c r="D114" s="10" t="s">
        <v>602</v>
      </c>
      <c r="E114" s="10" t="s">
        <v>1084</v>
      </c>
      <c r="G114" s="33">
        <v>30</v>
      </c>
      <c r="H114" s="55" t="s">
        <v>1115</v>
      </c>
    </row>
    <row r="115" spans="6:7" ht="12.75">
      <c r="F115" s="10" t="s">
        <v>603</v>
      </c>
      <c r="G115" s="33">
        <v>30</v>
      </c>
    </row>
    <row r="116" spans="1:7" ht="12.75">
      <c r="A116" s="10"/>
      <c r="B116" s="10"/>
      <c r="C116" s="10"/>
      <c r="D116" s="10"/>
      <c r="E116" s="10"/>
      <c r="F116" s="10" t="s">
        <v>604</v>
      </c>
      <c r="G116" s="33">
        <v>0</v>
      </c>
    </row>
    <row r="117" spans="1:8" ht="12.75">
      <c r="A117" s="10" t="s">
        <v>39</v>
      </c>
      <c r="B117" s="10"/>
      <c r="C117" s="10" t="s">
        <v>273</v>
      </c>
      <c r="D117" s="10" t="s">
        <v>606</v>
      </c>
      <c r="E117" s="10" t="s">
        <v>1084</v>
      </c>
      <c r="F117" s="10" t="s">
        <v>607</v>
      </c>
      <c r="G117" s="33">
        <v>23.44</v>
      </c>
      <c r="H117" s="55" t="s">
        <v>1113</v>
      </c>
    </row>
    <row r="118" spans="1:8" ht="12.75">
      <c r="A118" s="10" t="s">
        <v>40</v>
      </c>
      <c r="B118" s="10"/>
      <c r="C118" s="10" t="s">
        <v>274</v>
      </c>
      <c r="D118" s="10" t="s">
        <v>608</v>
      </c>
      <c r="E118" s="10" t="s">
        <v>1084</v>
      </c>
      <c r="G118" s="33">
        <v>118.2</v>
      </c>
      <c r="H118" s="55" t="s">
        <v>1113</v>
      </c>
    </row>
    <row r="119" spans="6:7" ht="12.75">
      <c r="F119" s="10" t="s">
        <v>609</v>
      </c>
      <c r="G119" s="33">
        <v>24</v>
      </c>
    </row>
    <row r="120" spans="1:7" ht="12.75">
      <c r="A120" s="10"/>
      <c r="B120" s="10"/>
      <c r="C120" s="10"/>
      <c r="D120" s="10"/>
      <c r="E120" s="10"/>
      <c r="F120" s="10" t="s">
        <v>610</v>
      </c>
      <c r="G120" s="33">
        <v>15.2</v>
      </c>
    </row>
    <row r="121" spans="1:7" ht="12.75">
      <c r="A121" s="10"/>
      <c r="B121" s="10"/>
      <c r="C121" s="10"/>
      <c r="D121" s="10"/>
      <c r="E121" s="10"/>
      <c r="F121" s="10" t="s">
        <v>611</v>
      </c>
      <c r="G121" s="33">
        <v>36</v>
      </c>
    </row>
    <row r="122" spans="1:7" ht="12.75">
      <c r="A122" s="10"/>
      <c r="B122" s="10"/>
      <c r="C122" s="10"/>
      <c r="D122" s="10"/>
      <c r="E122" s="10"/>
      <c r="F122" s="10" t="s">
        <v>612</v>
      </c>
      <c r="G122" s="33">
        <v>7.2</v>
      </c>
    </row>
    <row r="123" spans="1:7" ht="12.75">
      <c r="A123" s="10"/>
      <c r="B123" s="10"/>
      <c r="C123" s="10"/>
      <c r="D123" s="10"/>
      <c r="E123" s="10"/>
      <c r="F123" s="10" t="s">
        <v>613</v>
      </c>
      <c r="G123" s="33">
        <v>5.4</v>
      </c>
    </row>
    <row r="124" spans="1:7" ht="12.75">
      <c r="A124" s="10"/>
      <c r="B124" s="10"/>
      <c r="C124" s="10"/>
      <c r="D124" s="10"/>
      <c r="E124" s="10"/>
      <c r="F124" s="10" t="s">
        <v>614</v>
      </c>
      <c r="G124" s="33">
        <v>22</v>
      </c>
    </row>
    <row r="125" spans="1:7" ht="12.75">
      <c r="A125" s="10"/>
      <c r="B125" s="10"/>
      <c r="C125" s="10"/>
      <c r="D125" s="10"/>
      <c r="E125" s="10"/>
      <c r="F125" s="10" t="s">
        <v>615</v>
      </c>
      <c r="G125" s="33">
        <v>8.4</v>
      </c>
    </row>
    <row r="126" spans="1:8" ht="12.75">
      <c r="A126" s="10" t="s">
        <v>41</v>
      </c>
      <c r="B126" s="10"/>
      <c r="C126" s="10" t="s">
        <v>275</v>
      </c>
      <c r="D126" s="10" t="s">
        <v>616</v>
      </c>
      <c r="E126" s="10" t="s">
        <v>1083</v>
      </c>
      <c r="F126" s="10" t="s">
        <v>617</v>
      </c>
      <c r="G126" s="33">
        <v>2.772</v>
      </c>
      <c r="H126" s="55" t="s">
        <v>1113</v>
      </c>
    </row>
    <row r="127" spans="1:8" ht="12.75">
      <c r="A127" s="10" t="s">
        <v>42</v>
      </c>
      <c r="B127" s="10"/>
      <c r="C127" s="10" t="s">
        <v>276</v>
      </c>
      <c r="D127" s="10" t="s">
        <v>618</v>
      </c>
      <c r="E127" s="10" t="s">
        <v>1086</v>
      </c>
      <c r="F127" s="10" t="s">
        <v>619</v>
      </c>
      <c r="G127" s="33">
        <v>16</v>
      </c>
      <c r="H127" s="55" t="s">
        <v>1113</v>
      </c>
    </row>
    <row r="128" spans="1:8" ht="12.75">
      <c r="A128" s="10" t="s">
        <v>43</v>
      </c>
      <c r="B128" s="10"/>
      <c r="C128" s="10" t="s">
        <v>277</v>
      </c>
      <c r="D128" s="10" t="s">
        <v>620</v>
      </c>
      <c r="E128" s="10" t="s">
        <v>1086</v>
      </c>
      <c r="F128" s="10" t="s">
        <v>619</v>
      </c>
      <c r="G128" s="33">
        <v>16</v>
      </c>
      <c r="H128" s="55" t="s">
        <v>1113</v>
      </c>
    </row>
    <row r="129" spans="1:8" ht="12.75">
      <c r="A129" s="10" t="s">
        <v>44</v>
      </c>
      <c r="B129" s="10"/>
      <c r="C129" s="10" t="s">
        <v>278</v>
      </c>
      <c r="D129" s="10" t="s">
        <v>621</v>
      </c>
      <c r="E129" s="10" t="s">
        <v>1085</v>
      </c>
      <c r="F129" s="10" t="s">
        <v>622</v>
      </c>
      <c r="G129" s="33">
        <v>0.1536</v>
      </c>
      <c r="H129" s="55" t="s">
        <v>1113</v>
      </c>
    </row>
    <row r="130" spans="1:8" ht="12.75">
      <c r="A130" s="10" t="s">
        <v>45</v>
      </c>
      <c r="B130" s="10"/>
      <c r="C130" s="10" t="s">
        <v>279</v>
      </c>
      <c r="D130" s="10" t="s">
        <v>623</v>
      </c>
      <c r="E130" s="10" t="s">
        <v>1086</v>
      </c>
      <c r="G130" s="33">
        <v>47.2</v>
      </c>
      <c r="H130" s="55" t="s">
        <v>1113</v>
      </c>
    </row>
    <row r="131" spans="6:7" ht="12.75">
      <c r="F131" s="10" t="s">
        <v>624</v>
      </c>
      <c r="G131" s="33">
        <v>40.5</v>
      </c>
    </row>
    <row r="132" spans="1:7" ht="12.75">
      <c r="A132" s="10"/>
      <c r="B132" s="10"/>
      <c r="C132" s="10"/>
      <c r="D132" s="10"/>
      <c r="E132" s="10"/>
      <c r="F132" s="10" t="s">
        <v>625</v>
      </c>
      <c r="G132" s="33">
        <v>6.7</v>
      </c>
    </row>
    <row r="133" spans="1:8" ht="12.75">
      <c r="A133" s="10" t="s">
        <v>46</v>
      </c>
      <c r="B133" s="10"/>
      <c r="C133" s="10" t="s">
        <v>280</v>
      </c>
      <c r="D133" s="10" t="s">
        <v>626</v>
      </c>
      <c r="E133" s="10" t="s">
        <v>1086</v>
      </c>
      <c r="G133" s="33">
        <v>48.9</v>
      </c>
      <c r="H133" s="55" t="s">
        <v>1113</v>
      </c>
    </row>
    <row r="134" spans="6:7" ht="12.75">
      <c r="F134" s="10" t="s">
        <v>627</v>
      </c>
      <c r="G134" s="33">
        <v>16.4</v>
      </c>
    </row>
    <row r="135" spans="1:7" ht="12.75">
      <c r="A135" s="10"/>
      <c r="B135" s="10"/>
      <c r="C135" s="10"/>
      <c r="D135" s="10"/>
      <c r="E135" s="10"/>
      <c r="F135" s="10" t="s">
        <v>628</v>
      </c>
      <c r="G135" s="33">
        <v>13.8</v>
      </c>
    </row>
    <row r="136" spans="1:7" ht="12.75">
      <c r="A136" s="10"/>
      <c r="B136" s="10"/>
      <c r="C136" s="10"/>
      <c r="D136" s="10"/>
      <c r="E136" s="10"/>
      <c r="F136" s="10" t="s">
        <v>629</v>
      </c>
      <c r="G136" s="33">
        <v>18.7</v>
      </c>
    </row>
    <row r="137" spans="1:8" ht="12.75">
      <c r="A137" s="10" t="s">
        <v>47</v>
      </c>
      <c r="B137" s="10"/>
      <c r="C137" s="10" t="s">
        <v>281</v>
      </c>
      <c r="D137" s="10" t="s">
        <v>630</v>
      </c>
      <c r="E137" s="10" t="s">
        <v>1086</v>
      </c>
      <c r="G137" s="33">
        <v>151.2</v>
      </c>
      <c r="H137" s="55" t="s">
        <v>1115</v>
      </c>
    </row>
    <row r="138" spans="6:7" ht="12.75">
      <c r="F138" s="10" t="s">
        <v>631</v>
      </c>
      <c r="G138" s="33">
        <v>82.6</v>
      </c>
    </row>
    <row r="139" spans="1:7" ht="12.75">
      <c r="A139" s="10"/>
      <c r="B139" s="10"/>
      <c r="C139" s="10"/>
      <c r="D139" s="10"/>
      <c r="E139" s="10"/>
      <c r="F139" s="10" t="s">
        <v>632</v>
      </c>
      <c r="G139" s="33">
        <v>44.9</v>
      </c>
    </row>
    <row r="140" spans="1:7" ht="12.75">
      <c r="A140" s="10"/>
      <c r="B140" s="10"/>
      <c r="C140" s="10"/>
      <c r="D140" s="10"/>
      <c r="E140" s="10"/>
      <c r="F140" s="10" t="s">
        <v>633</v>
      </c>
      <c r="G140" s="33">
        <v>23.7</v>
      </c>
    </row>
    <row r="141" spans="1:8" ht="12.75">
      <c r="A141" s="10" t="s">
        <v>48</v>
      </c>
      <c r="B141" s="10"/>
      <c r="C141" s="10" t="s">
        <v>282</v>
      </c>
      <c r="D141" s="10" t="s">
        <v>634</v>
      </c>
      <c r="E141" s="10" t="s">
        <v>1086</v>
      </c>
      <c r="F141" s="10" t="s">
        <v>635</v>
      </c>
      <c r="G141" s="33">
        <v>65.2</v>
      </c>
      <c r="H141" s="55" t="s">
        <v>1115</v>
      </c>
    </row>
    <row r="142" spans="1:8" ht="12.75">
      <c r="A142" s="10" t="s">
        <v>49</v>
      </c>
      <c r="B142" s="10"/>
      <c r="C142" s="10" t="s">
        <v>283</v>
      </c>
      <c r="D142" s="10" t="s">
        <v>637</v>
      </c>
      <c r="E142" s="10" t="s">
        <v>1084</v>
      </c>
      <c r="F142" s="10" t="s">
        <v>638</v>
      </c>
      <c r="G142" s="33">
        <v>176.28</v>
      </c>
      <c r="H142" s="55" t="s">
        <v>1113</v>
      </c>
    </row>
    <row r="143" spans="1:8" ht="12.75">
      <c r="A143" s="10" t="s">
        <v>50</v>
      </c>
      <c r="B143" s="10"/>
      <c r="C143" s="10" t="s">
        <v>284</v>
      </c>
      <c r="D143" s="10" t="s">
        <v>640</v>
      </c>
      <c r="E143" s="10" t="s">
        <v>1086</v>
      </c>
      <c r="G143" s="33">
        <v>1183.66</v>
      </c>
      <c r="H143" s="55" t="s">
        <v>1113</v>
      </c>
    </row>
    <row r="144" spans="6:7" ht="12.75">
      <c r="F144" s="10" t="s">
        <v>641</v>
      </c>
      <c r="G144" s="33">
        <v>208</v>
      </c>
    </row>
    <row r="145" spans="1:7" ht="12.75">
      <c r="A145" s="10"/>
      <c r="B145" s="10"/>
      <c r="C145" s="10"/>
      <c r="D145" s="10"/>
      <c r="E145" s="10"/>
      <c r="F145" s="10" t="s">
        <v>642</v>
      </c>
      <c r="G145" s="33">
        <v>57.66</v>
      </c>
    </row>
    <row r="146" spans="1:7" ht="12.75">
      <c r="A146" s="10"/>
      <c r="B146" s="10"/>
      <c r="C146" s="10"/>
      <c r="D146" s="10"/>
      <c r="E146" s="10"/>
      <c r="F146" s="10" t="s">
        <v>643</v>
      </c>
      <c r="G146" s="33">
        <v>918</v>
      </c>
    </row>
    <row r="147" spans="1:8" ht="12.75">
      <c r="A147" s="10" t="s">
        <v>51</v>
      </c>
      <c r="B147" s="10"/>
      <c r="C147" s="10" t="s">
        <v>285</v>
      </c>
      <c r="D147" s="10" t="s">
        <v>644</v>
      </c>
      <c r="E147" s="10" t="s">
        <v>1086</v>
      </c>
      <c r="G147" s="33">
        <v>544.986</v>
      </c>
      <c r="H147" s="55" t="s">
        <v>1113</v>
      </c>
    </row>
    <row r="148" spans="6:7" ht="12.75">
      <c r="F148" s="10" t="s">
        <v>645</v>
      </c>
      <c r="G148" s="33">
        <v>259.89</v>
      </c>
    </row>
    <row r="149" spans="1:7" ht="12.75">
      <c r="A149" s="10"/>
      <c r="B149" s="10"/>
      <c r="C149" s="10"/>
      <c r="D149" s="10"/>
      <c r="E149" s="10"/>
      <c r="F149" s="10" t="s">
        <v>646</v>
      </c>
      <c r="G149" s="33">
        <v>285.096</v>
      </c>
    </row>
    <row r="150" spans="1:8" ht="12.75">
      <c r="A150" s="10" t="s">
        <v>52</v>
      </c>
      <c r="B150" s="10"/>
      <c r="C150" s="10" t="s">
        <v>286</v>
      </c>
      <c r="D150" s="10" t="s">
        <v>647</v>
      </c>
      <c r="E150" s="10" t="s">
        <v>1086</v>
      </c>
      <c r="F150" s="10" t="s">
        <v>648</v>
      </c>
      <c r="G150" s="33">
        <v>92.184</v>
      </c>
      <c r="H150" s="55" t="s">
        <v>1113</v>
      </c>
    </row>
    <row r="151" spans="1:8" ht="12.75">
      <c r="A151" s="10" t="s">
        <v>53</v>
      </c>
      <c r="B151" s="10"/>
      <c r="C151" s="10" t="s">
        <v>287</v>
      </c>
      <c r="D151" s="10" t="s">
        <v>649</v>
      </c>
      <c r="E151" s="10" t="s">
        <v>1084</v>
      </c>
      <c r="F151" s="10" t="s">
        <v>650</v>
      </c>
      <c r="G151" s="33">
        <v>216.2</v>
      </c>
      <c r="H151" s="55" t="s">
        <v>1113</v>
      </c>
    </row>
    <row r="152" spans="1:8" ht="12.75">
      <c r="A152" s="10" t="s">
        <v>54</v>
      </c>
      <c r="B152" s="10"/>
      <c r="C152" s="10" t="s">
        <v>288</v>
      </c>
      <c r="D152" s="10" t="s">
        <v>651</v>
      </c>
      <c r="E152" s="10" t="s">
        <v>1088</v>
      </c>
      <c r="F152" s="10" t="s">
        <v>91</v>
      </c>
      <c r="G152" s="33">
        <v>85</v>
      </c>
      <c r="H152" s="55" t="s">
        <v>1113</v>
      </c>
    </row>
    <row r="153" spans="1:8" ht="12.75">
      <c r="A153" s="10" t="s">
        <v>55</v>
      </c>
      <c r="B153" s="10"/>
      <c r="C153" s="10" t="s">
        <v>289</v>
      </c>
      <c r="D153" s="10" t="s">
        <v>652</v>
      </c>
      <c r="E153" s="10" t="s">
        <v>1088</v>
      </c>
      <c r="F153" s="10" t="s">
        <v>48</v>
      </c>
      <c r="G153" s="33">
        <v>42</v>
      </c>
      <c r="H153" s="55" t="s">
        <v>1113</v>
      </c>
    </row>
    <row r="154" spans="1:8" ht="12.75">
      <c r="A154" s="10" t="s">
        <v>56</v>
      </c>
      <c r="B154" s="10"/>
      <c r="C154" s="10" t="s">
        <v>290</v>
      </c>
      <c r="D154" s="10" t="s">
        <v>653</v>
      </c>
      <c r="E154" s="10" t="s">
        <v>1088</v>
      </c>
      <c r="F154" s="10" t="s">
        <v>18</v>
      </c>
      <c r="G154" s="33">
        <v>12</v>
      </c>
      <c r="H154" s="55" t="s">
        <v>1113</v>
      </c>
    </row>
    <row r="155" spans="1:8" ht="12.75">
      <c r="A155" s="10" t="s">
        <v>57</v>
      </c>
      <c r="B155" s="10"/>
      <c r="C155" s="10" t="s">
        <v>291</v>
      </c>
      <c r="D155" s="10" t="s">
        <v>654</v>
      </c>
      <c r="E155" s="10" t="s">
        <v>1084</v>
      </c>
      <c r="F155" s="10" t="s">
        <v>66</v>
      </c>
      <c r="G155" s="33">
        <v>60</v>
      </c>
      <c r="H155" s="55" t="s">
        <v>1115</v>
      </c>
    </row>
    <row r="156" spans="1:8" ht="12.75">
      <c r="A156" s="10" t="s">
        <v>58</v>
      </c>
      <c r="B156" s="10"/>
      <c r="C156" s="10" t="s">
        <v>292</v>
      </c>
      <c r="D156" s="10" t="s">
        <v>655</v>
      </c>
      <c r="E156" s="10" t="s">
        <v>1086</v>
      </c>
      <c r="G156" s="33">
        <v>151.58</v>
      </c>
      <c r="H156" s="55" t="s">
        <v>1115</v>
      </c>
    </row>
    <row r="157" spans="6:7" ht="12.75">
      <c r="F157" s="10" t="s">
        <v>656</v>
      </c>
      <c r="G157" s="33">
        <v>116.18</v>
      </c>
    </row>
    <row r="158" spans="1:7" ht="12.75">
      <c r="A158" s="10"/>
      <c r="B158" s="10"/>
      <c r="C158" s="10"/>
      <c r="D158" s="10"/>
      <c r="E158" s="10"/>
      <c r="F158" s="10" t="s">
        <v>657</v>
      </c>
      <c r="G158" s="33">
        <v>35.4</v>
      </c>
    </row>
    <row r="159" spans="1:8" ht="12.75">
      <c r="A159" s="10" t="s">
        <v>59</v>
      </c>
      <c r="B159" s="10"/>
      <c r="C159" s="10" t="s">
        <v>293</v>
      </c>
      <c r="D159" s="10" t="s">
        <v>659</v>
      </c>
      <c r="E159" s="10" t="s">
        <v>1089</v>
      </c>
      <c r="F159" s="10" t="s">
        <v>7</v>
      </c>
      <c r="G159" s="33">
        <v>1</v>
      </c>
      <c r="H159" s="55" t="s">
        <v>1113</v>
      </c>
    </row>
    <row r="160" spans="1:8" ht="12.75">
      <c r="A160" s="10" t="s">
        <v>60</v>
      </c>
      <c r="B160" s="10"/>
      <c r="C160" s="10" t="s">
        <v>294</v>
      </c>
      <c r="D160" s="10" t="s">
        <v>660</v>
      </c>
      <c r="E160" s="10" t="s">
        <v>1086</v>
      </c>
      <c r="G160" s="33">
        <v>117.12</v>
      </c>
      <c r="H160" s="55" t="s">
        <v>1113</v>
      </c>
    </row>
    <row r="161" spans="6:7" ht="12.75">
      <c r="F161" s="10" t="s">
        <v>661</v>
      </c>
      <c r="G161" s="33">
        <v>58.56</v>
      </c>
    </row>
    <row r="162" spans="1:7" ht="12.75">
      <c r="A162" s="10"/>
      <c r="B162" s="10"/>
      <c r="C162" s="10"/>
      <c r="D162" s="10"/>
      <c r="E162" s="10"/>
      <c r="F162" s="10" t="s">
        <v>662</v>
      </c>
      <c r="G162" s="33">
        <v>58.56</v>
      </c>
    </row>
    <row r="163" spans="1:8" ht="12.75">
      <c r="A163" s="10" t="s">
        <v>61</v>
      </c>
      <c r="B163" s="10"/>
      <c r="C163" s="10" t="s">
        <v>295</v>
      </c>
      <c r="D163" s="10" t="s">
        <v>664</v>
      </c>
      <c r="E163" s="10" t="s">
        <v>1083</v>
      </c>
      <c r="F163" s="10" t="s">
        <v>665</v>
      </c>
      <c r="G163" s="33">
        <v>1.672</v>
      </c>
      <c r="H163" s="55" t="s">
        <v>1113</v>
      </c>
    </row>
    <row r="164" spans="1:8" ht="12.75">
      <c r="A164" s="10" t="s">
        <v>62</v>
      </c>
      <c r="B164" s="10"/>
      <c r="C164" s="10" t="s">
        <v>296</v>
      </c>
      <c r="D164" s="10" t="s">
        <v>666</v>
      </c>
      <c r="E164" s="10" t="s">
        <v>1085</v>
      </c>
      <c r="F164" s="10" t="s">
        <v>667</v>
      </c>
      <c r="G164" s="33">
        <v>0.13376</v>
      </c>
      <c r="H164" s="55" t="s">
        <v>1113</v>
      </c>
    </row>
    <row r="165" spans="1:8" ht="12.75">
      <c r="A165" s="10" t="s">
        <v>63</v>
      </c>
      <c r="B165" s="10"/>
      <c r="C165" s="10" t="s">
        <v>297</v>
      </c>
      <c r="D165" s="10" t="s">
        <v>668</v>
      </c>
      <c r="E165" s="10" t="s">
        <v>1086</v>
      </c>
      <c r="F165" s="10" t="s">
        <v>669</v>
      </c>
      <c r="G165" s="33">
        <v>479.45</v>
      </c>
      <c r="H165" s="55" t="s">
        <v>1113</v>
      </c>
    </row>
    <row r="166" spans="1:8" ht="12.75">
      <c r="A166" s="10" t="s">
        <v>64</v>
      </c>
      <c r="B166" s="10"/>
      <c r="C166" s="10" t="s">
        <v>298</v>
      </c>
      <c r="D166" s="10" t="s">
        <v>670</v>
      </c>
      <c r="E166" s="10" t="s">
        <v>1086</v>
      </c>
      <c r="F166" s="10" t="s">
        <v>671</v>
      </c>
      <c r="G166" s="33">
        <v>479.45</v>
      </c>
      <c r="H166" s="55" t="s">
        <v>1113</v>
      </c>
    </row>
    <row r="167" spans="1:8" ht="12.75">
      <c r="A167" s="10" t="s">
        <v>65</v>
      </c>
      <c r="B167" s="10"/>
      <c r="C167" s="10" t="s">
        <v>299</v>
      </c>
      <c r="D167" s="10" t="s">
        <v>672</v>
      </c>
      <c r="E167" s="10" t="s">
        <v>1083</v>
      </c>
      <c r="F167" s="10" t="s">
        <v>673</v>
      </c>
      <c r="G167" s="33">
        <v>57.534</v>
      </c>
      <c r="H167" s="55" t="s">
        <v>1113</v>
      </c>
    </row>
    <row r="168" spans="1:8" ht="12.75">
      <c r="A168" s="10" t="s">
        <v>66</v>
      </c>
      <c r="B168" s="10"/>
      <c r="C168" s="10" t="s">
        <v>300</v>
      </c>
      <c r="D168" s="10" t="s">
        <v>674</v>
      </c>
      <c r="E168" s="10" t="s">
        <v>1085</v>
      </c>
      <c r="F168" s="10" t="s">
        <v>675</v>
      </c>
      <c r="G168" s="33">
        <v>3.8356</v>
      </c>
      <c r="H168" s="55" t="s">
        <v>1113</v>
      </c>
    </row>
    <row r="169" spans="1:8" ht="12.75">
      <c r="A169" s="10" t="s">
        <v>67</v>
      </c>
      <c r="B169" s="10"/>
      <c r="C169" s="10" t="s">
        <v>301</v>
      </c>
      <c r="D169" s="10" t="s">
        <v>676</v>
      </c>
      <c r="E169" s="10" t="s">
        <v>1086</v>
      </c>
      <c r="F169" s="10" t="s">
        <v>677</v>
      </c>
      <c r="G169" s="33">
        <v>40.5</v>
      </c>
      <c r="H169" s="55" t="s">
        <v>1113</v>
      </c>
    </row>
    <row r="170" spans="1:8" ht="12.75">
      <c r="A170" s="10" t="s">
        <v>68</v>
      </c>
      <c r="B170" s="10"/>
      <c r="C170" s="10" t="s">
        <v>302</v>
      </c>
      <c r="D170" s="10" t="s">
        <v>678</v>
      </c>
      <c r="E170" s="10" t="s">
        <v>1083</v>
      </c>
      <c r="F170" s="10" t="s">
        <v>679</v>
      </c>
      <c r="G170" s="33">
        <v>47.945</v>
      </c>
      <c r="H170" s="55" t="s">
        <v>1113</v>
      </c>
    </row>
    <row r="171" spans="1:8" ht="12.75">
      <c r="A171" s="10" t="s">
        <v>69</v>
      </c>
      <c r="B171" s="10"/>
      <c r="C171" s="10" t="s">
        <v>311</v>
      </c>
      <c r="D171" s="10" t="s">
        <v>693</v>
      </c>
      <c r="E171" s="10" t="s">
        <v>1086</v>
      </c>
      <c r="F171" s="10" t="s">
        <v>694</v>
      </c>
      <c r="G171" s="33">
        <v>26.1</v>
      </c>
      <c r="H171" s="55" t="s">
        <v>1113</v>
      </c>
    </row>
    <row r="172" spans="1:8" ht="12.75">
      <c r="A172" s="10" t="s">
        <v>70</v>
      </c>
      <c r="B172" s="10"/>
      <c r="C172" s="10" t="s">
        <v>312</v>
      </c>
      <c r="D172" s="10" t="s">
        <v>695</v>
      </c>
      <c r="E172" s="10" t="s">
        <v>1086</v>
      </c>
      <c r="F172" s="10" t="s">
        <v>696</v>
      </c>
      <c r="G172" s="33">
        <v>461.58</v>
      </c>
      <c r="H172" s="55" t="s">
        <v>1113</v>
      </c>
    </row>
    <row r="173" spans="1:8" ht="12.75">
      <c r="A173" s="10" t="s">
        <v>71</v>
      </c>
      <c r="B173" s="10"/>
      <c r="C173" s="10" t="s">
        <v>313</v>
      </c>
      <c r="D173" s="10" t="s">
        <v>697</v>
      </c>
      <c r="E173" s="10" t="s">
        <v>1086</v>
      </c>
      <c r="F173" s="10" t="s">
        <v>698</v>
      </c>
      <c r="G173" s="33">
        <v>9.51</v>
      </c>
      <c r="H173" s="55" t="s">
        <v>1113</v>
      </c>
    </row>
    <row r="174" spans="1:8" ht="12.75">
      <c r="A174" s="10" t="s">
        <v>72</v>
      </c>
      <c r="B174" s="10"/>
      <c r="C174" s="10" t="s">
        <v>314</v>
      </c>
      <c r="D174" s="10" t="s">
        <v>699</v>
      </c>
      <c r="E174" s="10" t="s">
        <v>1086</v>
      </c>
      <c r="F174" s="10" t="s">
        <v>700</v>
      </c>
      <c r="G174" s="33">
        <v>36.3</v>
      </c>
      <c r="H174" s="55" t="s">
        <v>1113</v>
      </c>
    </row>
    <row r="175" spans="1:8" ht="12.75">
      <c r="A175" s="10" t="s">
        <v>73</v>
      </c>
      <c r="B175" s="10"/>
      <c r="C175" s="10" t="s">
        <v>315</v>
      </c>
      <c r="D175" s="10" t="s">
        <v>701</v>
      </c>
      <c r="E175" s="10" t="s">
        <v>1085</v>
      </c>
      <c r="F175" s="10" t="s">
        <v>702</v>
      </c>
      <c r="G175" s="33">
        <v>1.427</v>
      </c>
      <c r="H175" s="55" t="s">
        <v>1113</v>
      </c>
    </row>
    <row r="176" spans="1:8" ht="12.75">
      <c r="A176" s="10" t="s">
        <v>74</v>
      </c>
      <c r="B176" s="10"/>
      <c r="C176" s="10" t="s">
        <v>317</v>
      </c>
      <c r="D176" s="10" t="s">
        <v>704</v>
      </c>
      <c r="E176" s="10" t="s">
        <v>1086</v>
      </c>
      <c r="F176" s="10" t="s">
        <v>705</v>
      </c>
      <c r="G176" s="33">
        <v>18.48</v>
      </c>
      <c r="H176" s="55" t="s">
        <v>1113</v>
      </c>
    </row>
    <row r="177" spans="1:8" ht="12.75">
      <c r="A177" s="10" t="s">
        <v>75</v>
      </c>
      <c r="B177" s="10"/>
      <c r="C177" s="10" t="s">
        <v>318</v>
      </c>
      <c r="D177" s="10" t="s">
        <v>706</v>
      </c>
      <c r="E177" s="10" t="s">
        <v>1086</v>
      </c>
      <c r="F177" s="10" t="s">
        <v>707</v>
      </c>
      <c r="G177" s="33">
        <v>461.58</v>
      </c>
      <c r="H177" s="55" t="s">
        <v>1113</v>
      </c>
    </row>
    <row r="178" spans="1:8" ht="12.75">
      <c r="A178" s="10" t="s">
        <v>76</v>
      </c>
      <c r="B178" s="10"/>
      <c r="C178" s="10" t="s">
        <v>319</v>
      </c>
      <c r="D178" s="10" t="s">
        <v>708</v>
      </c>
      <c r="E178" s="10" t="s">
        <v>1086</v>
      </c>
      <c r="F178" s="10" t="s">
        <v>709</v>
      </c>
      <c r="G178" s="33">
        <v>70</v>
      </c>
      <c r="H178" s="55" t="s">
        <v>1115</v>
      </c>
    </row>
    <row r="179" spans="1:8" ht="12.75">
      <c r="A179" s="10" t="s">
        <v>77</v>
      </c>
      <c r="B179" s="10"/>
      <c r="C179" s="10" t="s">
        <v>320</v>
      </c>
      <c r="D179" s="10" t="s">
        <v>710</v>
      </c>
      <c r="E179" s="10" t="s">
        <v>1085</v>
      </c>
      <c r="F179" s="10" t="s">
        <v>711</v>
      </c>
      <c r="G179" s="33">
        <v>0.326</v>
      </c>
      <c r="H179" s="55" t="s">
        <v>1113</v>
      </c>
    </row>
    <row r="180" spans="1:8" ht="12.75">
      <c r="A180" s="10" t="s">
        <v>78</v>
      </c>
      <c r="B180" s="10"/>
      <c r="C180" s="10" t="s">
        <v>322</v>
      </c>
      <c r="D180" s="10" t="s">
        <v>713</v>
      </c>
      <c r="E180" s="10" t="s">
        <v>1084</v>
      </c>
      <c r="F180" s="10" t="s">
        <v>714</v>
      </c>
      <c r="G180" s="33">
        <v>12</v>
      </c>
      <c r="H180" s="55" t="s">
        <v>1113</v>
      </c>
    </row>
    <row r="181" spans="1:8" ht="12.75">
      <c r="A181" s="10" t="s">
        <v>79</v>
      </c>
      <c r="B181" s="10"/>
      <c r="C181" s="10" t="s">
        <v>323</v>
      </c>
      <c r="D181" s="10" t="s">
        <v>715</v>
      </c>
      <c r="E181" s="10" t="s">
        <v>1084</v>
      </c>
      <c r="G181" s="33">
        <v>61.85</v>
      </c>
      <c r="H181" s="55" t="s">
        <v>1113</v>
      </c>
    </row>
    <row r="182" spans="6:7" ht="12.75">
      <c r="F182" s="10" t="s">
        <v>716</v>
      </c>
      <c r="G182" s="33">
        <v>25.65</v>
      </c>
    </row>
    <row r="183" spans="1:7" ht="12.75">
      <c r="A183" s="10"/>
      <c r="B183" s="10"/>
      <c r="C183" s="10"/>
      <c r="D183" s="10"/>
      <c r="E183" s="10"/>
      <c r="F183" s="10" t="s">
        <v>717</v>
      </c>
      <c r="G183" s="33">
        <v>36.2</v>
      </c>
    </row>
    <row r="184" spans="1:8" ht="12.75">
      <c r="A184" s="10" t="s">
        <v>80</v>
      </c>
      <c r="B184" s="10"/>
      <c r="C184" s="10" t="s">
        <v>324</v>
      </c>
      <c r="D184" s="10" t="s">
        <v>718</v>
      </c>
      <c r="E184" s="10" t="s">
        <v>1084</v>
      </c>
      <c r="G184" s="33">
        <v>40.5</v>
      </c>
      <c r="H184" s="55" t="s">
        <v>1113</v>
      </c>
    </row>
    <row r="185" spans="6:7" ht="12.75">
      <c r="F185" s="10" t="s">
        <v>719</v>
      </c>
      <c r="G185" s="33">
        <v>35.5</v>
      </c>
    </row>
    <row r="186" spans="1:7" ht="12.75">
      <c r="A186" s="10"/>
      <c r="B186" s="10"/>
      <c r="C186" s="10"/>
      <c r="D186" s="10"/>
      <c r="E186" s="10"/>
      <c r="F186" s="10" t="s">
        <v>720</v>
      </c>
      <c r="G186" s="33">
        <v>5</v>
      </c>
    </row>
    <row r="187" spans="1:8" ht="12.75">
      <c r="A187" s="10" t="s">
        <v>81</v>
      </c>
      <c r="B187" s="10"/>
      <c r="C187" s="10" t="s">
        <v>325</v>
      </c>
      <c r="D187" s="10" t="s">
        <v>721</v>
      </c>
      <c r="E187" s="10" t="s">
        <v>1084</v>
      </c>
      <c r="G187" s="33">
        <v>86.3</v>
      </c>
      <c r="H187" s="55" t="s">
        <v>1113</v>
      </c>
    </row>
    <row r="188" spans="6:7" ht="12.75">
      <c r="F188" s="10" t="s">
        <v>722</v>
      </c>
      <c r="G188" s="33">
        <v>45.55</v>
      </c>
    </row>
    <row r="189" spans="1:7" ht="12.75">
      <c r="A189" s="10"/>
      <c r="B189" s="10"/>
      <c r="C189" s="10"/>
      <c r="D189" s="10"/>
      <c r="E189" s="10"/>
      <c r="F189" s="10" t="s">
        <v>723</v>
      </c>
      <c r="G189" s="33">
        <v>40.75</v>
      </c>
    </row>
    <row r="190" spans="1:8" ht="12.75">
      <c r="A190" s="10" t="s">
        <v>82</v>
      </c>
      <c r="B190" s="10"/>
      <c r="C190" s="10" t="s">
        <v>326</v>
      </c>
      <c r="D190" s="10" t="s">
        <v>724</v>
      </c>
      <c r="E190" s="10" t="s">
        <v>1084</v>
      </c>
      <c r="G190" s="33">
        <v>42.37</v>
      </c>
      <c r="H190" s="55" t="s">
        <v>1113</v>
      </c>
    </row>
    <row r="191" spans="6:7" ht="12.75">
      <c r="F191" s="10" t="s">
        <v>725</v>
      </c>
      <c r="G191" s="33">
        <v>12.37</v>
      </c>
    </row>
    <row r="192" spans="1:7" ht="12.75">
      <c r="A192" s="10"/>
      <c r="B192" s="10"/>
      <c r="C192" s="10"/>
      <c r="D192" s="10"/>
      <c r="E192" s="10"/>
      <c r="F192" s="10" t="s">
        <v>726</v>
      </c>
      <c r="G192" s="33">
        <v>30</v>
      </c>
    </row>
    <row r="193" spans="1:8" ht="12.75">
      <c r="A193" s="10" t="s">
        <v>83</v>
      </c>
      <c r="B193" s="10"/>
      <c r="C193" s="10" t="s">
        <v>327</v>
      </c>
      <c r="D193" s="10" t="s">
        <v>727</v>
      </c>
      <c r="E193" s="10" t="s">
        <v>1084</v>
      </c>
      <c r="F193" s="10" t="s">
        <v>728</v>
      </c>
      <c r="G193" s="33">
        <v>34.2</v>
      </c>
      <c r="H193" s="55" t="s">
        <v>1113</v>
      </c>
    </row>
    <row r="194" spans="1:8" ht="12.75">
      <c r="A194" s="10" t="s">
        <v>84</v>
      </c>
      <c r="B194" s="10"/>
      <c r="C194" s="10" t="s">
        <v>328</v>
      </c>
      <c r="D194" s="10" t="s">
        <v>729</v>
      </c>
      <c r="E194" s="10" t="s">
        <v>1088</v>
      </c>
      <c r="F194" s="10" t="s">
        <v>730</v>
      </c>
      <c r="G194" s="33">
        <v>4</v>
      </c>
      <c r="H194" s="55" t="s">
        <v>1113</v>
      </c>
    </row>
    <row r="195" spans="1:8" ht="12.75">
      <c r="A195" s="10" t="s">
        <v>85</v>
      </c>
      <c r="B195" s="10"/>
      <c r="C195" s="10" t="s">
        <v>329</v>
      </c>
      <c r="D195" s="10" t="s">
        <v>731</v>
      </c>
      <c r="E195" s="10" t="s">
        <v>1084</v>
      </c>
      <c r="G195" s="33">
        <v>159.35</v>
      </c>
      <c r="H195" s="55" t="s">
        <v>1113</v>
      </c>
    </row>
    <row r="196" spans="6:7" ht="12.75">
      <c r="F196" s="10" t="s">
        <v>732</v>
      </c>
      <c r="G196" s="33">
        <v>118.15</v>
      </c>
    </row>
    <row r="197" spans="1:7" ht="12.75">
      <c r="A197" s="10"/>
      <c r="B197" s="10"/>
      <c r="C197" s="10"/>
      <c r="D197" s="10"/>
      <c r="E197" s="10"/>
      <c r="F197" s="10" t="s">
        <v>733</v>
      </c>
      <c r="G197" s="33">
        <v>41.2</v>
      </c>
    </row>
    <row r="198" spans="1:8" ht="12.75">
      <c r="A198" s="10" t="s">
        <v>86</v>
      </c>
      <c r="B198" s="10"/>
      <c r="C198" s="10" t="s">
        <v>330</v>
      </c>
      <c r="D198" s="10" t="s">
        <v>734</v>
      </c>
      <c r="E198" s="10" t="s">
        <v>1084</v>
      </c>
      <c r="G198" s="33">
        <v>128.67</v>
      </c>
      <c r="H198" s="55" t="s">
        <v>1113</v>
      </c>
    </row>
    <row r="199" spans="6:7" ht="12.75">
      <c r="F199" s="10" t="s">
        <v>735</v>
      </c>
      <c r="G199" s="33">
        <v>57.92</v>
      </c>
    </row>
    <row r="200" spans="1:7" ht="12.75">
      <c r="A200" s="10"/>
      <c r="B200" s="10"/>
      <c r="C200" s="10"/>
      <c r="D200" s="10"/>
      <c r="E200" s="10"/>
      <c r="F200" s="10" t="s">
        <v>736</v>
      </c>
      <c r="G200" s="33">
        <v>70.75</v>
      </c>
    </row>
    <row r="201" spans="1:8" ht="12.75">
      <c r="A201" s="10" t="s">
        <v>87</v>
      </c>
      <c r="B201" s="10"/>
      <c r="C201" s="10" t="s">
        <v>331</v>
      </c>
      <c r="D201" s="10" t="s">
        <v>737</v>
      </c>
      <c r="E201" s="10" t="s">
        <v>1084</v>
      </c>
      <c r="F201" s="10" t="s">
        <v>738</v>
      </c>
      <c r="G201" s="33">
        <v>64.2</v>
      </c>
      <c r="H201" s="55" t="s">
        <v>1113</v>
      </c>
    </row>
    <row r="202" spans="1:8" ht="12.75">
      <c r="A202" s="10" t="s">
        <v>88</v>
      </c>
      <c r="B202" s="10"/>
      <c r="C202" s="10" t="s">
        <v>332</v>
      </c>
      <c r="D202" s="10" t="s">
        <v>739</v>
      </c>
      <c r="E202" s="10" t="s">
        <v>1084</v>
      </c>
      <c r="F202" s="10" t="s">
        <v>18</v>
      </c>
      <c r="G202" s="33">
        <v>12</v>
      </c>
      <c r="H202" s="55" t="s">
        <v>1113</v>
      </c>
    </row>
    <row r="203" spans="1:8" ht="12.75">
      <c r="A203" s="10" t="s">
        <v>89</v>
      </c>
      <c r="B203" s="10"/>
      <c r="C203" s="10" t="s">
        <v>333</v>
      </c>
      <c r="D203" s="10" t="s">
        <v>740</v>
      </c>
      <c r="E203" s="10" t="s">
        <v>1084</v>
      </c>
      <c r="F203" s="10" t="s">
        <v>18</v>
      </c>
      <c r="G203" s="33">
        <v>12</v>
      </c>
      <c r="H203" s="55" t="s">
        <v>1113</v>
      </c>
    </row>
    <row r="204" spans="1:8" ht="12.75">
      <c r="A204" s="10" t="s">
        <v>90</v>
      </c>
      <c r="B204" s="10"/>
      <c r="C204" s="10" t="s">
        <v>334</v>
      </c>
      <c r="D204" s="10" t="s">
        <v>741</v>
      </c>
      <c r="E204" s="10" t="s">
        <v>1084</v>
      </c>
      <c r="F204" s="10" t="s">
        <v>27</v>
      </c>
      <c r="G204" s="33">
        <v>21</v>
      </c>
      <c r="H204" s="55" t="s">
        <v>1113</v>
      </c>
    </row>
    <row r="205" spans="1:8" ht="12.75">
      <c r="A205" s="10" t="s">
        <v>91</v>
      </c>
      <c r="B205" s="10"/>
      <c r="C205" s="10" t="s">
        <v>335</v>
      </c>
      <c r="D205" s="10" t="s">
        <v>742</v>
      </c>
      <c r="E205" s="10" t="s">
        <v>1084</v>
      </c>
      <c r="F205" s="10" t="s">
        <v>36</v>
      </c>
      <c r="G205" s="33">
        <v>30</v>
      </c>
      <c r="H205" s="55" t="s">
        <v>1113</v>
      </c>
    </row>
    <row r="206" spans="1:8" ht="12.75">
      <c r="A206" s="10" t="s">
        <v>92</v>
      </c>
      <c r="B206" s="10"/>
      <c r="C206" s="10" t="s">
        <v>336</v>
      </c>
      <c r="D206" s="10" t="s">
        <v>743</v>
      </c>
      <c r="E206" s="10" t="s">
        <v>1084</v>
      </c>
      <c r="F206" s="10" t="s">
        <v>744</v>
      </c>
      <c r="G206" s="33">
        <v>16.5</v>
      </c>
      <c r="H206" s="55" t="s">
        <v>1113</v>
      </c>
    </row>
    <row r="207" spans="1:8" ht="12.75">
      <c r="A207" s="10" t="s">
        <v>93</v>
      </c>
      <c r="B207" s="10"/>
      <c r="C207" s="10" t="s">
        <v>337</v>
      </c>
      <c r="D207" s="10" t="s">
        <v>745</v>
      </c>
      <c r="E207" s="10" t="s">
        <v>1088</v>
      </c>
      <c r="F207" s="10" t="s">
        <v>746</v>
      </c>
      <c r="G207" s="33">
        <v>1</v>
      </c>
      <c r="H207" s="55" t="s">
        <v>1113</v>
      </c>
    </row>
    <row r="208" spans="1:8" ht="12.75">
      <c r="A208" s="10" t="s">
        <v>94</v>
      </c>
      <c r="B208" s="10"/>
      <c r="C208" s="10" t="s">
        <v>338</v>
      </c>
      <c r="D208" s="10" t="s">
        <v>747</v>
      </c>
      <c r="E208" s="10" t="s">
        <v>1088</v>
      </c>
      <c r="F208" s="10" t="s">
        <v>748</v>
      </c>
      <c r="G208" s="33">
        <v>1</v>
      </c>
      <c r="H208" s="55" t="s">
        <v>1113</v>
      </c>
    </row>
    <row r="209" spans="1:8" ht="12.75">
      <c r="A209" s="10" t="s">
        <v>95</v>
      </c>
      <c r="B209" s="10"/>
      <c r="C209" s="10" t="s">
        <v>339</v>
      </c>
      <c r="D209" s="10" t="s">
        <v>749</v>
      </c>
      <c r="E209" s="10" t="s">
        <v>1088</v>
      </c>
      <c r="F209" s="10" t="s">
        <v>750</v>
      </c>
      <c r="G209" s="33">
        <v>6</v>
      </c>
      <c r="H209" s="55" t="s">
        <v>1113</v>
      </c>
    </row>
    <row r="210" spans="1:8" ht="12.75">
      <c r="A210" s="10" t="s">
        <v>96</v>
      </c>
      <c r="B210" s="10"/>
      <c r="C210" s="10" t="s">
        <v>340</v>
      </c>
      <c r="D210" s="10" t="s">
        <v>751</v>
      </c>
      <c r="E210" s="10" t="s">
        <v>1089</v>
      </c>
      <c r="F210" s="10" t="s">
        <v>7</v>
      </c>
      <c r="G210" s="33">
        <v>1</v>
      </c>
      <c r="H210" s="55" t="s">
        <v>1117</v>
      </c>
    </row>
    <row r="211" spans="1:8" ht="12.75">
      <c r="A211" s="10" t="s">
        <v>97</v>
      </c>
      <c r="B211" s="10"/>
      <c r="C211" s="10" t="s">
        <v>341</v>
      </c>
      <c r="D211" s="10" t="s">
        <v>752</v>
      </c>
      <c r="E211" s="10" t="s">
        <v>1089</v>
      </c>
      <c r="F211" s="10" t="s">
        <v>7</v>
      </c>
      <c r="G211" s="33">
        <v>1</v>
      </c>
      <c r="H211" s="55" t="s">
        <v>1113</v>
      </c>
    </row>
    <row r="212" spans="1:8" ht="12.75">
      <c r="A212" s="10" t="s">
        <v>98</v>
      </c>
      <c r="B212" s="10"/>
      <c r="C212" s="10" t="s">
        <v>342</v>
      </c>
      <c r="D212" s="10" t="s">
        <v>753</v>
      </c>
      <c r="E212" s="10" t="s">
        <v>1084</v>
      </c>
      <c r="F212" s="10" t="s">
        <v>754</v>
      </c>
      <c r="G212" s="33">
        <v>140</v>
      </c>
      <c r="H212" s="55" t="s">
        <v>1113</v>
      </c>
    </row>
    <row r="213" spans="1:8" ht="12.75">
      <c r="A213" s="10" t="s">
        <v>99</v>
      </c>
      <c r="B213" s="10"/>
      <c r="C213" s="10" t="s">
        <v>343</v>
      </c>
      <c r="D213" s="10" t="s">
        <v>755</v>
      </c>
      <c r="E213" s="10" t="s">
        <v>1088</v>
      </c>
      <c r="F213" s="10" t="s">
        <v>13</v>
      </c>
      <c r="G213" s="33">
        <v>7</v>
      </c>
      <c r="H213" s="55" t="s">
        <v>1113</v>
      </c>
    </row>
    <row r="214" spans="1:8" ht="12.75">
      <c r="A214" s="12" t="s">
        <v>100</v>
      </c>
      <c r="B214" s="12"/>
      <c r="C214" s="12" t="s">
        <v>344</v>
      </c>
      <c r="D214" s="12" t="s">
        <v>756</v>
      </c>
      <c r="E214" s="12" t="s">
        <v>1088</v>
      </c>
      <c r="F214" s="12" t="s">
        <v>757</v>
      </c>
      <c r="G214" s="35">
        <v>1</v>
      </c>
      <c r="H214" s="56" t="s">
        <v>1115</v>
      </c>
    </row>
    <row r="215" spans="1:8" ht="12.75">
      <c r="A215" s="10" t="s">
        <v>101</v>
      </c>
      <c r="B215" s="10"/>
      <c r="C215" s="10" t="s">
        <v>345</v>
      </c>
      <c r="D215" s="10" t="s">
        <v>758</v>
      </c>
      <c r="E215" s="10" t="s">
        <v>1085</v>
      </c>
      <c r="F215" s="10" t="s">
        <v>759</v>
      </c>
      <c r="G215" s="33">
        <v>9.965</v>
      </c>
      <c r="H215" s="55" t="s">
        <v>1113</v>
      </c>
    </row>
    <row r="216" spans="1:8" ht="12.75">
      <c r="A216" s="10" t="s">
        <v>102</v>
      </c>
      <c r="B216" s="10"/>
      <c r="C216" s="10" t="s">
        <v>347</v>
      </c>
      <c r="D216" s="10" t="s">
        <v>761</v>
      </c>
      <c r="E216" s="10" t="s">
        <v>1084</v>
      </c>
      <c r="G216" s="33">
        <v>58.81</v>
      </c>
      <c r="H216" s="55" t="s">
        <v>1113</v>
      </c>
    </row>
    <row r="217" spans="6:7" ht="12.75">
      <c r="F217" s="10" t="s">
        <v>762</v>
      </c>
      <c r="G217" s="33">
        <v>52.81</v>
      </c>
    </row>
    <row r="218" spans="1:7" ht="12.75">
      <c r="A218" s="10"/>
      <c r="B218" s="10"/>
      <c r="C218" s="10"/>
      <c r="D218" s="10"/>
      <c r="E218" s="10"/>
      <c r="F218" s="10" t="s">
        <v>12</v>
      </c>
      <c r="G218" s="33">
        <v>6</v>
      </c>
    </row>
    <row r="219" spans="1:8" ht="12.75">
      <c r="A219" s="10" t="s">
        <v>103</v>
      </c>
      <c r="B219" s="10"/>
      <c r="C219" s="10" t="s">
        <v>348</v>
      </c>
      <c r="D219" s="10" t="s">
        <v>763</v>
      </c>
      <c r="E219" s="10" t="s">
        <v>1084</v>
      </c>
      <c r="G219" s="33">
        <v>73.13</v>
      </c>
      <c r="H219" s="55" t="s">
        <v>1113</v>
      </c>
    </row>
    <row r="220" spans="6:7" ht="12.75">
      <c r="F220" s="10" t="s">
        <v>764</v>
      </c>
      <c r="G220" s="33">
        <v>27.99</v>
      </c>
    </row>
    <row r="221" spans="1:7" ht="12.75">
      <c r="A221" s="10"/>
      <c r="B221" s="10"/>
      <c r="C221" s="10"/>
      <c r="D221" s="10"/>
      <c r="E221" s="10"/>
      <c r="F221" s="10" t="s">
        <v>765</v>
      </c>
      <c r="G221" s="33">
        <v>45.14</v>
      </c>
    </row>
    <row r="222" spans="1:8" ht="12.75">
      <c r="A222" s="10" t="s">
        <v>104</v>
      </c>
      <c r="B222" s="10"/>
      <c r="C222" s="10" t="s">
        <v>349</v>
      </c>
      <c r="D222" s="10" t="s">
        <v>766</v>
      </c>
      <c r="E222" s="10" t="s">
        <v>1084</v>
      </c>
      <c r="G222" s="33">
        <v>85.53</v>
      </c>
      <c r="H222" s="55" t="s">
        <v>1113</v>
      </c>
    </row>
    <row r="223" spans="6:7" ht="12.75">
      <c r="F223" s="10" t="s">
        <v>767</v>
      </c>
      <c r="G223" s="33">
        <v>73.13</v>
      </c>
    </row>
    <row r="224" spans="1:7" ht="12.75">
      <c r="A224" s="10"/>
      <c r="B224" s="10"/>
      <c r="C224" s="10"/>
      <c r="D224" s="10"/>
      <c r="E224" s="10"/>
      <c r="F224" s="10" t="s">
        <v>768</v>
      </c>
      <c r="G224" s="33">
        <v>12.4</v>
      </c>
    </row>
    <row r="225" spans="1:8" ht="12.75">
      <c r="A225" s="10" t="s">
        <v>105</v>
      </c>
      <c r="B225" s="10"/>
      <c r="C225" s="10" t="s">
        <v>350</v>
      </c>
      <c r="D225" s="10" t="s">
        <v>769</v>
      </c>
      <c r="E225" s="10" t="s">
        <v>1084</v>
      </c>
      <c r="F225" s="10" t="s">
        <v>770</v>
      </c>
      <c r="G225" s="33">
        <v>58.81</v>
      </c>
      <c r="H225" s="55" t="s">
        <v>1113</v>
      </c>
    </row>
    <row r="226" spans="1:8" ht="12.75">
      <c r="A226" s="10" t="s">
        <v>106</v>
      </c>
      <c r="B226" s="10"/>
      <c r="C226" s="10" t="s">
        <v>349</v>
      </c>
      <c r="D226" s="10" t="s">
        <v>771</v>
      </c>
      <c r="E226" s="10" t="s">
        <v>1084</v>
      </c>
      <c r="F226" s="10" t="s">
        <v>764</v>
      </c>
      <c r="G226" s="33">
        <v>27.99</v>
      </c>
      <c r="H226" s="55" t="s">
        <v>1113</v>
      </c>
    </row>
    <row r="227" spans="1:8" ht="12.75">
      <c r="A227" s="10" t="s">
        <v>107</v>
      </c>
      <c r="B227" s="10"/>
      <c r="C227" s="10" t="s">
        <v>350</v>
      </c>
      <c r="D227" s="10" t="s">
        <v>772</v>
      </c>
      <c r="E227" s="10" t="s">
        <v>1084</v>
      </c>
      <c r="F227" s="10" t="s">
        <v>770</v>
      </c>
      <c r="G227" s="33">
        <v>58.81</v>
      </c>
      <c r="H227" s="55" t="s">
        <v>1113</v>
      </c>
    </row>
    <row r="228" spans="1:8" ht="12.75">
      <c r="A228" s="10" t="s">
        <v>108</v>
      </c>
      <c r="B228" s="10"/>
      <c r="C228" s="10" t="s">
        <v>351</v>
      </c>
      <c r="D228" s="10" t="s">
        <v>773</v>
      </c>
      <c r="E228" s="10" t="s">
        <v>1084</v>
      </c>
      <c r="F228" s="10" t="s">
        <v>774</v>
      </c>
      <c r="G228" s="33">
        <v>186.65</v>
      </c>
      <c r="H228" s="55" t="s">
        <v>1113</v>
      </c>
    </row>
    <row r="229" spans="1:8" ht="12.75">
      <c r="A229" s="10" t="s">
        <v>109</v>
      </c>
      <c r="B229" s="10"/>
      <c r="C229" s="10" t="s">
        <v>352</v>
      </c>
      <c r="D229" s="10" t="s">
        <v>773</v>
      </c>
      <c r="E229" s="10" t="s">
        <v>1084</v>
      </c>
      <c r="F229" s="10" t="s">
        <v>775</v>
      </c>
      <c r="G229" s="33">
        <v>176.43</v>
      </c>
      <c r="H229" s="55" t="s">
        <v>1113</v>
      </c>
    </row>
    <row r="230" spans="1:8" ht="12.75">
      <c r="A230" s="10" t="s">
        <v>110</v>
      </c>
      <c r="B230" s="10"/>
      <c r="C230" s="10" t="s">
        <v>353</v>
      </c>
      <c r="D230" s="10" t="s">
        <v>776</v>
      </c>
      <c r="E230" s="10" t="s">
        <v>1089</v>
      </c>
      <c r="F230" s="10" t="s">
        <v>777</v>
      </c>
      <c r="G230" s="33">
        <v>1</v>
      </c>
      <c r="H230" s="55" t="s">
        <v>1113</v>
      </c>
    </row>
    <row r="231" spans="1:8" ht="12.75">
      <c r="A231" s="10" t="s">
        <v>111</v>
      </c>
      <c r="B231" s="10"/>
      <c r="C231" s="10" t="s">
        <v>354</v>
      </c>
      <c r="D231" s="10" t="s">
        <v>778</v>
      </c>
      <c r="E231" s="10" t="s">
        <v>1084</v>
      </c>
      <c r="F231" s="10" t="s">
        <v>779</v>
      </c>
      <c r="G231" s="33">
        <v>363.08</v>
      </c>
      <c r="H231" s="55" t="s">
        <v>1113</v>
      </c>
    </row>
    <row r="232" spans="1:8" ht="12.75">
      <c r="A232" s="10" t="s">
        <v>112</v>
      </c>
      <c r="B232" s="10"/>
      <c r="C232" s="10" t="s">
        <v>355</v>
      </c>
      <c r="D232" s="10" t="s">
        <v>780</v>
      </c>
      <c r="E232" s="10" t="s">
        <v>1084</v>
      </c>
      <c r="F232" s="10" t="s">
        <v>781</v>
      </c>
      <c r="G232" s="33">
        <v>363.08</v>
      </c>
      <c r="H232" s="55" t="s">
        <v>1113</v>
      </c>
    </row>
    <row r="233" spans="1:8" ht="12.75">
      <c r="A233" s="10" t="s">
        <v>113</v>
      </c>
      <c r="B233" s="10"/>
      <c r="C233" s="10" t="s">
        <v>356</v>
      </c>
      <c r="D233" s="10" t="s">
        <v>782</v>
      </c>
      <c r="E233" s="10" t="s">
        <v>1084</v>
      </c>
      <c r="F233" s="10" t="s">
        <v>783</v>
      </c>
      <c r="G233" s="33">
        <v>90</v>
      </c>
      <c r="H233" s="55" t="s">
        <v>1115</v>
      </c>
    </row>
    <row r="234" spans="1:8" ht="12.75">
      <c r="A234" s="10" t="s">
        <v>114</v>
      </c>
      <c r="B234" s="10"/>
      <c r="C234" s="10" t="s">
        <v>356</v>
      </c>
      <c r="D234" s="10" t="s">
        <v>782</v>
      </c>
      <c r="E234" s="10" t="s">
        <v>1084</v>
      </c>
      <c r="G234" s="33">
        <v>450</v>
      </c>
      <c r="H234" s="55" t="s">
        <v>1115</v>
      </c>
    </row>
    <row r="235" spans="6:7" ht="12.75">
      <c r="F235" s="10" t="s">
        <v>784</v>
      </c>
      <c r="G235" s="33">
        <v>450</v>
      </c>
    </row>
    <row r="236" spans="1:7" ht="12.75">
      <c r="A236" s="10"/>
      <c r="B236" s="10"/>
      <c r="C236" s="10"/>
      <c r="D236" s="10"/>
      <c r="E236" s="10"/>
      <c r="F236" s="10" t="s">
        <v>785</v>
      </c>
      <c r="G236" s="33">
        <v>0</v>
      </c>
    </row>
    <row r="237" spans="1:8" ht="12.75">
      <c r="A237" s="10" t="s">
        <v>115</v>
      </c>
      <c r="B237" s="10"/>
      <c r="C237" s="10" t="s">
        <v>357</v>
      </c>
      <c r="D237" s="10" t="s">
        <v>786</v>
      </c>
      <c r="E237" s="10" t="s">
        <v>1085</v>
      </c>
      <c r="F237" s="10" t="s">
        <v>787</v>
      </c>
      <c r="G237" s="33">
        <v>2.335</v>
      </c>
      <c r="H237" s="55" t="s">
        <v>1113</v>
      </c>
    </row>
    <row r="238" spans="1:8" ht="12.75">
      <c r="A238" s="10" t="s">
        <v>116</v>
      </c>
      <c r="B238" s="10"/>
      <c r="C238" s="10" t="s">
        <v>359</v>
      </c>
      <c r="D238" s="10" t="s">
        <v>789</v>
      </c>
      <c r="E238" s="10" t="s">
        <v>1089</v>
      </c>
      <c r="F238" s="10" t="s">
        <v>790</v>
      </c>
      <c r="G238" s="33">
        <v>1</v>
      </c>
      <c r="H238" s="55" t="s">
        <v>1113</v>
      </c>
    </row>
    <row r="239" spans="1:8" ht="12.75">
      <c r="A239" s="10" t="s">
        <v>117</v>
      </c>
      <c r="B239" s="10"/>
      <c r="C239" s="10" t="s">
        <v>361</v>
      </c>
      <c r="D239" s="10" t="s">
        <v>792</v>
      </c>
      <c r="E239" s="10" t="s">
        <v>1087</v>
      </c>
      <c r="F239" s="10" t="s">
        <v>793</v>
      </c>
      <c r="G239" s="33">
        <v>1</v>
      </c>
      <c r="H239" s="55" t="s">
        <v>1115</v>
      </c>
    </row>
    <row r="240" spans="1:8" ht="12.75">
      <c r="A240" s="10" t="s">
        <v>118</v>
      </c>
      <c r="B240" s="10"/>
      <c r="C240" s="10" t="s">
        <v>363</v>
      </c>
      <c r="D240" s="10" t="s">
        <v>795</v>
      </c>
      <c r="E240" s="10" t="s">
        <v>1087</v>
      </c>
      <c r="F240" s="10" t="s">
        <v>7</v>
      </c>
      <c r="G240" s="33">
        <v>1</v>
      </c>
      <c r="H240" s="55" t="s">
        <v>1113</v>
      </c>
    </row>
    <row r="241" spans="1:8" ht="12.75">
      <c r="A241" s="10" t="s">
        <v>119</v>
      </c>
      <c r="B241" s="10"/>
      <c r="C241" s="10" t="s">
        <v>364</v>
      </c>
      <c r="D241" s="10" t="s">
        <v>796</v>
      </c>
      <c r="E241" s="10" t="s">
        <v>1087</v>
      </c>
      <c r="F241" s="10" t="s">
        <v>11</v>
      </c>
      <c r="G241" s="33">
        <v>5</v>
      </c>
      <c r="H241" s="55" t="s">
        <v>1113</v>
      </c>
    </row>
    <row r="242" spans="1:8" ht="12.75">
      <c r="A242" s="10" t="s">
        <v>120</v>
      </c>
      <c r="B242" s="10"/>
      <c r="C242" s="10" t="s">
        <v>365</v>
      </c>
      <c r="D242" s="10" t="s">
        <v>797</v>
      </c>
      <c r="E242" s="10" t="s">
        <v>1088</v>
      </c>
      <c r="F242" s="10" t="s">
        <v>7</v>
      </c>
      <c r="G242" s="33">
        <v>1</v>
      </c>
      <c r="H242" s="55" t="s">
        <v>1113</v>
      </c>
    </row>
    <row r="243" spans="1:8" ht="12.75">
      <c r="A243" s="10" t="s">
        <v>121</v>
      </c>
      <c r="B243" s="10"/>
      <c r="C243" s="10" t="s">
        <v>366</v>
      </c>
      <c r="D243" s="10" t="s">
        <v>798</v>
      </c>
      <c r="E243" s="10" t="s">
        <v>1088</v>
      </c>
      <c r="F243" s="10" t="s">
        <v>11</v>
      </c>
      <c r="G243" s="33">
        <v>5</v>
      </c>
      <c r="H243" s="55" t="s">
        <v>1113</v>
      </c>
    </row>
    <row r="244" spans="1:8" ht="12.75">
      <c r="A244" s="10" t="s">
        <v>122</v>
      </c>
      <c r="B244" s="10"/>
      <c r="C244" s="10" t="s">
        <v>367</v>
      </c>
      <c r="D244" s="10" t="s">
        <v>799</v>
      </c>
      <c r="E244" s="10" t="s">
        <v>1088</v>
      </c>
      <c r="F244" s="10" t="s">
        <v>7</v>
      </c>
      <c r="G244" s="33">
        <v>1</v>
      </c>
      <c r="H244" s="55" t="s">
        <v>1113</v>
      </c>
    </row>
    <row r="245" spans="1:8" ht="12.75">
      <c r="A245" s="12" t="s">
        <v>123</v>
      </c>
      <c r="B245" s="12"/>
      <c r="C245" s="12" t="s">
        <v>368</v>
      </c>
      <c r="D245" s="12" t="s">
        <v>800</v>
      </c>
      <c r="E245" s="12" t="s">
        <v>1088</v>
      </c>
      <c r="F245" s="12" t="s">
        <v>7</v>
      </c>
      <c r="G245" s="35">
        <v>1</v>
      </c>
      <c r="H245" s="56" t="s">
        <v>1113</v>
      </c>
    </row>
    <row r="246" spans="1:8" ht="12.75">
      <c r="A246" s="12" t="s">
        <v>124</v>
      </c>
      <c r="B246" s="12"/>
      <c r="C246" s="12" t="s">
        <v>369</v>
      </c>
      <c r="D246" s="12" t="s">
        <v>801</v>
      </c>
      <c r="E246" s="12" t="s">
        <v>1088</v>
      </c>
      <c r="G246" s="35">
        <v>10</v>
      </c>
      <c r="H246" s="56" t="s">
        <v>1115</v>
      </c>
    </row>
    <row r="247" spans="6:7" ht="12.75">
      <c r="F247" s="12" t="s">
        <v>802</v>
      </c>
      <c r="G247" s="35">
        <v>10</v>
      </c>
    </row>
    <row r="248" spans="1:7" ht="12.75">
      <c r="A248" s="12"/>
      <c r="B248" s="12"/>
      <c r="C248" s="12"/>
      <c r="D248" s="12"/>
      <c r="E248" s="12"/>
      <c r="F248" s="12" t="s">
        <v>803</v>
      </c>
      <c r="G248" s="35">
        <v>0</v>
      </c>
    </row>
    <row r="249" spans="1:8" ht="12.75">
      <c r="A249" s="12" t="s">
        <v>125</v>
      </c>
      <c r="B249" s="12"/>
      <c r="C249" s="12" t="s">
        <v>370</v>
      </c>
      <c r="D249" s="12" t="s">
        <v>804</v>
      </c>
      <c r="E249" s="12" t="s">
        <v>1088</v>
      </c>
      <c r="F249" s="12" t="s">
        <v>805</v>
      </c>
      <c r="G249" s="35">
        <v>3</v>
      </c>
      <c r="H249" s="56" t="s">
        <v>1115</v>
      </c>
    </row>
    <row r="250" spans="1:8" ht="12.75">
      <c r="A250" s="12" t="s">
        <v>126</v>
      </c>
      <c r="B250" s="12"/>
      <c r="C250" s="12" t="s">
        <v>371</v>
      </c>
      <c r="D250" s="12" t="s">
        <v>806</v>
      </c>
      <c r="E250" s="12" t="s">
        <v>1090</v>
      </c>
      <c r="F250" s="12" t="s">
        <v>16</v>
      </c>
      <c r="G250" s="35">
        <v>10</v>
      </c>
      <c r="H250" s="56" t="s">
        <v>1115</v>
      </c>
    </row>
    <row r="251" spans="1:8" ht="12.75">
      <c r="A251" s="12" t="s">
        <v>127</v>
      </c>
      <c r="B251" s="12"/>
      <c r="C251" s="12" t="s">
        <v>372</v>
      </c>
      <c r="D251" s="12" t="s">
        <v>807</v>
      </c>
      <c r="E251" s="12" t="s">
        <v>1090</v>
      </c>
      <c r="F251" s="12" t="s">
        <v>9</v>
      </c>
      <c r="G251" s="35">
        <v>3</v>
      </c>
      <c r="H251" s="56" t="s">
        <v>1115</v>
      </c>
    </row>
    <row r="252" spans="1:8" ht="12.75">
      <c r="A252" s="10" t="s">
        <v>128</v>
      </c>
      <c r="B252" s="10"/>
      <c r="C252" s="10" t="s">
        <v>373</v>
      </c>
      <c r="D252" s="10" t="s">
        <v>808</v>
      </c>
      <c r="E252" s="10" t="s">
        <v>1087</v>
      </c>
      <c r="F252" s="10" t="s">
        <v>809</v>
      </c>
      <c r="G252" s="33">
        <v>1</v>
      </c>
      <c r="H252" s="55" t="s">
        <v>1115</v>
      </c>
    </row>
    <row r="253" spans="1:8" ht="12.75">
      <c r="A253" s="10" t="s">
        <v>129</v>
      </c>
      <c r="B253" s="10"/>
      <c r="C253" s="10" t="s">
        <v>374</v>
      </c>
      <c r="D253" s="10" t="s">
        <v>810</v>
      </c>
      <c r="E253" s="10" t="s">
        <v>1085</v>
      </c>
      <c r="F253" s="10" t="s">
        <v>811</v>
      </c>
      <c r="G253" s="33">
        <v>0.649</v>
      </c>
      <c r="H253" s="55" t="s">
        <v>1115</v>
      </c>
    </row>
    <row r="254" spans="1:8" ht="12.75">
      <c r="A254" s="10" t="s">
        <v>130</v>
      </c>
      <c r="B254" s="10"/>
      <c r="C254" s="10" t="s">
        <v>376</v>
      </c>
      <c r="D254" s="10" t="s">
        <v>813</v>
      </c>
      <c r="E254" s="10" t="s">
        <v>1088</v>
      </c>
      <c r="F254" s="10" t="s">
        <v>814</v>
      </c>
      <c r="G254" s="33">
        <v>2</v>
      </c>
      <c r="H254" s="55" t="s">
        <v>1113</v>
      </c>
    </row>
    <row r="255" spans="1:8" ht="12.75">
      <c r="A255" s="10" t="s">
        <v>131</v>
      </c>
      <c r="B255" s="10"/>
      <c r="C255" s="10" t="s">
        <v>377</v>
      </c>
      <c r="D255" s="10" t="s">
        <v>815</v>
      </c>
      <c r="E255" s="10" t="s">
        <v>1089</v>
      </c>
      <c r="F255" s="10" t="s">
        <v>816</v>
      </c>
      <c r="G255" s="33">
        <v>1</v>
      </c>
      <c r="H255" s="55" t="s">
        <v>1113</v>
      </c>
    </row>
    <row r="256" spans="1:8" ht="12.75">
      <c r="A256" s="10" t="s">
        <v>132</v>
      </c>
      <c r="B256" s="10"/>
      <c r="C256" s="10" t="s">
        <v>378</v>
      </c>
      <c r="D256" s="10" t="s">
        <v>817</v>
      </c>
      <c r="E256" s="10" t="s">
        <v>1088</v>
      </c>
      <c r="F256" s="10" t="s">
        <v>818</v>
      </c>
      <c r="G256" s="33">
        <v>4</v>
      </c>
      <c r="H256" s="55" t="s">
        <v>1115</v>
      </c>
    </row>
    <row r="257" spans="1:8" ht="12.75">
      <c r="A257" s="10" t="s">
        <v>133</v>
      </c>
      <c r="B257" s="10"/>
      <c r="C257" s="10" t="s">
        <v>380</v>
      </c>
      <c r="D257" s="10" t="s">
        <v>820</v>
      </c>
      <c r="E257" s="10" t="s">
        <v>1089</v>
      </c>
      <c r="F257" s="10" t="s">
        <v>821</v>
      </c>
      <c r="G257" s="33">
        <v>1</v>
      </c>
      <c r="H257" s="55" t="s">
        <v>1113</v>
      </c>
    </row>
    <row r="258" spans="1:8" ht="12.75">
      <c r="A258" s="10" t="s">
        <v>134</v>
      </c>
      <c r="B258" s="10"/>
      <c r="C258" s="10" t="s">
        <v>382</v>
      </c>
      <c r="D258" s="10" t="s">
        <v>823</v>
      </c>
      <c r="E258" s="10" t="s">
        <v>1086</v>
      </c>
      <c r="F258" s="10" t="s">
        <v>824</v>
      </c>
      <c r="G258" s="33">
        <v>65</v>
      </c>
      <c r="H258" s="55" t="s">
        <v>1113</v>
      </c>
    </row>
    <row r="259" spans="1:8" ht="12.75">
      <c r="A259" s="10" t="s">
        <v>135</v>
      </c>
      <c r="B259" s="10"/>
      <c r="C259" s="10" t="s">
        <v>383</v>
      </c>
      <c r="D259" s="10" t="s">
        <v>825</v>
      </c>
      <c r="E259" s="10" t="s">
        <v>1084</v>
      </c>
      <c r="G259" s="33">
        <v>185.25</v>
      </c>
      <c r="H259" s="55" t="s">
        <v>1113</v>
      </c>
    </row>
    <row r="260" spans="6:7" ht="12.75">
      <c r="F260" s="10" t="s">
        <v>826</v>
      </c>
      <c r="G260" s="33">
        <v>52.05</v>
      </c>
    </row>
    <row r="261" spans="1:7" ht="12.75">
      <c r="A261" s="10"/>
      <c r="B261" s="10"/>
      <c r="C261" s="10"/>
      <c r="D261" s="10"/>
      <c r="E261" s="10"/>
      <c r="F261" s="10" t="s">
        <v>827</v>
      </c>
      <c r="G261" s="33">
        <v>126</v>
      </c>
    </row>
    <row r="262" spans="1:7" ht="12.75">
      <c r="A262" s="10"/>
      <c r="B262" s="10"/>
      <c r="C262" s="10"/>
      <c r="D262" s="10"/>
      <c r="E262" s="10"/>
      <c r="F262" s="10" t="s">
        <v>828</v>
      </c>
      <c r="G262" s="33">
        <v>7.2</v>
      </c>
    </row>
    <row r="263" spans="1:8" ht="12.75">
      <c r="A263" s="10" t="s">
        <v>136</v>
      </c>
      <c r="B263" s="10"/>
      <c r="C263" s="10" t="s">
        <v>384</v>
      </c>
      <c r="D263" s="10" t="s">
        <v>829</v>
      </c>
      <c r="E263" s="10" t="s">
        <v>1084</v>
      </c>
      <c r="F263" s="10" t="s">
        <v>830</v>
      </c>
      <c r="G263" s="33">
        <v>9.4</v>
      </c>
      <c r="H263" s="55" t="s">
        <v>1113</v>
      </c>
    </row>
    <row r="264" spans="1:8" ht="12.75">
      <c r="A264" s="10" t="s">
        <v>137</v>
      </c>
      <c r="B264" s="10"/>
      <c r="C264" s="10" t="s">
        <v>385</v>
      </c>
      <c r="D264" s="10" t="s">
        <v>831</v>
      </c>
      <c r="E264" s="10" t="s">
        <v>1084</v>
      </c>
      <c r="F264" s="10" t="s">
        <v>714</v>
      </c>
      <c r="G264" s="33">
        <v>12</v>
      </c>
      <c r="H264" s="55" t="s">
        <v>1113</v>
      </c>
    </row>
    <row r="265" spans="1:8" ht="12.75">
      <c r="A265" s="10" t="s">
        <v>138</v>
      </c>
      <c r="B265" s="10"/>
      <c r="C265" s="10" t="s">
        <v>386</v>
      </c>
      <c r="D265" s="10" t="s">
        <v>832</v>
      </c>
      <c r="E265" s="10" t="s">
        <v>1086</v>
      </c>
      <c r="F265" s="10" t="s">
        <v>71</v>
      </c>
      <c r="G265" s="33">
        <v>65</v>
      </c>
      <c r="H265" s="55" t="s">
        <v>1113</v>
      </c>
    </row>
    <row r="266" spans="1:8" ht="12.75">
      <c r="A266" s="10" t="s">
        <v>139</v>
      </c>
      <c r="B266" s="10"/>
      <c r="C266" s="10" t="s">
        <v>387</v>
      </c>
      <c r="D266" s="10" t="s">
        <v>833</v>
      </c>
      <c r="E266" s="10" t="s">
        <v>1084</v>
      </c>
      <c r="G266" s="33">
        <v>219.5</v>
      </c>
      <c r="H266" s="55" t="s">
        <v>1113</v>
      </c>
    </row>
    <row r="267" spans="6:7" ht="12.75">
      <c r="F267" s="10" t="s">
        <v>834</v>
      </c>
      <c r="G267" s="33">
        <v>9</v>
      </c>
    </row>
    <row r="268" spans="1:7" ht="12.75">
      <c r="A268" s="10"/>
      <c r="B268" s="10"/>
      <c r="C268" s="10"/>
      <c r="D268" s="10"/>
      <c r="E268" s="10"/>
      <c r="F268" s="10" t="s">
        <v>835</v>
      </c>
      <c r="G268" s="33">
        <v>8</v>
      </c>
    </row>
    <row r="269" spans="1:7" ht="12.75">
      <c r="A269" s="10"/>
      <c r="B269" s="10"/>
      <c r="C269" s="10"/>
      <c r="D269" s="10"/>
      <c r="E269" s="10"/>
      <c r="F269" s="10" t="s">
        <v>836</v>
      </c>
      <c r="G269" s="33">
        <v>9.5</v>
      </c>
    </row>
    <row r="270" spans="1:7" ht="12.75">
      <c r="A270" s="10"/>
      <c r="B270" s="10"/>
      <c r="C270" s="10"/>
      <c r="D270" s="10"/>
      <c r="E270" s="10"/>
      <c r="F270" s="10" t="s">
        <v>837</v>
      </c>
      <c r="G270" s="33">
        <v>20</v>
      </c>
    </row>
    <row r="271" spans="1:7" ht="12.75">
      <c r="A271" s="10"/>
      <c r="B271" s="10"/>
      <c r="C271" s="10"/>
      <c r="D271" s="10"/>
      <c r="E271" s="10"/>
      <c r="F271" s="10" t="s">
        <v>838</v>
      </c>
      <c r="G271" s="33">
        <v>69</v>
      </c>
    </row>
    <row r="272" spans="1:7" ht="12.75">
      <c r="A272" s="10"/>
      <c r="B272" s="10"/>
      <c r="C272" s="10"/>
      <c r="D272" s="10"/>
      <c r="E272" s="10"/>
      <c r="F272" s="10" t="s">
        <v>839</v>
      </c>
      <c r="G272" s="33">
        <v>104</v>
      </c>
    </row>
    <row r="273" spans="1:8" ht="12.75">
      <c r="A273" s="12" t="s">
        <v>140</v>
      </c>
      <c r="B273" s="12"/>
      <c r="C273" s="12" t="s">
        <v>388</v>
      </c>
      <c r="D273" s="12" t="s">
        <v>840</v>
      </c>
      <c r="E273" s="12" t="s">
        <v>1083</v>
      </c>
      <c r="G273" s="35">
        <v>3.7406</v>
      </c>
      <c r="H273" s="56" t="s">
        <v>1113</v>
      </c>
    </row>
    <row r="274" spans="6:7" ht="12.75">
      <c r="F274" s="12" t="s">
        <v>841</v>
      </c>
      <c r="G274" s="35">
        <v>3.17</v>
      </c>
    </row>
    <row r="275" spans="1:7" ht="12.75">
      <c r="A275" s="12"/>
      <c r="B275" s="12"/>
      <c r="C275" s="12"/>
      <c r="D275" s="12"/>
      <c r="E275" s="12"/>
      <c r="F275" s="12" t="s">
        <v>842</v>
      </c>
      <c r="G275" s="35">
        <v>0.5706</v>
      </c>
    </row>
    <row r="276" spans="1:8" ht="12.75">
      <c r="A276" s="10" t="s">
        <v>141</v>
      </c>
      <c r="B276" s="10"/>
      <c r="C276" s="10" t="s">
        <v>389</v>
      </c>
      <c r="D276" s="10" t="s">
        <v>843</v>
      </c>
      <c r="E276" s="10" t="s">
        <v>1083</v>
      </c>
      <c r="F276" s="10" t="s">
        <v>841</v>
      </c>
      <c r="G276" s="33">
        <v>3.17</v>
      </c>
      <c r="H276" s="55" t="s">
        <v>1113</v>
      </c>
    </row>
    <row r="277" spans="1:8" ht="12.75">
      <c r="A277" s="10" t="s">
        <v>142</v>
      </c>
      <c r="B277" s="10"/>
      <c r="C277" s="10" t="s">
        <v>390</v>
      </c>
      <c r="D277" s="10" t="s">
        <v>844</v>
      </c>
      <c r="E277" s="10" t="s">
        <v>1089</v>
      </c>
      <c r="G277" s="33">
        <v>1</v>
      </c>
      <c r="H277" s="55" t="s">
        <v>1113</v>
      </c>
    </row>
    <row r="278" spans="6:7" ht="12.75">
      <c r="F278" s="10" t="s">
        <v>845</v>
      </c>
      <c r="G278" s="33">
        <v>1</v>
      </c>
    </row>
    <row r="279" spans="1:7" ht="12.75">
      <c r="A279" s="10"/>
      <c r="B279" s="10"/>
      <c r="C279" s="10"/>
      <c r="D279" s="10"/>
      <c r="E279" s="10"/>
      <c r="F279" s="10" t="s">
        <v>846</v>
      </c>
      <c r="G279" s="33">
        <v>0</v>
      </c>
    </row>
    <row r="280" spans="1:8" ht="12.75">
      <c r="A280" s="10" t="s">
        <v>143</v>
      </c>
      <c r="B280" s="10"/>
      <c r="C280" s="10" t="s">
        <v>391</v>
      </c>
      <c r="D280" s="10" t="s">
        <v>847</v>
      </c>
      <c r="E280" s="10" t="s">
        <v>1085</v>
      </c>
      <c r="F280" s="10" t="s">
        <v>848</v>
      </c>
      <c r="G280" s="33">
        <v>7.662</v>
      </c>
      <c r="H280" s="55" t="s">
        <v>1113</v>
      </c>
    </row>
    <row r="281" spans="1:8" ht="12.75">
      <c r="A281" s="10" t="s">
        <v>144</v>
      </c>
      <c r="B281" s="10"/>
      <c r="C281" s="10" t="s">
        <v>393</v>
      </c>
      <c r="D281" s="10" t="s">
        <v>850</v>
      </c>
      <c r="E281" s="10" t="s">
        <v>1086</v>
      </c>
      <c r="F281" s="10" t="s">
        <v>851</v>
      </c>
      <c r="G281" s="33">
        <v>65</v>
      </c>
      <c r="H281" s="55" t="s">
        <v>1113</v>
      </c>
    </row>
    <row r="282" spans="1:8" ht="12.75">
      <c r="A282" s="12" t="s">
        <v>145</v>
      </c>
      <c r="B282" s="12"/>
      <c r="C282" s="12" t="s">
        <v>394</v>
      </c>
      <c r="D282" s="12" t="s">
        <v>852</v>
      </c>
      <c r="E282" s="12" t="s">
        <v>1086</v>
      </c>
      <c r="G282" s="35">
        <v>70.2</v>
      </c>
      <c r="H282" s="56" t="s">
        <v>1113</v>
      </c>
    </row>
    <row r="283" spans="6:7" ht="12.75">
      <c r="F283" s="12" t="s">
        <v>71</v>
      </c>
      <c r="G283" s="35">
        <v>65</v>
      </c>
    </row>
    <row r="284" spans="1:7" ht="12.75">
      <c r="A284" s="12"/>
      <c r="B284" s="12"/>
      <c r="C284" s="12"/>
      <c r="D284" s="12"/>
      <c r="E284" s="12"/>
      <c r="F284" s="12" t="s">
        <v>853</v>
      </c>
      <c r="G284" s="35">
        <v>5.2</v>
      </c>
    </row>
    <row r="285" spans="1:8" ht="12.75">
      <c r="A285" s="10" t="s">
        <v>146</v>
      </c>
      <c r="B285" s="10"/>
      <c r="C285" s="10" t="s">
        <v>395</v>
      </c>
      <c r="D285" s="10" t="s">
        <v>854</v>
      </c>
      <c r="E285" s="10" t="s">
        <v>1086</v>
      </c>
      <c r="G285" s="33">
        <v>6.875</v>
      </c>
      <c r="H285" s="55" t="s">
        <v>1115</v>
      </c>
    </row>
    <row r="286" spans="6:7" ht="12.75">
      <c r="F286" s="10" t="s">
        <v>855</v>
      </c>
      <c r="G286" s="33">
        <v>6.875</v>
      </c>
    </row>
    <row r="287" spans="1:7" ht="12.75">
      <c r="A287" s="10"/>
      <c r="B287" s="10"/>
      <c r="C287" s="10"/>
      <c r="D287" s="10"/>
      <c r="E287" s="10"/>
      <c r="F287" s="10" t="s">
        <v>856</v>
      </c>
      <c r="G287" s="33">
        <v>0</v>
      </c>
    </row>
    <row r="288" spans="1:8" ht="12.75">
      <c r="A288" s="10" t="s">
        <v>147</v>
      </c>
      <c r="B288" s="10"/>
      <c r="C288" s="10" t="s">
        <v>397</v>
      </c>
      <c r="D288" s="10" t="s">
        <v>858</v>
      </c>
      <c r="E288" s="10" t="s">
        <v>1086</v>
      </c>
      <c r="F288" s="10" t="s">
        <v>71</v>
      </c>
      <c r="G288" s="33">
        <v>65</v>
      </c>
      <c r="H288" s="55" t="s">
        <v>1113</v>
      </c>
    </row>
    <row r="289" spans="1:8" ht="12.75">
      <c r="A289" s="10" t="s">
        <v>148</v>
      </c>
      <c r="B289" s="10"/>
      <c r="C289" s="10" t="s">
        <v>398</v>
      </c>
      <c r="D289" s="10" t="s">
        <v>859</v>
      </c>
      <c r="E289" s="10" t="s">
        <v>1084</v>
      </c>
      <c r="F289" s="10" t="s">
        <v>860</v>
      </c>
      <c r="G289" s="33">
        <v>14.71</v>
      </c>
      <c r="H289" s="55" t="s">
        <v>1113</v>
      </c>
    </row>
    <row r="290" spans="1:8" ht="12.75">
      <c r="A290" s="10" t="s">
        <v>149</v>
      </c>
      <c r="B290" s="10"/>
      <c r="C290" s="10" t="s">
        <v>399</v>
      </c>
      <c r="D290" s="10" t="s">
        <v>861</v>
      </c>
      <c r="E290" s="10" t="s">
        <v>1084</v>
      </c>
      <c r="F290" s="10" t="s">
        <v>860</v>
      </c>
      <c r="G290" s="33">
        <v>14.71</v>
      </c>
      <c r="H290" s="55" t="s">
        <v>1113</v>
      </c>
    </row>
    <row r="291" spans="1:8" ht="12.75">
      <c r="A291" s="10" t="s">
        <v>150</v>
      </c>
      <c r="B291" s="10"/>
      <c r="C291" s="10" t="s">
        <v>400</v>
      </c>
      <c r="D291" s="10" t="s">
        <v>862</v>
      </c>
      <c r="E291" s="10" t="s">
        <v>1084</v>
      </c>
      <c r="F291" s="10" t="s">
        <v>863</v>
      </c>
      <c r="G291" s="33">
        <v>7.34</v>
      </c>
      <c r="H291" s="55" t="s">
        <v>1113</v>
      </c>
    </row>
    <row r="292" spans="1:8" ht="12.75">
      <c r="A292" s="10" t="s">
        <v>151</v>
      </c>
      <c r="B292" s="10"/>
      <c r="C292" s="10" t="s">
        <v>401</v>
      </c>
      <c r="D292" s="10" t="s">
        <v>864</v>
      </c>
      <c r="E292" s="10" t="s">
        <v>1088</v>
      </c>
      <c r="F292" s="10" t="s">
        <v>8</v>
      </c>
      <c r="G292" s="33">
        <v>2</v>
      </c>
      <c r="H292" s="55" t="s">
        <v>1113</v>
      </c>
    </row>
    <row r="293" spans="1:8" ht="12.75">
      <c r="A293" s="10" t="s">
        <v>152</v>
      </c>
      <c r="B293" s="10"/>
      <c r="C293" s="10" t="s">
        <v>402</v>
      </c>
      <c r="D293" s="10" t="s">
        <v>865</v>
      </c>
      <c r="E293" s="10" t="s">
        <v>1084</v>
      </c>
      <c r="F293" s="10" t="s">
        <v>866</v>
      </c>
      <c r="G293" s="33">
        <v>14.75</v>
      </c>
      <c r="H293" s="55" t="s">
        <v>1113</v>
      </c>
    </row>
    <row r="294" spans="1:8" ht="12.75">
      <c r="A294" s="10" t="s">
        <v>153</v>
      </c>
      <c r="B294" s="10"/>
      <c r="C294" s="10" t="s">
        <v>403</v>
      </c>
      <c r="D294" s="10" t="s">
        <v>867</v>
      </c>
      <c r="E294" s="10" t="s">
        <v>1084</v>
      </c>
      <c r="F294" s="10" t="s">
        <v>868</v>
      </c>
      <c r="G294" s="33">
        <v>2</v>
      </c>
      <c r="H294" s="55" t="s">
        <v>1113</v>
      </c>
    </row>
    <row r="295" spans="1:8" ht="12.75">
      <c r="A295" s="10" t="s">
        <v>154</v>
      </c>
      <c r="B295" s="10"/>
      <c r="C295" s="10" t="s">
        <v>404</v>
      </c>
      <c r="D295" s="10" t="s">
        <v>869</v>
      </c>
      <c r="E295" s="10" t="s">
        <v>1086</v>
      </c>
      <c r="F295" s="10" t="s">
        <v>870</v>
      </c>
      <c r="G295" s="33">
        <v>65</v>
      </c>
      <c r="H295" s="55" t="s">
        <v>1114</v>
      </c>
    </row>
    <row r="296" spans="1:8" ht="12.75">
      <c r="A296" s="12" t="s">
        <v>155</v>
      </c>
      <c r="B296" s="12"/>
      <c r="C296" s="12" t="s">
        <v>405</v>
      </c>
      <c r="D296" s="12" t="s">
        <v>871</v>
      </c>
      <c r="E296" s="12" t="s">
        <v>1086</v>
      </c>
      <c r="G296" s="35">
        <v>74.75</v>
      </c>
      <c r="H296" s="56" t="s">
        <v>1113</v>
      </c>
    </row>
    <row r="297" spans="6:7" ht="12.75">
      <c r="F297" s="12" t="s">
        <v>870</v>
      </c>
      <c r="G297" s="35">
        <v>65</v>
      </c>
    </row>
    <row r="298" spans="1:7" ht="12.75">
      <c r="A298" s="12"/>
      <c r="B298" s="12"/>
      <c r="C298" s="12"/>
      <c r="D298" s="12"/>
      <c r="E298" s="12"/>
      <c r="F298" s="12" t="s">
        <v>872</v>
      </c>
      <c r="G298" s="35">
        <v>9.75</v>
      </c>
    </row>
    <row r="299" spans="1:8" ht="12.75">
      <c r="A299" s="10" t="s">
        <v>156</v>
      </c>
      <c r="B299" s="10"/>
      <c r="C299" s="10" t="s">
        <v>406</v>
      </c>
      <c r="D299" s="10" t="s">
        <v>873</v>
      </c>
      <c r="E299" s="10" t="s">
        <v>1084</v>
      </c>
      <c r="F299" s="10" t="s">
        <v>14</v>
      </c>
      <c r="G299" s="33">
        <v>8</v>
      </c>
      <c r="H299" s="55" t="s">
        <v>1113</v>
      </c>
    </row>
    <row r="300" spans="1:8" ht="12.75">
      <c r="A300" s="10" t="s">
        <v>157</v>
      </c>
      <c r="B300" s="10"/>
      <c r="C300" s="10" t="s">
        <v>407</v>
      </c>
      <c r="D300" s="10" t="s">
        <v>874</v>
      </c>
      <c r="E300" s="10" t="s">
        <v>1085</v>
      </c>
      <c r="F300" s="10" t="s">
        <v>875</v>
      </c>
      <c r="G300" s="33">
        <v>1.027</v>
      </c>
      <c r="H300" s="55" t="s">
        <v>1113</v>
      </c>
    </row>
    <row r="301" spans="1:8" ht="12.75">
      <c r="A301" s="10" t="s">
        <v>158</v>
      </c>
      <c r="B301" s="10"/>
      <c r="C301" s="10" t="s">
        <v>409</v>
      </c>
      <c r="D301" s="10" t="s">
        <v>877</v>
      </c>
      <c r="E301" s="10" t="s">
        <v>1086</v>
      </c>
      <c r="F301" s="10" t="s">
        <v>878</v>
      </c>
      <c r="G301" s="33">
        <v>65</v>
      </c>
      <c r="H301" s="55" t="s">
        <v>1113</v>
      </c>
    </row>
    <row r="302" spans="1:8" ht="12.75">
      <c r="A302" s="10" t="s">
        <v>159</v>
      </c>
      <c r="B302" s="10"/>
      <c r="C302" s="10" t="s">
        <v>411</v>
      </c>
      <c r="D302" s="10" t="s">
        <v>880</v>
      </c>
      <c r="E302" s="10" t="s">
        <v>1088</v>
      </c>
      <c r="F302" s="10" t="s">
        <v>881</v>
      </c>
      <c r="G302" s="33">
        <v>1</v>
      </c>
      <c r="H302" s="55" t="s">
        <v>1113</v>
      </c>
    </row>
    <row r="303" spans="1:8" ht="12.75">
      <c r="A303" s="10" t="s">
        <v>160</v>
      </c>
      <c r="B303" s="10"/>
      <c r="C303" s="10" t="s">
        <v>412</v>
      </c>
      <c r="D303" s="10" t="s">
        <v>882</v>
      </c>
      <c r="E303" s="10" t="s">
        <v>1088</v>
      </c>
      <c r="F303" s="10" t="s">
        <v>883</v>
      </c>
      <c r="G303" s="33">
        <v>2</v>
      </c>
      <c r="H303" s="55" t="s">
        <v>1113</v>
      </c>
    </row>
    <row r="304" spans="1:8" ht="12.75">
      <c r="A304" s="10" t="s">
        <v>161</v>
      </c>
      <c r="B304" s="10"/>
      <c r="C304" s="10" t="s">
        <v>413</v>
      </c>
      <c r="D304" s="10" t="s">
        <v>884</v>
      </c>
      <c r="E304" s="10" t="s">
        <v>1088</v>
      </c>
      <c r="F304" s="10" t="s">
        <v>885</v>
      </c>
      <c r="G304" s="33">
        <v>16</v>
      </c>
      <c r="H304" s="55" t="s">
        <v>1113</v>
      </c>
    </row>
    <row r="305" spans="1:8" ht="12.75">
      <c r="A305" s="10" t="s">
        <v>162</v>
      </c>
      <c r="B305" s="10"/>
      <c r="C305" s="10" t="s">
        <v>414</v>
      </c>
      <c r="D305" s="10" t="s">
        <v>886</v>
      </c>
      <c r="E305" s="10" t="s">
        <v>1088</v>
      </c>
      <c r="F305" s="10" t="s">
        <v>887</v>
      </c>
      <c r="G305" s="33">
        <v>2</v>
      </c>
      <c r="H305" s="55" t="s">
        <v>1113</v>
      </c>
    </row>
    <row r="306" spans="1:8" ht="12.75">
      <c r="A306" s="10" t="s">
        <v>163</v>
      </c>
      <c r="B306" s="10"/>
      <c r="C306" s="10" t="s">
        <v>415</v>
      </c>
      <c r="D306" s="10" t="s">
        <v>888</v>
      </c>
      <c r="E306" s="10" t="s">
        <v>1088</v>
      </c>
      <c r="F306" s="10" t="s">
        <v>7</v>
      </c>
      <c r="G306" s="33">
        <v>1</v>
      </c>
      <c r="H306" s="55" t="s">
        <v>1113</v>
      </c>
    </row>
    <row r="307" spans="1:8" ht="12.75">
      <c r="A307" s="10" t="s">
        <v>164</v>
      </c>
      <c r="B307" s="10"/>
      <c r="C307" s="10" t="s">
        <v>416</v>
      </c>
      <c r="D307" s="10" t="s">
        <v>889</v>
      </c>
      <c r="E307" s="10" t="s">
        <v>1091</v>
      </c>
      <c r="F307" s="10" t="s">
        <v>9</v>
      </c>
      <c r="G307" s="33">
        <v>3</v>
      </c>
      <c r="H307" s="55" t="s">
        <v>1113</v>
      </c>
    </row>
    <row r="308" spans="1:8" ht="12.75">
      <c r="A308" s="10" t="s">
        <v>165</v>
      </c>
      <c r="B308" s="10"/>
      <c r="C308" s="10" t="s">
        <v>417</v>
      </c>
      <c r="D308" s="10" t="s">
        <v>890</v>
      </c>
      <c r="E308" s="10" t="s">
        <v>1089</v>
      </c>
      <c r="G308" s="33">
        <v>10</v>
      </c>
      <c r="H308" s="55" t="s">
        <v>1115</v>
      </c>
    </row>
    <row r="309" spans="6:7" ht="12.75">
      <c r="F309" s="10" t="s">
        <v>891</v>
      </c>
      <c r="G309" s="33">
        <v>10</v>
      </c>
    </row>
    <row r="310" spans="1:7" ht="12.75">
      <c r="A310" s="10"/>
      <c r="B310" s="10"/>
      <c r="C310" s="10"/>
      <c r="D310" s="10"/>
      <c r="E310" s="10"/>
      <c r="F310" s="10" t="s">
        <v>892</v>
      </c>
      <c r="G310" s="33">
        <v>0</v>
      </c>
    </row>
    <row r="311" spans="1:7" ht="12.75">
      <c r="A311" s="10"/>
      <c r="B311" s="10"/>
      <c r="C311" s="10"/>
      <c r="D311" s="10"/>
      <c r="E311" s="10"/>
      <c r="F311" s="10" t="s">
        <v>893</v>
      </c>
      <c r="G311" s="33">
        <v>0</v>
      </c>
    </row>
    <row r="312" spans="1:8" ht="12.75">
      <c r="A312" s="10" t="s">
        <v>166</v>
      </c>
      <c r="B312" s="10"/>
      <c r="C312" s="10" t="s">
        <v>418</v>
      </c>
      <c r="D312" s="10" t="s">
        <v>894</v>
      </c>
      <c r="E312" s="10" t="s">
        <v>1088</v>
      </c>
      <c r="F312" s="10" t="s">
        <v>895</v>
      </c>
      <c r="G312" s="33">
        <v>1</v>
      </c>
      <c r="H312" s="55" t="s">
        <v>1115</v>
      </c>
    </row>
    <row r="313" spans="1:8" ht="12.75">
      <c r="A313" s="10" t="s">
        <v>167</v>
      </c>
      <c r="B313" s="10"/>
      <c r="C313" s="10" t="s">
        <v>419</v>
      </c>
      <c r="D313" s="10" t="s">
        <v>896</v>
      </c>
      <c r="E313" s="10" t="s">
        <v>1088</v>
      </c>
      <c r="F313" s="10" t="s">
        <v>897</v>
      </c>
      <c r="G313" s="33">
        <v>1</v>
      </c>
      <c r="H313" s="55" t="s">
        <v>1115</v>
      </c>
    </row>
    <row r="314" spans="1:8" ht="12.75">
      <c r="A314" s="10" t="s">
        <v>168</v>
      </c>
      <c r="B314" s="10"/>
      <c r="C314" s="10" t="s">
        <v>420</v>
      </c>
      <c r="D314" s="10" t="s">
        <v>898</v>
      </c>
      <c r="E314" s="10" t="s">
        <v>1088</v>
      </c>
      <c r="F314" s="10" t="s">
        <v>899</v>
      </c>
      <c r="G314" s="33">
        <v>1</v>
      </c>
      <c r="H314" s="55" t="s">
        <v>1115</v>
      </c>
    </row>
    <row r="315" spans="1:8" ht="12.75">
      <c r="A315" s="10" t="s">
        <v>169</v>
      </c>
      <c r="B315" s="10"/>
      <c r="C315" s="10" t="s">
        <v>421</v>
      </c>
      <c r="D315" s="10" t="s">
        <v>900</v>
      </c>
      <c r="E315" s="10" t="s">
        <v>1088</v>
      </c>
      <c r="F315" s="10" t="s">
        <v>901</v>
      </c>
      <c r="G315" s="33">
        <v>1</v>
      </c>
      <c r="H315" s="55" t="s">
        <v>1115</v>
      </c>
    </row>
    <row r="316" spans="1:8" ht="12.75">
      <c r="A316" s="10" t="s">
        <v>170</v>
      </c>
      <c r="B316" s="10"/>
      <c r="C316" s="10" t="s">
        <v>422</v>
      </c>
      <c r="D316" s="10" t="s">
        <v>902</v>
      </c>
      <c r="E316" s="10" t="s">
        <v>1085</v>
      </c>
      <c r="F316" s="10" t="s">
        <v>903</v>
      </c>
      <c r="G316" s="33">
        <v>0.168</v>
      </c>
      <c r="H316" s="55" t="s">
        <v>1115</v>
      </c>
    </row>
    <row r="317" spans="1:8" ht="12.75">
      <c r="A317" s="10" t="s">
        <v>171</v>
      </c>
      <c r="B317" s="10"/>
      <c r="C317" s="10" t="s">
        <v>424</v>
      </c>
      <c r="D317" s="10" t="s">
        <v>905</v>
      </c>
      <c r="E317" s="10" t="s">
        <v>1092</v>
      </c>
      <c r="F317" s="10" t="s">
        <v>906</v>
      </c>
      <c r="G317" s="33">
        <v>1843</v>
      </c>
      <c r="H317" s="55" t="s">
        <v>1113</v>
      </c>
    </row>
    <row r="318" spans="1:8" ht="12.75">
      <c r="A318" s="12" t="s">
        <v>172</v>
      </c>
      <c r="B318" s="12"/>
      <c r="C318" s="12" t="s">
        <v>425</v>
      </c>
      <c r="D318" s="12" t="s">
        <v>907</v>
      </c>
      <c r="E318" s="12" t="s">
        <v>1085</v>
      </c>
      <c r="G318" s="35">
        <v>0.26957</v>
      </c>
      <c r="H318" s="56" t="s">
        <v>1113</v>
      </c>
    </row>
    <row r="319" spans="6:7" ht="12.75">
      <c r="F319" s="12" t="s">
        <v>908</v>
      </c>
      <c r="G319" s="35">
        <v>0.2496</v>
      </c>
    </row>
    <row r="320" spans="1:7" ht="12.75">
      <c r="A320" s="12"/>
      <c r="B320" s="12"/>
      <c r="C320" s="12"/>
      <c r="D320" s="12"/>
      <c r="E320" s="12"/>
      <c r="F320" s="12" t="s">
        <v>909</v>
      </c>
      <c r="G320" s="35">
        <v>0.01997</v>
      </c>
    </row>
    <row r="321" spans="1:8" ht="12.75">
      <c r="A321" s="12" t="s">
        <v>173</v>
      </c>
      <c r="B321" s="12"/>
      <c r="C321" s="12" t="s">
        <v>426</v>
      </c>
      <c r="D321" s="12" t="s">
        <v>910</v>
      </c>
      <c r="E321" s="12" t="s">
        <v>1085</v>
      </c>
      <c r="G321" s="35">
        <v>0.19464</v>
      </c>
      <c r="H321" s="56" t="s">
        <v>1113</v>
      </c>
    </row>
    <row r="322" spans="6:7" ht="12.75">
      <c r="F322" s="12" t="s">
        <v>911</v>
      </c>
      <c r="G322" s="35">
        <v>0.18022</v>
      </c>
    </row>
    <row r="323" spans="1:7" ht="12.75">
      <c r="A323" s="12"/>
      <c r="B323" s="12"/>
      <c r="C323" s="12"/>
      <c r="D323" s="12"/>
      <c r="E323" s="12"/>
      <c r="F323" s="12" t="s">
        <v>912</v>
      </c>
      <c r="G323" s="35">
        <v>0.01442</v>
      </c>
    </row>
    <row r="324" spans="1:8" ht="12.75">
      <c r="A324" s="12" t="s">
        <v>174</v>
      </c>
      <c r="B324" s="12"/>
      <c r="C324" s="12" t="s">
        <v>427</v>
      </c>
      <c r="D324" s="12" t="s">
        <v>913</v>
      </c>
      <c r="E324" s="12" t="s">
        <v>1085</v>
      </c>
      <c r="G324" s="35">
        <v>0.41029</v>
      </c>
      <c r="H324" s="56" t="s">
        <v>1113</v>
      </c>
    </row>
    <row r="325" spans="6:7" ht="12.75">
      <c r="F325" s="12" t="s">
        <v>914</v>
      </c>
      <c r="G325" s="35">
        <v>0.3799</v>
      </c>
    </row>
    <row r="326" spans="1:7" ht="12.75">
      <c r="A326" s="12"/>
      <c r="B326" s="12"/>
      <c r="C326" s="12"/>
      <c r="D326" s="12"/>
      <c r="E326" s="12"/>
      <c r="F326" s="12" t="s">
        <v>915</v>
      </c>
      <c r="G326" s="35">
        <v>0.03039</v>
      </c>
    </row>
    <row r="327" spans="1:8" ht="12.75">
      <c r="A327" s="12" t="s">
        <v>175</v>
      </c>
      <c r="B327" s="12"/>
      <c r="C327" s="12" t="s">
        <v>428</v>
      </c>
      <c r="D327" s="12" t="s">
        <v>916</v>
      </c>
      <c r="E327" s="12" t="s">
        <v>1085</v>
      </c>
      <c r="G327" s="35">
        <v>0.97077</v>
      </c>
      <c r="H327" s="56" t="s">
        <v>1113</v>
      </c>
    </row>
    <row r="328" spans="6:7" ht="12.75">
      <c r="F328" s="12" t="s">
        <v>917</v>
      </c>
      <c r="G328" s="35">
        <v>0.89886</v>
      </c>
    </row>
    <row r="329" spans="1:7" ht="12.75">
      <c r="A329" s="12"/>
      <c r="B329" s="12"/>
      <c r="C329" s="12"/>
      <c r="D329" s="12"/>
      <c r="E329" s="12"/>
      <c r="F329" s="12" t="s">
        <v>918</v>
      </c>
      <c r="G329" s="35">
        <v>0.07191</v>
      </c>
    </row>
    <row r="330" spans="1:8" ht="12.75">
      <c r="A330" s="10" t="s">
        <v>176</v>
      </c>
      <c r="B330" s="10"/>
      <c r="C330" s="10" t="s">
        <v>429</v>
      </c>
      <c r="D330" s="10" t="s">
        <v>919</v>
      </c>
      <c r="E330" s="10" t="s">
        <v>1092</v>
      </c>
      <c r="G330" s="33">
        <v>3968</v>
      </c>
      <c r="H330" s="55" t="s">
        <v>1113</v>
      </c>
    </row>
    <row r="331" spans="6:7" ht="12.75">
      <c r="F331" s="10" t="s">
        <v>920</v>
      </c>
      <c r="G331" s="33">
        <v>3968</v>
      </c>
    </row>
    <row r="332" spans="1:7" ht="12.75">
      <c r="A332" s="10"/>
      <c r="B332" s="10"/>
      <c r="C332" s="10"/>
      <c r="D332" s="10"/>
      <c r="E332" s="10"/>
      <c r="F332" s="10" t="s">
        <v>921</v>
      </c>
      <c r="G332" s="33">
        <v>0</v>
      </c>
    </row>
    <row r="333" spans="1:8" ht="12.75">
      <c r="A333" s="12" t="s">
        <v>177</v>
      </c>
      <c r="B333" s="12"/>
      <c r="C333" s="12" t="s">
        <v>430</v>
      </c>
      <c r="D333" s="12" t="s">
        <v>922</v>
      </c>
      <c r="E333" s="12" t="s">
        <v>1085</v>
      </c>
      <c r="G333" s="35">
        <v>1.52468</v>
      </c>
      <c r="H333" s="56" t="s">
        <v>1113</v>
      </c>
    </row>
    <row r="334" spans="6:7" ht="12.75">
      <c r="F334" s="12" t="s">
        <v>923</v>
      </c>
      <c r="G334" s="35">
        <v>0.6325</v>
      </c>
    </row>
    <row r="335" spans="1:7" ht="12.75">
      <c r="A335" s="12"/>
      <c r="B335" s="12"/>
      <c r="C335" s="12"/>
      <c r="D335" s="12"/>
      <c r="E335" s="12"/>
      <c r="F335" s="12" t="s">
        <v>924</v>
      </c>
      <c r="G335" s="35">
        <v>0.77924</v>
      </c>
    </row>
    <row r="336" spans="1:7" ht="12.75">
      <c r="A336" s="12"/>
      <c r="B336" s="12"/>
      <c r="C336" s="12"/>
      <c r="D336" s="12"/>
      <c r="E336" s="12"/>
      <c r="F336" s="12" t="s">
        <v>925</v>
      </c>
      <c r="G336" s="35">
        <v>0.11294</v>
      </c>
    </row>
    <row r="337" spans="1:8" ht="12.75">
      <c r="A337" s="12" t="s">
        <v>178</v>
      </c>
      <c r="B337" s="12"/>
      <c r="C337" s="12" t="s">
        <v>431</v>
      </c>
      <c r="D337" s="12" t="s">
        <v>926</v>
      </c>
      <c r="E337" s="12" t="s">
        <v>1085</v>
      </c>
      <c r="G337" s="35">
        <v>0.72657</v>
      </c>
      <c r="H337" s="56" t="s">
        <v>1113</v>
      </c>
    </row>
    <row r="338" spans="6:7" ht="12.75">
      <c r="F338" s="12" t="s">
        <v>927</v>
      </c>
      <c r="G338" s="35">
        <v>0.67275</v>
      </c>
    </row>
    <row r="339" spans="1:7" ht="12.75">
      <c r="A339" s="12"/>
      <c r="B339" s="12"/>
      <c r="C339" s="12"/>
      <c r="D339" s="12"/>
      <c r="E339" s="12"/>
      <c r="F339" s="12" t="s">
        <v>928</v>
      </c>
      <c r="G339" s="35">
        <v>0.05382</v>
      </c>
    </row>
    <row r="340" spans="1:8" ht="12.75">
      <c r="A340" s="12" t="s">
        <v>179</v>
      </c>
      <c r="B340" s="12"/>
      <c r="C340" s="12" t="s">
        <v>432</v>
      </c>
      <c r="D340" s="12" t="s">
        <v>929</v>
      </c>
      <c r="E340" s="12" t="s">
        <v>1085</v>
      </c>
      <c r="G340" s="35">
        <v>0.92032</v>
      </c>
      <c r="H340" s="56" t="s">
        <v>1113</v>
      </c>
    </row>
    <row r="341" spans="6:7" ht="12.75">
      <c r="F341" s="12" t="s">
        <v>930</v>
      </c>
      <c r="G341" s="35">
        <v>0.85215</v>
      </c>
    </row>
    <row r="342" spans="1:7" ht="12.75">
      <c r="A342" s="12"/>
      <c r="B342" s="12"/>
      <c r="C342" s="12"/>
      <c r="D342" s="12"/>
      <c r="E342" s="12"/>
      <c r="F342" s="12" t="s">
        <v>931</v>
      </c>
      <c r="G342" s="35">
        <v>0.06817</v>
      </c>
    </row>
    <row r="343" spans="1:8" ht="12.75">
      <c r="A343" s="12" t="s">
        <v>180</v>
      </c>
      <c r="B343" s="12"/>
      <c r="C343" s="12" t="s">
        <v>433</v>
      </c>
      <c r="D343" s="12" t="s">
        <v>932</v>
      </c>
      <c r="E343" s="12" t="s">
        <v>1085</v>
      </c>
      <c r="G343" s="35">
        <v>0.2484</v>
      </c>
      <c r="H343" s="56" t="s">
        <v>1113</v>
      </c>
    </row>
    <row r="344" spans="6:7" ht="12.75">
      <c r="F344" s="12" t="s">
        <v>933</v>
      </c>
      <c r="G344" s="35">
        <v>0.23</v>
      </c>
    </row>
    <row r="345" spans="1:7" ht="12.75">
      <c r="A345" s="12"/>
      <c r="B345" s="12"/>
      <c r="C345" s="12"/>
      <c r="D345" s="12"/>
      <c r="E345" s="12"/>
      <c r="F345" s="12" t="s">
        <v>934</v>
      </c>
      <c r="G345" s="35">
        <v>0.0184</v>
      </c>
    </row>
    <row r="346" spans="1:8" ht="12.75">
      <c r="A346" s="12" t="s">
        <v>181</v>
      </c>
      <c r="B346" s="12"/>
      <c r="C346" s="12" t="s">
        <v>434</v>
      </c>
      <c r="D346" s="12" t="s">
        <v>935</v>
      </c>
      <c r="E346" s="12" t="s">
        <v>1085</v>
      </c>
      <c r="G346" s="35">
        <v>0.4139</v>
      </c>
      <c r="H346" s="56" t="s">
        <v>1113</v>
      </c>
    </row>
    <row r="347" spans="6:7" ht="12.75">
      <c r="F347" s="12" t="s">
        <v>936</v>
      </c>
      <c r="G347" s="35">
        <v>0.38324</v>
      </c>
    </row>
    <row r="348" spans="1:7" ht="12.75">
      <c r="A348" s="12"/>
      <c r="B348" s="12"/>
      <c r="C348" s="12"/>
      <c r="D348" s="12"/>
      <c r="E348" s="12"/>
      <c r="F348" s="12" t="s">
        <v>937</v>
      </c>
      <c r="G348" s="35">
        <v>0.03066</v>
      </c>
    </row>
    <row r="349" spans="1:8" ht="12.75">
      <c r="A349" s="12" t="s">
        <v>182</v>
      </c>
      <c r="B349" s="12"/>
      <c r="C349" s="12" t="s">
        <v>435</v>
      </c>
      <c r="D349" s="12" t="s">
        <v>938</v>
      </c>
      <c r="E349" s="12" t="s">
        <v>1085</v>
      </c>
      <c r="G349" s="35">
        <v>0.13789</v>
      </c>
      <c r="H349" s="56" t="s">
        <v>1113</v>
      </c>
    </row>
    <row r="350" spans="6:7" ht="12.75">
      <c r="F350" s="12" t="s">
        <v>939</v>
      </c>
      <c r="G350" s="35">
        <v>0.12768</v>
      </c>
    </row>
    <row r="351" spans="1:7" ht="12.75">
      <c r="A351" s="12"/>
      <c r="B351" s="12"/>
      <c r="C351" s="12"/>
      <c r="D351" s="12"/>
      <c r="E351" s="12"/>
      <c r="F351" s="12" t="s">
        <v>940</v>
      </c>
      <c r="G351" s="35">
        <v>0.01021</v>
      </c>
    </row>
    <row r="352" spans="1:8" ht="12.75">
      <c r="A352" s="10" t="s">
        <v>183</v>
      </c>
      <c r="B352" s="10"/>
      <c r="C352" s="10" t="s">
        <v>436</v>
      </c>
      <c r="D352" s="10" t="s">
        <v>941</v>
      </c>
      <c r="E352" s="10" t="s">
        <v>1088</v>
      </c>
      <c r="F352" s="10" t="s">
        <v>942</v>
      </c>
      <c r="G352" s="33">
        <v>8</v>
      </c>
      <c r="H352" s="55" t="s">
        <v>1115</v>
      </c>
    </row>
    <row r="353" spans="1:8" ht="12.75">
      <c r="A353" s="10" t="s">
        <v>184</v>
      </c>
      <c r="B353" s="10"/>
      <c r="C353" s="10" t="s">
        <v>437</v>
      </c>
      <c r="D353" s="10" t="s">
        <v>943</v>
      </c>
      <c r="E353" s="10" t="s">
        <v>1085</v>
      </c>
      <c r="F353" s="10" t="s">
        <v>944</v>
      </c>
      <c r="G353" s="33">
        <v>6.107</v>
      </c>
      <c r="H353" s="55" t="s">
        <v>1113</v>
      </c>
    </row>
    <row r="354" spans="1:8" ht="12.75">
      <c r="A354" s="10" t="s">
        <v>185</v>
      </c>
      <c r="B354" s="10"/>
      <c r="C354" s="10" t="s">
        <v>439</v>
      </c>
      <c r="D354" s="10" t="s">
        <v>946</v>
      </c>
      <c r="E354" s="10" t="s">
        <v>1086</v>
      </c>
      <c r="G354" s="33">
        <v>461.58</v>
      </c>
      <c r="H354" s="55" t="s">
        <v>1113</v>
      </c>
    </row>
    <row r="355" spans="6:7" ht="12.75">
      <c r="F355" s="10" t="s">
        <v>947</v>
      </c>
      <c r="G355" s="33">
        <v>269.98</v>
      </c>
    </row>
    <row r="356" spans="1:7" ht="12.75">
      <c r="A356" s="10"/>
      <c r="B356" s="10"/>
      <c r="C356" s="10"/>
      <c r="D356" s="10"/>
      <c r="E356" s="10"/>
      <c r="F356" s="10" t="s">
        <v>948</v>
      </c>
      <c r="G356" s="33">
        <v>117.3</v>
      </c>
    </row>
    <row r="357" spans="1:7" ht="12.75">
      <c r="A357" s="10"/>
      <c r="B357" s="10"/>
      <c r="C357" s="10"/>
      <c r="D357" s="10"/>
      <c r="E357" s="10"/>
      <c r="F357" s="10" t="s">
        <v>949</v>
      </c>
      <c r="G357" s="33">
        <v>74.3</v>
      </c>
    </row>
    <row r="358" spans="1:8" ht="12.75">
      <c r="A358" s="10" t="s">
        <v>186</v>
      </c>
      <c r="B358" s="10"/>
      <c r="C358" s="10" t="s">
        <v>440</v>
      </c>
      <c r="D358" s="10" t="s">
        <v>950</v>
      </c>
      <c r="E358" s="10" t="s">
        <v>1085</v>
      </c>
      <c r="F358" s="10" t="s">
        <v>951</v>
      </c>
      <c r="G358" s="33">
        <v>3.23</v>
      </c>
      <c r="H358" s="55" t="s">
        <v>1113</v>
      </c>
    </row>
    <row r="359" spans="1:8" ht="12.75">
      <c r="A359" s="10" t="s">
        <v>187</v>
      </c>
      <c r="B359" s="10"/>
      <c r="C359" s="10" t="s">
        <v>442</v>
      </c>
      <c r="D359" s="10" t="s">
        <v>953</v>
      </c>
      <c r="E359" s="10" t="s">
        <v>1086</v>
      </c>
      <c r="F359" s="10" t="s">
        <v>954</v>
      </c>
      <c r="G359" s="33">
        <v>128.2</v>
      </c>
      <c r="H359" s="55" t="s">
        <v>1113</v>
      </c>
    </row>
    <row r="360" spans="1:8" ht="12.75">
      <c r="A360" s="10" t="s">
        <v>188</v>
      </c>
      <c r="B360" s="10"/>
      <c r="C360" s="10" t="s">
        <v>444</v>
      </c>
      <c r="D360" s="10" t="s">
        <v>956</v>
      </c>
      <c r="E360" s="10" t="s">
        <v>1086</v>
      </c>
      <c r="F360" s="10" t="s">
        <v>957</v>
      </c>
      <c r="G360" s="33">
        <v>321</v>
      </c>
      <c r="H360" s="55" t="s">
        <v>1113</v>
      </c>
    </row>
    <row r="361" spans="1:8" ht="12.75">
      <c r="A361" s="10" t="s">
        <v>189</v>
      </c>
      <c r="B361" s="10"/>
      <c r="C361" s="10" t="s">
        <v>445</v>
      </c>
      <c r="D361" s="10" t="s">
        <v>958</v>
      </c>
      <c r="E361" s="10" t="s">
        <v>1085</v>
      </c>
      <c r="F361" s="10" t="s">
        <v>959</v>
      </c>
      <c r="G361" s="33">
        <v>5.887</v>
      </c>
      <c r="H361" s="55" t="s">
        <v>1113</v>
      </c>
    </row>
    <row r="362" spans="1:8" ht="12.75">
      <c r="A362" s="10" t="s">
        <v>190</v>
      </c>
      <c r="B362" s="10"/>
      <c r="C362" s="10" t="s">
        <v>447</v>
      </c>
      <c r="D362" s="10" t="s">
        <v>961</v>
      </c>
      <c r="E362" s="10" t="s">
        <v>1083</v>
      </c>
      <c r="F362" s="10" t="s">
        <v>841</v>
      </c>
      <c r="G362" s="33">
        <v>3.17</v>
      </c>
      <c r="H362" s="55" t="s">
        <v>1114</v>
      </c>
    </row>
    <row r="363" spans="1:8" ht="12.75">
      <c r="A363" s="10" t="s">
        <v>191</v>
      </c>
      <c r="B363" s="10"/>
      <c r="C363" s="10" t="s">
        <v>449</v>
      </c>
      <c r="D363" s="10" t="s">
        <v>963</v>
      </c>
      <c r="E363" s="10" t="s">
        <v>1086</v>
      </c>
      <c r="G363" s="33">
        <v>2735.212</v>
      </c>
      <c r="H363" s="55" t="s">
        <v>1113</v>
      </c>
    </row>
    <row r="364" spans="6:7" ht="12.75">
      <c r="F364" s="10" t="s">
        <v>964</v>
      </c>
      <c r="G364" s="33">
        <v>525.55</v>
      </c>
    </row>
    <row r="365" spans="1:7" ht="12.75">
      <c r="A365" s="10"/>
      <c r="B365" s="10"/>
      <c r="C365" s="10"/>
      <c r="D365" s="10"/>
      <c r="E365" s="10"/>
      <c r="F365" s="10" t="s">
        <v>965</v>
      </c>
      <c r="G365" s="33">
        <v>314.88</v>
      </c>
    </row>
    <row r="366" spans="1:7" ht="12.75">
      <c r="A366" s="10"/>
      <c r="B366" s="10"/>
      <c r="C366" s="10"/>
      <c r="D366" s="10"/>
      <c r="E366" s="10"/>
      <c r="F366" s="10" t="s">
        <v>966</v>
      </c>
      <c r="G366" s="33">
        <v>104.4</v>
      </c>
    </row>
    <row r="367" spans="1:7" ht="12.75">
      <c r="A367" s="10"/>
      <c r="B367" s="10"/>
      <c r="C367" s="10"/>
      <c r="D367" s="10"/>
      <c r="E367" s="10"/>
      <c r="F367" s="10" t="s">
        <v>967</v>
      </c>
      <c r="G367" s="33">
        <v>42.3</v>
      </c>
    </row>
    <row r="368" spans="1:7" ht="12.75">
      <c r="A368" s="10"/>
      <c r="B368" s="10"/>
      <c r="C368" s="10"/>
      <c r="D368" s="10"/>
      <c r="E368" s="10"/>
      <c r="F368" s="10" t="s">
        <v>968</v>
      </c>
      <c r="G368" s="33">
        <v>918</v>
      </c>
    </row>
    <row r="369" spans="1:7" ht="12.75">
      <c r="A369" s="10"/>
      <c r="B369" s="10"/>
      <c r="C369" s="10"/>
      <c r="D369" s="10"/>
      <c r="E369" s="10"/>
      <c r="F369" s="10" t="s">
        <v>969</v>
      </c>
      <c r="G369" s="33">
        <v>544.986</v>
      </c>
    </row>
    <row r="370" spans="1:7" ht="12.75">
      <c r="A370" s="10"/>
      <c r="B370" s="10"/>
      <c r="C370" s="10"/>
      <c r="D370" s="10"/>
      <c r="E370" s="10"/>
      <c r="F370" s="10" t="s">
        <v>970</v>
      </c>
      <c r="G370" s="33">
        <v>285.096</v>
      </c>
    </row>
    <row r="371" spans="1:8" ht="12.75">
      <c r="A371" s="10" t="s">
        <v>192</v>
      </c>
      <c r="B371" s="10"/>
      <c r="C371" s="10" t="s">
        <v>450</v>
      </c>
      <c r="D371" s="10" t="s">
        <v>971</v>
      </c>
      <c r="E371" s="10" t="s">
        <v>1086</v>
      </c>
      <c r="F371" s="10" t="s">
        <v>972</v>
      </c>
      <c r="G371" s="33">
        <v>2735.212</v>
      </c>
      <c r="H371" s="55" t="s">
        <v>1113</v>
      </c>
    </row>
    <row r="372" spans="1:8" ht="12.75">
      <c r="A372" s="10" t="s">
        <v>193</v>
      </c>
      <c r="B372" s="10"/>
      <c r="C372" s="10" t="s">
        <v>451</v>
      </c>
      <c r="D372" s="10" t="s">
        <v>973</v>
      </c>
      <c r="E372" s="10" t="s">
        <v>1086</v>
      </c>
      <c r="G372" s="33">
        <v>1335.24</v>
      </c>
      <c r="H372" s="55" t="s">
        <v>1115</v>
      </c>
    </row>
    <row r="373" spans="6:7" ht="12.75">
      <c r="F373" s="10" t="s">
        <v>974</v>
      </c>
      <c r="G373" s="33">
        <v>1183.66</v>
      </c>
    </row>
    <row r="374" spans="1:7" ht="12.75">
      <c r="A374" s="10"/>
      <c r="B374" s="10"/>
      <c r="C374" s="10"/>
      <c r="D374" s="10"/>
      <c r="E374" s="10"/>
      <c r="F374" s="10" t="s">
        <v>975</v>
      </c>
      <c r="G374" s="33">
        <v>151.58</v>
      </c>
    </row>
    <row r="375" spans="1:8" ht="12.75">
      <c r="A375" s="10" t="s">
        <v>194</v>
      </c>
      <c r="B375" s="10"/>
      <c r="C375" s="10" t="s">
        <v>453</v>
      </c>
      <c r="D375" s="10" t="s">
        <v>977</v>
      </c>
      <c r="E375" s="10" t="s">
        <v>1089</v>
      </c>
      <c r="F375" s="10" t="s">
        <v>978</v>
      </c>
      <c r="G375" s="33">
        <v>1</v>
      </c>
      <c r="H375" s="55" t="s">
        <v>1113</v>
      </c>
    </row>
    <row r="376" spans="1:8" ht="12.75">
      <c r="A376" s="10" t="s">
        <v>195</v>
      </c>
      <c r="B376" s="10"/>
      <c r="C376" s="10" t="s">
        <v>454</v>
      </c>
      <c r="D376" s="10" t="s">
        <v>980</v>
      </c>
      <c r="E376" s="10" t="s">
        <v>1086</v>
      </c>
      <c r="F376" s="10" t="s">
        <v>981</v>
      </c>
      <c r="G376" s="33">
        <v>54</v>
      </c>
      <c r="H376" s="55" t="s">
        <v>1113</v>
      </c>
    </row>
    <row r="377" spans="1:8" ht="12.75">
      <c r="A377" s="10" t="s">
        <v>196</v>
      </c>
      <c r="B377" s="10"/>
      <c r="C377" s="10" t="s">
        <v>455</v>
      </c>
      <c r="D377" s="10" t="s">
        <v>982</v>
      </c>
      <c r="E377" s="10" t="s">
        <v>1086</v>
      </c>
      <c r="F377" s="10" t="s">
        <v>983</v>
      </c>
      <c r="G377" s="33">
        <v>460.7</v>
      </c>
      <c r="H377" s="55" t="s">
        <v>1113</v>
      </c>
    </row>
    <row r="378" spans="1:8" ht="12.75">
      <c r="A378" s="10" t="s">
        <v>197</v>
      </c>
      <c r="B378" s="10"/>
      <c r="C378" s="10" t="s">
        <v>456</v>
      </c>
      <c r="D378" s="10" t="s">
        <v>984</v>
      </c>
      <c r="E378" s="10" t="s">
        <v>1089</v>
      </c>
      <c r="F378" s="10" t="s">
        <v>985</v>
      </c>
      <c r="G378" s="33">
        <v>1</v>
      </c>
      <c r="H378" s="55" t="s">
        <v>1113</v>
      </c>
    </row>
    <row r="379" spans="1:8" ht="12.75">
      <c r="A379" s="10" t="s">
        <v>198</v>
      </c>
      <c r="B379" s="10"/>
      <c r="C379" s="10" t="s">
        <v>457</v>
      </c>
      <c r="D379" s="10" t="s">
        <v>987</v>
      </c>
      <c r="E379" s="10" t="s">
        <v>1086</v>
      </c>
      <c r="F379" s="10" t="s">
        <v>988</v>
      </c>
      <c r="G379" s="33">
        <v>460.7</v>
      </c>
      <c r="H379" s="55" t="s">
        <v>1113</v>
      </c>
    </row>
    <row r="380" spans="1:8" ht="12.75">
      <c r="A380" s="10" t="s">
        <v>199</v>
      </c>
      <c r="B380" s="10"/>
      <c r="C380" s="10" t="s">
        <v>458</v>
      </c>
      <c r="D380" s="10" t="s">
        <v>989</v>
      </c>
      <c r="E380" s="10" t="s">
        <v>1089</v>
      </c>
      <c r="F380" s="10" t="s">
        <v>990</v>
      </c>
      <c r="G380" s="33">
        <v>1</v>
      </c>
      <c r="H380" s="55" t="s">
        <v>1114</v>
      </c>
    </row>
    <row r="381" spans="1:8" ht="12.75">
      <c r="A381" s="12" t="s">
        <v>200</v>
      </c>
      <c r="B381" s="12"/>
      <c r="C381" s="12" t="s">
        <v>459</v>
      </c>
      <c r="D381" s="12" t="s">
        <v>991</v>
      </c>
      <c r="E381" s="12" t="s">
        <v>1089</v>
      </c>
      <c r="F381" s="12" t="s">
        <v>7</v>
      </c>
      <c r="G381" s="35">
        <v>1</v>
      </c>
      <c r="H381" s="56" t="s">
        <v>1115</v>
      </c>
    </row>
    <row r="382" spans="1:8" ht="12.75">
      <c r="A382" s="10" t="s">
        <v>201</v>
      </c>
      <c r="B382" s="10"/>
      <c r="C382" s="10" t="s">
        <v>460</v>
      </c>
      <c r="D382" s="10" t="s">
        <v>993</v>
      </c>
      <c r="E382" s="10" t="s">
        <v>1083</v>
      </c>
      <c r="F382" s="10" t="s">
        <v>994</v>
      </c>
      <c r="G382" s="33">
        <v>5.12568</v>
      </c>
      <c r="H382" s="55" t="s">
        <v>1113</v>
      </c>
    </row>
    <row r="383" spans="1:8" ht="12.75">
      <c r="A383" s="10" t="s">
        <v>202</v>
      </c>
      <c r="B383" s="10"/>
      <c r="C383" s="10" t="s">
        <v>461</v>
      </c>
      <c r="D383" s="10" t="s">
        <v>995</v>
      </c>
      <c r="E383" s="10" t="s">
        <v>1083</v>
      </c>
      <c r="G383" s="33">
        <v>42.5925</v>
      </c>
      <c r="H383" s="55" t="s">
        <v>1113</v>
      </c>
    </row>
    <row r="384" spans="6:7" ht="12.75">
      <c r="F384" s="10" t="s">
        <v>996</v>
      </c>
      <c r="G384" s="33">
        <v>0</v>
      </c>
    </row>
    <row r="385" spans="1:7" ht="12.75">
      <c r="A385" s="10"/>
      <c r="B385" s="10"/>
      <c r="C385" s="10"/>
      <c r="D385" s="10"/>
      <c r="E385" s="10"/>
      <c r="F385" s="10" t="s">
        <v>997</v>
      </c>
      <c r="G385" s="33">
        <v>19.23</v>
      </c>
    </row>
    <row r="386" spans="1:7" ht="12.75">
      <c r="A386" s="10"/>
      <c r="B386" s="10"/>
      <c r="C386" s="10"/>
      <c r="D386" s="10"/>
      <c r="E386" s="10"/>
      <c r="F386" s="10" t="s">
        <v>998</v>
      </c>
      <c r="G386" s="33">
        <v>23.3625</v>
      </c>
    </row>
    <row r="387" spans="1:8" ht="12.75">
      <c r="A387" s="10" t="s">
        <v>203</v>
      </c>
      <c r="B387" s="10"/>
      <c r="C387" s="10" t="s">
        <v>462</v>
      </c>
      <c r="D387" s="10" t="s">
        <v>999</v>
      </c>
      <c r="E387" s="10" t="s">
        <v>1083</v>
      </c>
      <c r="F387" s="10" t="s">
        <v>1000</v>
      </c>
      <c r="G387" s="33">
        <v>11.961</v>
      </c>
      <c r="H387" s="55" t="s">
        <v>1113</v>
      </c>
    </row>
    <row r="388" spans="1:8" ht="12.75">
      <c r="A388" s="10" t="s">
        <v>204</v>
      </c>
      <c r="B388" s="10"/>
      <c r="C388" s="10" t="s">
        <v>463</v>
      </c>
      <c r="D388" s="10" t="s">
        <v>1001</v>
      </c>
      <c r="E388" s="10" t="s">
        <v>1086</v>
      </c>
      <c r="F388" s="10" t="s">
        <v>1002</v>
      </c>
      <c r="G388" s="33">
        <v>53.6185</v>
      </c>
      <c r="H388" s="55" t="s">
        <v>1113</v>
      </c>
    </row>
    <row r="389" spans="1:8" ht="12.75">
      <c r="A389" s="10" t="s">
        <v>205</v>
      </c>
      <c r="B389" s="10"/>
      <c r="C389" s="10" t="s">
        <v>464</v>
      </c>
      <c r="D389" s="10" t="s">
        <v>1003</v>
      </c>
      <c r="E389" s="10" t="s">
        <v>1083</v>
      </c>
      <c r="G389" s="33">
        <v>106.36693</v>
      </c>
      <c r="H389" s="55" t="s">
        <v>1113</v>
      </c>
    </row>
    <row r="390" spans="6:7" ht="12.75">
      <c r="F390" s="10" t="s">
        <v>1004</v>
      </c>
      <c r="G390" s="33">
        <v>17.73293</v>
      </c>
    </row>
    <row r="391" spans="1:7" ht="12.75">
      <c r="A391" s="10"/>
      <c r="B391" s="10"/>
      <c r="C391" s="10"/>
      <c r="D391" s="10"/>
      <c r="E391" s="10"/>
      <c r="F391" s="10" t="s">
        <v>1005</v>
      </c>
      <c r="G391" s="33">
        <v>15.385</v>
      </c>
    </row>
    <row r="392" spans="1:7" ht="12.75">
      <c r="A392" s="10"/>
      <c r="B392" s="10"/>
      <c r="C392" s="10"/>
      <c r="D392" s="10"/>
      <c r="E392" s="10"/>
      <c r="F392" s="10" t="s">
        <v>1006</v>
      </c>
      <c r="G392" s="33">
        <v>13.725</v>
      </c>
    </row>
    <row r="393" spans="1:7" ht="12.75">
      <c r="A393" s="10"/>
      <c r="B393" s="10"/>
      <c r="C393" s="10"/>
      <c r="D393" s="10"/>
      <c r="E393" s="10"/>
      <c r="F393" s="10" t="s">
        <v>1007</v>
      </c>
      <c r="G393" s="33">
        <v>6.8848</v>
      </c>
    </row>
    <row r="394" spans="1:7" ht="12.75">
      <c r="A394" s="10"/>
      <c r="B394" s="10"/>
      <c r="C394" s="10"/>
      <c r="D394" s="10"/>
      <c r="E394" s="10"/>
      <c r="F394" s="10" t="s">
        <v>1008</v>
      </c>
      <c r="G394" s="33">
        <v>6.448</v>
      </c>
    </row>
    <row r="395" spans="1:7" ht="12.75">
      <c r="A395" s="10"/>
      <c r="B395" s="10"/>
      <c r="C395" s="10"/>
      <c r="D395" s="10"/>
      <c r="E395" s="10"/>
      <c r="F395" s="10" t="s">
        <v>1009</v>
      </c>
      <c r="G395" s="33">
        <v>6.6352</v>
      </c>
    </row>
    <row r="396" spans="1:7" ht="12.75">
      <c r="A396" s="10"/>
      <c r="B396" s="10"/>
      <c r="C396" s="10"/>
      <c r="D396" s="10"/>
      <c r="E396" s="10"/>
      <c r="F396" s="10" t="s">
        <v>1010</v>
      </c>
      <c r="G396" s="33">
        <v>13.1385</v>
      </c>
    </row>
    <row r="397" spans="1:7" ht="12.75">
      <c r="A397" s="10"/>
      <c r="B397" s="10"/>
      <c r="C397" s="10"/>
      <c r="D397" s="10"/>
      <c r="E397" s="10"/>
      <c r="F397" s="10" t="s">
        <v>1011</v>
      </c>
      <c r="G397" s="33">
        <v>5.814</v>
      </c>
    </row>
    <row r="398" spans="1:7" ht="12.75">
      <c r="A398" s="10"/>
      <c r="B398" s="10"/>
      <c r="C398" s="10"/>
      <c r="D398" s="10"/>
      <c r="E398" s="10"/>
      <c r="F398" s="10" t="s">
        <v>1012</v>
      </c>
      <c r="G398" s="33">
        <v>5.814</v>
      </c>
    </row>
    <row r="399" spans="1:7" ht="12.75">
      <c r="A399" s="10"/>
      <c r="B399" s="10"/>
      <c r="C399" s="10"/>
      <c r="D399" s="10"/>
      <c r="E399" s="10"/>
      <c r="F399" s="10" t="s">
        <v>1013</v>
      </c>
      <c r="G399" s="33">
        <v>1.5</v>
      </c>
    </row>
    <row r="400" spans="1:7" ht="12.75">
      <c r="A400" s="10"/>
      <c r="B400" s="10"/>
      <c r="C400" s="10"/>
      <c r="D400" s="10"/>
      <c r="E400" s="10"/>
      <c r="F400" s="10" t="s">
        <v>1014</v>
      </c>
      <c r="G400" s="33">
        <v>1.5</v>
      </c>
    </row>
    <row r="401" spans="1:7" ht="12.75">
      <c r="A401" s="10"/>
      <c r="B401" s="10"/>
      <c r="C401" s="10"/>
      <c r="D401" s="10"/>
      <c r="E401" s="10"/>
      <c r="F401" s="10" t="s">
        <v>1015</v>
      </c>
      <c r="G401" s="33">
        <v>2.4</v>
      </c>
    </row>
    <row r="402" spans="1:7" ht="12.75">
      <c r="A402" s="10"/>
      <c r="B402" s="10"/>
      <c r="C402" s="10"/>
      <c r="D402" s="10"/>
      <c r="E402" s="10"/>
      <c r="F402" s="10" t="s">
        <v>1016</v>
      </c>
      <c r="G402" s="33">
        <v>0.9</v>
      </c>
    </row>
    <row r="403" spans="1:7" ht="12.75">
      <c r="A403" s="10"/>
      <c r="B403" s="10"/>
      <c r="C403" s="10"/>
      <c r="D403" s="10"/>
      <c r="E403" s="10"/>
      <c r="F403" s="10" t="s">
        <v>1017</v>
      </c>
      <c r="G403" s="33">
        <v>1.95</v>
      </c>
    </row>
    <row r="404" spans="1:7" ht="12.75">
      <c r="A404" s="10"/>
      <c r="B404" s="10"/>
      <c r="C404" s="10"/>
      <c r="D404" s="10"/>
      <c r="E404" s="10"/>
      <c r="F404" s="10" t="s">
        <v>1018</v>
      </c>
      <c r="G404" s="33">
        <v>1.587</v>
      </c>
    </row>
    <row r="405" spans="1:7" ht="12.75">
      <c r="A405" s="10"/>
      <c r="B405" s="10"/>
      <c r="C405" s="10"/>
      <c r="D405" s="10"/>
      <c r="E405" s="10"/>
      <c r="F405" s="10" t="s">
        <v>1019</v>
      </c>
      <c r="G405" s="33">
        <v>0.8325</v>
      </c>
    </row>
    <row r="406" spans="1:7" ht="12.75">
      <c r="A406" s="10"/>
      <c r="B406" s="10"/>
      <c r="C406" s="10"/>
      <c r="D406" s="10"/>
      <c r="E406" s="10"/>
      <c r="F406" s="10" t="s">
        <v>1020</v>
      </c>
      <c r="G406" s="33">
        <v>4.12</v>
      </c>
    </row>
    <row r="407" spans="1:8" ht="12.75">
      <c r="A407" s="10" t="s">
        <v>206</v>
      </c>
      <c r="B407" s="10"/>
      <c r="C407" s="10" t="s">
        <v>465</v>
      </c>
      <c r="D407" s="10" t="s">
        <v>1021</v>
      </c>
      <c r="E407" s="10" t="s">
        <v>1086</v>
      </c>
      <c r="G407" s="33">
        <v>68.043</v>
      </c>
      <c r="H407" s="55" t="s">
        <v>1113</v>
      </c>
    </row>
    <row r="408" spans="6:7" ht="12.75">
      <c r="F408" s="10" t="s">
        <v>1022</v>
      </c>
      <c r="G408" s="33">
        <v>11.115</v>
      </c>
    </row>
    <row r="409" spans="1:7" ht="12.75">
      <c r="A409" s="10"/>
      <c r="B409" s="10"/>
      <c r="C409" s="10"/>
      <c r="D409" s="10"/>
      <c r="E409" s="10"/>
      <c r="F409" s="10" t="s">
        <v>1023</v>
      </c>
      <c r="G409" s="33">
        <v>15.552</v>
      </c>
    </row>
    <row r="410" spans="1:7" ht="12.75">
      <c r="A410" s="10"/>
      <c r="B410" s="10"/>
      <c r="C410" s="10"/>
      <c r="D410" s="10"/>
      <c r="E410" s="10"/>
      <c r="F410" s="10" t="s">
        <v>1024</v>
      </c>
      <c r="G410" s="33">
        <v>11.4912</v>
      </c>
    </row>
    <row r="411" spans="1:7" ht="12.75">
      <c r="A411" s="10"/>
      <c r="B411" s="10"/>
      <c r="C411" s="10"/>
      <c r="D411" s="10"/>
      <c r="E411" s="10"/>
      <c r="F411" s="10" t="s">
        <v>1025</v>
      </c>
      <c r="G411" s="33">
        <v>15.1688</v>
      </c>
    </row>
    <row r="412" spans="1:7" ht="12.75">
      <c r="A412" s="10"/>
      <c r="B412" s="10"/>
      <c r="C412" s="10"/>
      <c r="D412" s="10"/>
      <c r="E412" s="10"/>
      <c r="F412" s="10" t="s">
        <v>1026</v>
      </c>
      <c r="G412" s="33">
        <v>14.716</v>
      </c>
    </row>
    <row r="413" spans="1:8" ht="12.75">
      <c r="A413" s="10" t="s">
        <v>207</v>
      </c>
      <c r="B413" s="10"/>
      <c r="C413" s="10" t="s">
        <v>466</v>
      </c>
      <c r="D413" s="10" t="s">
        <v>1027</v>
      </c>
      <c r="E413" s="10" t="s">
        <v>1086</v>
      </c>
      <c r="F413" s="10" t="s">
        <v>1028</v>
      </c>
      <c r="G413" s="33">
        <v>23.2626</v>
      </c>
      <c r="H413" s="55" t="s">
        <v>1113</v>
      </c>
    </row>
    <row r="414" spans="1:8" ht="12.75">
      <c r="A414" s="10" t="s">
        <v>208</v>
      </c>
      <c r="B414" s="10"/>
      <c r="C414" s="10" t="s">
        <v>467</v>
      </c>
      <c r="D414" s="10" t="s">
        <v>1029</v>
      </c>
      <c r="E414" s="10" t="s">
        <v>1086</v>
      </c>
      <c r="F414" s="10" t="s">
        <v>1030</v>
      </c>
      <c r="G414" s="33">
        <v>5.92</v>
      </c>
      <c r="H414" s="55" t="s">
        <v>1113</v>
      </c>
    </row>
    <row r="415" spans="1:8" ht="12.75">
      <c r="A415" s="10" t="s">
        <v>209</v>
      </c>
      <c r="B415" s="10"/>
      <c r="C415" s="10" t="s">
        <v>468</v>
      </c>
      <c r="D415" s="10" t="s">
        <v>1031</v>
      </c>
      <c r="E415" s="10" t="s">
        <v>1088</v>
      </c>
      <c r="F415" s="10" t="s">
        <v>27</v>
      </c>
      <c r="G415" s="33">
        <v>21</v>
      </c>
      <c r="H415" s="55" t="s">
        <v>1113</v>
      </c>
    </row>
    <row r="416" spans="1:8" ht="12.75">
      <c r="A416" s="10" t="s">
        <v>210</v>
      </c>
      <c r="B416" s="10"/>
      <c r="C416" s="10" t="s">
        <v>469</v>
      </c>
      <c r="D416" s="10" t="s">
        <v>1032</v>
      </c>
      <c r="E416" s="10" t="s">
        <v>1086</v>
      </c>
      <c r="F416" s="10" t="s">
        <v>1033</v>
      </c>
      <c r="G416" s="33">
        <v>34.8</v>
      </c>
      <c r="H416" s="55" t="s">
        <v>1113</v>
      </c>
    </row>
    <row r="417" spans="1:8" ht="12.75">
      <c r="A417" s="10" t="s">
        <v>211</v>
      </c>
      <c r="B417" s="10"/>
      <c r="C417" s="10" t="s">
        <v>470</v>
      </c>
      <c r="D417" s="10" t="s">
        <v>1034</v>
      </c>
      <c r="E417" s="10" t="s">
        <v>1086</v>
      </c>
      <c r="F417" s="10" t="s">
        <v>1035</v>
      </c>
      <c r="G417" s="33">
        <v>2.8</v>
      </c>
      <c r="H417" s="55" t="s">
        <v>1113</v>
      </c>
    </row>
    <row r="418" spans="1:8" ht="12.75">
      <c r="A418" s="10" t="s">
        <v>212</v>
      </c>
      <c r="B418" s="10"/>
      <c r="C418" s="10" t="s">
        <v>464</v>
      </c>
      <c r="D418" s="10" t="s">
        <v>1003</v>
      </c>
      <c r="E418" s="10" t="s">
        <v>1083</v>
      </c>
      <c r="G418" s="33">
        <v>8.4</v>
      </c>
      <c r="H418" s="55" t="s">
        <v>1115</v>
      </c>
    </row>
    <row r="419" spans="6:7" ht="12.75">
      <c r="F419" s="10" t="s">
        <v>1036</v>
      </c>
      <c r="G419" s="33">
        <v>8.4</v>
      </c>
    </row>
    <row r="420" spans="1:7" ht="12.75">
      <c r="A420" s="10"/>
      <c r="B420" s="10"/>
      <c r="C420" s="10"/>
      <c r="D420" s="10"/>
      <c r="E420" s="10"/>
      <c r="F420" s="10" t="s">
        <v>1037</v>
      </c>
      <c r="G420" s="33">
        <v>0</v>
      </c>
    </row>
    <row r="421" spans="1:8" ht="12.75">
      <c r="A421" s="10" t="s">
        <v>213</v>
      </c>
      <c r="B421" s="10"/>
      <c r="C421" s="10" t="s">
        <v>471</v>
      </c>
      <c r="D421" s="10" t="s">
        <v>1039</v>
      </c>
      <c r="E421" s="10" t="s">
        <v>1084</v>
      </c>
      <c r="G421" s="33">
        <v>46.95</v>
      </c>
      <c r="H421" s="55" t="s">
        <v>1113</v>
      </c>
    </row>
    <row r="422" spans="6:7" ht="12.75">
      <c r="F422" s="10" t="s">
        <v>1040</v>
      </c>
      <c r="G422" s="33">
        <v>11.4</v>
      </c>
    </row>
    <row r="423" spans="1:7" ht="12.75">
      <c r="A423" s="10"/>
      <c r="B423" s="10"/>
      <c r="C423" s="10"/>
      <c r="D423" s="10"/>
      <c r="E423" s="10"/>
      <c r="F423" s="10" t="s">
        <v>1041</v>
      </c>
      <c r="G423" s="33">
        <v>10.8</v>
      </c>
    </row>
    <row r="424" spans="1:7" ht="12.75">
      <c r="A424" s="10"/>
      <c r="B424" s="10"/>
      <c r="C424" s="10"/>
      <c r="D424" s="10"/>
      <c r="E424" s="10"/>
      <c r="F424" s="10" t="s">
        <v>1042</v>
      </c>
      <c r="G424" s="33">
        <v>7.2</v>
      </c>
    </row>
    <row r="425" spans="1:7" ht="12.75">
      <c r="A425" s="10"/>
      <c r="B425" s="10"/>
      <c r="C425" s="10"/>
      <c r="D425" s="10"/>
      <c r="E425" s="10"/>
      <c r="F425" s="10" t="s">
        <v>1043</v>
      </c>
      <c r="G425" s="33">
        <v>17.55</v>
      </c>
    </row>
    <row r="426" spans="1:8" ht="12.75">
      <c r="A426" s="10" t="s">
        <v>214</v>
      </c>
      <c r="B426" s="10"/>
      <c r="C426" s="10" t="s">
        <v>472</v>
      </c>
      <c r="D426" s="10" t="s">
        <v>1044</v>
      </c>
      <c r="E426" s="10" t="s">
        <v>1086</v>
      </c>
      <c r="F426" s="10" t="s">
        <v>1045</v>
      </c>
      <c r="G426" s="33">
        <v>1183.66</v>
      </c>
      <c r="H426" s="55" t="s">
        <v>1113</v>
      </c>
    </row>
    <row r="427" spans="1:8" ht="12.75">
      <c r="A427" s="10" t="s">
        <v>215</v>
      </c>
      <c r="B427" s="10"/>
      <c r="C427" s="10" t="s">
        <v>473</v>
      </c>
      <c r="D427" s="10" t="s">
        <v>1046</v>
      </c>
      <c r="E427" s="10" t="s">
        <v>1088</v>
      </c>
      <c r="F427" s="10" t="s">
        <v>1047</v>
      </c>
      <c r="G427" s="33">
        <v>2</v>
      </c>
      <c r="H427" s="55" t="s">
        <v>1115</v>
      </c>
    </row>
    <row r="428" spans="1:8" ht="12.75">
      <c r="A428" s="10" t="s">
        <v>216</v>
      </c>
      <c r="B428" s="10"/>
      <c r="C428" s="10" t="s">
        <v>475</v>
      </c>
      <c r="D428" s="10" t="s">
        <v>1049</v>
      </c>
      <c r="E428" s="10" t="s">
        <v>1085</v>
      </c>
      <c r="F428" s="10" t="s">
        <v>1050</v>
      </c>
      <c r="G428" s="33">
        <v>961.723</v>
      </c>
      <c r="H428" s="55" t="s">
        <v>1113</v>
      </c>
    </row>
    <row r="429" spans="1:8" ht="12.75">
      <c r="A429" s="10" t="s">
        <v>217</v>
      </c>
      <c r="B429" s="10"/>
      <c r="C429" s="10" t="s">
        <v>477</v>
      </c>
      <c r="D429" s="10" t="s">
        <v>1052</v>
      </c>
      <c r="E429" s="10" t="s">
        <v>1089</v>
      </c>
      <c r="F429" s="10" t="s">
        <v>7</v>
      </c>
      <c r="G429" s="33">
        <v>1</v>
      </c>
      <c r="H429" s="55" t="s">
        <v>1113</v>
      </c>
    </row>
    <row r="430" spans="1:8" ht="12.75">
      <c r="A430" s="10" t="s">
        <v>218</v>
      </c>
      <c r="B430" s="10"/>
      <c r="C430" s="10" t="s">
        <v>478</v>
      </c>
      <c r="D430" s="10" t="s">
        <v>1053</v>
      </c>
      <c r="E430" s="10" t="s">
        <v>1087</v>
      </c>
      <c r="F430" s="10" t="s">
        <v>1054</v>
      </c>
      <c r="G430" s="33">
        <v>1</v>
      </c>
      <c r="H430" s="55" t="s">
        <v>1115</v>
      </c>
    </row>
    <row r="431" spans="1:8" ht="12.75">
      <c r="A431" s="10" t="s">
        <v>219</v>
      </c>
      <c r="B431" s="10"/>
      <c r="C431" s="10" t="s">
        <v>480</v>
      </c>
      <c r="D431" s="10" t="s">
        <v>1056</v>
      </c>
      <c r="E431" s="10" t="s">
        <v>1088</v>
      </c>
      <c r="G431" s="33">
        <v>1</v>
      </c>
      <c r="H431" s="55" t="s">
        <v>1113</v>
      </c>
    </row>
    <row r="432" spans="6:7" ht="12.75">
      <c r="F432" s="10" t="s">
        <v>1057</v>
      </c>
      <c r="G432" s="33">
        <v>1</v>
      </c>
    </row>
    <row r="433" spans="1:8" ht="12.75">
      <c r="A433" s="10" t="s">
        <v>220</v>
      </c>
      <c r="B433" s="10"/>
      <c r="C433" s="10"/>
      <c r="D433" s="10"/>
      <c r="E433" s="10"/>
      <c r="G433" s="33">
        <v>0</v>
      </c>
      <c r="H433" s="55"/>
    </row>
    <row r="434" spans="6:7" ht="12.75">
      <c r="F434" s="10" t="s">
        <v>1058</v>
      </c>
      <c r="G434" s="33">
        <v>0</v>
      </c>
    </row>
    <row r="435" spans="1:7" ht="12.75">
      <c r="A435" s="10"/>
      <c r="B435" s="10"/>
      <c r="C435" s="10"/>
      <c r="D435" s="10"/>
      <c r="E435" s="10"/>
      <c r="F435" s="10" t="s">
        <v>1059</v>
      </c>
      <c r="G435" s="33">
        <v>0</v>
      </c>
    </row>
    <row r="436" spans="1:8" ht="12.75">
      <c r="A436" s="10" t="s">
        <v>221</v>
      </c>
      <c r="B436" s="10"/>
      <c r="C436" s="10" t="s">
        <v>481</v>
      </c>
      <c r="D436" s="10" t="s">
        <v>1060</v>
      </c>
      <c r="E436" s="10" t="s">
        <v>1089</v>
      </c>
      <c r="F436" s="10" t="s">
        <v>7</v>
      </c>
      <c r="G436" s="33">
        <v>1</v>
      </c>
      <c r="H436" s="55" t="s">
        <v>1113</v>
      </c>
    </row>
    <row r="437" spans="1:8" ht="12.75">
      <c r="A437" s="10" t="s">
        <v>222</v>
      </c>
      <c r="B437" s="10"/>
      <c r="C437" s="10" t="s">
        <v>483</v>
      </c>
      <c r="D437" s="10" t="s">
        <v>1062</v>
      </c>
      <c r="E437" s="10" t="s">
        <v>1084</v>
      </c>
      <c r="F437" s="10" t="s">
        <v>1063</v>
      </c>
      <c r="G437" s="33">
        <v>352.22</v>
      </c>
      <c r="H437" s="55" t="s">
        <v>1113</v>
      </c>
    </row>
    <row r="438" spans="1:8" ht="12.75">
      <c r="A438" s="10" t="s">
        <v>223</v>
      </c>
      <c r="B438" s="10"/>
      <c r="C438" s="10" t="s">
        <v>484</v>
      </c>
      <c r="D438" s="10" t="s">
        <v>1064</v>
      </c>
      <c r="E438" s="10" t="s">
        <v>1084</v>
      </c>
      <c r="F438" s="10" t="s">
        <v>1065</v>
      </c>
      <c r="G438" s="33">
        <v>352.22</v>
      </c>
      <c r="H438" s="55" t="s">
        <v>1113</v>
      </c>
    </row>
    <row r="439" spans="1:8" ht="12.75">
      <c r="A439" s="10" t="s">
        <v>224</v>
      </c>
      <c r="B439" s="10"/>
      <c r="C439" s="10" t="s">
        <v>486</v>
      </c>
      <c r="D439" s="10" t="s">
        <v>1067</v>
      </c>
      <c r="E439" s="10" t="s">
        <v>1085</v>
      </c>
      <c r="G439" s="33">
        <v>435.18</v>
      </c>
      <c r="H439" s="55" t="s">
        <v>1113</v>
      </c>
    </row>
    <row r="440" spans="6:7" ht="12.75">
      <c r="F440" s="10" t="s">
        <v>1068</v>
      </c>
      <c r="G440" s="33">
        <v>430.825</v>
      </c>
    </row>
    <row r="441" spans="1:7" ht="12.75">
      <c r="A441" s="10"/>
      <c r="B441" s="10"/>
      <c r="C441" s="10"/>
      <c r="D441" s="10"/>
      <c r="E441" s="10"/>
      <c r="F441" s="10" t="s">
        <v>1069</v>
      </c>
      <c r="G441" s="33">
        <v>4.355</v>
      </c>
    </row>
    <row r="442" spans="1:8" ht="12.75">
      <c r="A442" s="10" t="s">
        <v>225</v>
      </c>
      <c r="B442" s="10"/>
      <c r="C442" s="10" t="s">
        <v>487</v>
      </c>
      <c r="D442" s="10" t="s">
        <v>1070</v>
      </c>
      <c r="E442" s="10" t="s">
        <v>1085</v>
      </c>
      <c r="F442" s="10" t="s">
        <v>1071</v>
      </c>
      <c r="G442" s="33">
        <v>435.18</v>
      </c>
      <c r="H442" s="55" t="s">
        <v>1113</v>
      </c>
    </row>
    <row r="443" spans="1:8" ht="12.75">
      <c r="A443" s="10" t="s">
        <v>226</v>
      </c>
      <c r="B443" s="10"/>
      <c r="C443" s="10" t="s">
        <v>488</v>
      </c>
      <c r="D443" s="10" t="s">
        <v>1072</v>
      </c>
      <c r="E443" s="10" t="s">
        <v>1085</v>
      </c>
      <c r="F443" s="10" t="s">
        <v>1071</v>
      </c>
      <c r="G443" s="33">
        <v>435.18</v>
      </c>
      <c r="H443" s="55" t="s">
        <v>1113</v>
      </c>
    </row>
    <row r="444" spans="1:8" ht="12.75">
      <c r="A444" s="10" t="s">
        <v>227</v>
      </c>
      <c r="B444" s="10"/>
      <c r="C444" s="10" t="s">
        <v>489</v>
      </c>
      <c r="D444" s="10" t="s">
        <v>1073</v>
      </c>
      <c r="E444" s="10" t="s">
        <v>1085</v>
      </c>
      <c r="F444" s="10" t="s">
        <v>1071</v>
      </c>
      <c r="G444" s="33">
        <v>435.18</v>
      </c>
      <c r="H444" s="55" t="s">
        <v>1113</v>
      </c>
    </row>
    <row r="445" spans="1:8" ht="12.75">
      <c r="A445" s="10" t="s">
        <v>228</v>
      </c>
      <c r="B445" s="10"/>
      <c r="C445" s="10" t="s">
        <v>490</v>
      </c>
      <c r="D445" s="10" t="s">
        <v>1074</v>
      </c>
      <c r="E445" s="10" t="s">
        <v>1085</v>
      </c>
      <c r="F445" s="10" t="s">
        <v>1075</v>
      </c>
      <c r="G445" s="33">
        <v>15671.448</v>
      </c>
      <c r="H445" s="55" t="s">
        <v>1113</v>
      </c>
    </row>
    <row r="446" spans="1:8" ht="12.75">
      <c r="A446" s="10" t="s">
        <v>229</v>
      </c>
      <c r="B446" s="10"/>
      <c r="C446" s="10" t="s">
        <v>491</v>
      </c>
      <c r="D446" s="10" t="s">
        <v>1076</v>
      </c>
      <c r="E446" s="10" t="s">
        <v>1085</v>
      </c>
      <c r="F446" s="10" t="s">
        <v>1071</v>
      </c>
      <c r="G446" s="33">
        <v>435.18</v>
      </c>
      <c r="H446" s="55" t="s">
        <v>1113</v>
      </c>
    </row>
    <row r="447" spans="1:8" ht="12.75">
      <c r="A447" s="10" t="s">
        <v>230</v>
      </c>
      <c r="B447" s="10"/>
      <c r="C447" s="10" t="s">
        <v>492</v>
      </c>
      <c r="D447" s="10" t="s">
        <v>1077</v>
      </c>
      <c r="E447" s="10" t="s">
        <v>1085</v>
      </c>
      <c r="F447" s="10" t="s">
        <v>1071</v>
      </c>
      <c r="G447" s="33">
        <v>435.18</v>
      </c>
      <c r="H447" s="55" t="s">
        <v>1113</v>
      </c>
    </row>
    <row r="449" ht="11.25" customHeight="1">
      <c r="A449" s="15" t="s">
        <v>238</v>
      </c>
    </row>
    <row r="450" spans="1:7" ht="12.75">
      <c r="A450" s="16"/>
      <c r="B450" s="19"/>
      <c r="C450" s="19"/>
      <c r="D450" s="19"/>
      <c r="E450" s="19"/>
      <c r="F450" s="19"/>
      <c r="G450" s="19"/>
    </row>
  </sheetData>
  <mergeCells count="18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6:B7"/>
    <mergeCell ref="C6:D7"/>
    <mergeCell ref="E6:E7"/>
    <mergeCell ref="F6:H7"/>
    <mergeCell ref="A8:B9"/>
    <mergeCell ref="C8:D9"/>
    <mergeCell ref="E8:E9"/>
    <mergeCell ref="F8:H9"/>
    <mergeCell ref="A450:G450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1" sqref="A1"/>
    </sheetView>
  </sheetViews>
  <sheetFormatPr defaultColWidth="11.57421875" defaultRowHeight="12.75"/>
  <cols>
    <col min="1" max="1" width="9.140625" customWidth="1"/>
    <col min="2" max="2" width="12.8515625" customWidth="1"/>
    <col min="3" max="3" width="22.8515625" customWidth="1"/>
    <col min="4" max="4" width="10.00390625" customWidth="1"/>
    <col min="5" max="5" width="14.00390625" customWidth="1"/>
    <col min="6" max="6" width="22.8515625" customWidth="1"/>
    <col min="7" max="7" width="9.140625" customWidth="1"/>
    <col min="8" max="8" width="12.8515625" customWidth="1"/>
    <col min="9" max="9" width="22.8515625" customWidth="1"/>
  </cols>
  <sheetData>
    <row r="1" spans="1:9" ht="72.75" customHeight="1">
      <c r="A1" s="119"/>
      <c r="B1" s="13"/>
      <c r="C1" s="99" t="s">
        <v>1206</v>
      </c>
      <c r="D1" s="17"/>
      <c r="E1" s="17"/>
      <c r="F1" s="17"/>
      <c r="G1" s="17"/>
      <c r="H1" s="17"/>
      <c r="I1" s="17"/>
    </row>
    <row r="2" spans="1:10" ht="12.75">
      <c r="A2" s="3" t="s">
        <v>1</v>
      </c>
      <c r="B2" s="18"/>
      <c r="C2" s="25" t="str">
        <f>'Stavební rozpočet'!D2</f>
        <v>REKONSTRUKCE A MODERNIZACE</v>
      </c>
      <c r="D2" s="45"/>
      <c r="E2" s="42" t="s">
        <v>1100</v>
      </c>
      <c r="F2" s="42" t="str">
        <f>'Stavební rozpočet'!J2</f>
        <v>MĚSTO VARNSDORF</v>
      </c>
      <c r="G2" s="18"/>
      <c r="H2" s="42" t="s">
        <v>1232</v>
      </c>
      <c r="I2" s="113"/>
      <c r="J2" s="57"/>
    </row>
    <row r="3" spans="1:10" ht="12.75">
      <c r="A3" s="4"/>
      <c r="B3" s="19"/>
      <c r="C3" s="26"/>
      <c r="D3" s="26"/>
      <c r="E3" s="19"/>
      <c r="F3" s="19"/>
      <c r="G3" s="19"/>
      <c r="H3" s="19"/>
      <c r="I3" s="51"/>
      <c r="J3" s="57"/>
    </row>
    <row r="4" spans="1:10" ht="12.75">
      <c r="A4" s="5" t="s">
        <v>2</v>
      </c>
      <c r="B4" s="19"/>
      <c r="C4" s="16" t="str">
        <f>'Stavební rozpočet'!D4</f>
        <v>STRAVOVACÍ PROVOZ A DISTRIBUCE JÍDEL</v>
      </c>
      <c r="D4" s="19"/>
      <c r="E4" s="16" t="s">
        <v>1101</v>
      </c>
      <c r="F4" s="16" t="str">
        <f>'Stavební rozpočet'!J4</f>
        <v>FORWOOD DVF</v>
      </c>
      <c r="G4" s="19"/>
      <c r="H4" s="16" t="s">
        <v>1232</v>
      </c>
      <c r="I4" s="114"/>
      <c r="J4" s="57"/>
    </row>
    <row r="5" spans="1:10" ht="12.75">
      <c r="A5" s="4"/>
      <c r="B5" s="19"/>
      <c r="C5" s="19"/>
      <c r="D5" s="19"/>
      <c r="E5" s="19"/>
      <c r="F5" s="19"/>
      <c r="G5" s="19"/>
      <c r="H5" s="19"/>
      <c r="I5" s="51"/>
      <c r="J5" s="57"/>
    </row>
    <row r="6" spans="1:10" ht="12.75">
      <c r="A6" s="5" t="s">
        <v>3</v>
      </c>
      <c r="B6" s="19"/>
      <c r="C6" s="16" t="str">
        <f>'Stavební rozpočet'!D6</f>
        <v>NEMOCNICE VARNSDORF</v>
      </c>
      <c r="D6" s="19"/>
      <c r="E6" s="16" t="s">
        <v>1102</v>
      </c>
      <c r="F6" s="16" t="str">
        <f>'Stavební rozpočet'!J6</f>
        <v>BUDE VYBRÁN</v>
      </c>
      <c r="G6" s="19"/>
      <c r="H6" s="16" t="s">
        <v>1232</v>
      </c>
      <c r="I6" s="114"/>
      <c r="J6" s="57"/>
    </row>
    <row r="7" spans="1:10" ht="12.75">
      <c r="A7" s="4"/>
      <c r="B7" s="19"/>
      <c r="C7" s="19"/>
      <c r="D7" s="19"/>
      <c r="E7" s="19"/>
      <c r="F7" s="19"/>
      <c r="G7" s="19"/>
      <c r="H7" s="19"/>
      <c r="I7" s="51"/>
      <c r="J7" s="57"/>
    </row>
    <row r="8" spans="1:10" ht="12.75">
      <c r="A8" s="5" t="s">
        <v>1079</v>
      </c>
      <c r="B8" s="19"/>
      <c r="C8" s="16" t="str">
        <f>'Stavební rozpočet'!G4</f>
        <v> </v>
      </c>
      <c r="D8" s="19"/>
      <c r="E8" s="16" t="s">
        <v>1080</v>
      </c>
      <c r="F8" s="16" t="str">
        <f>'Stavební rozpočet'!G6</f>
        <v> </v>
      </c>
      <c r="G8" s="19"/>
      <c r="H8" s="31" t="s">
        <v>1233</v>
      </c>
      <c r="I8" s="114" t="s">
        <v>236</v>
      </c>
      <c r="J8" s="57"/>
    </row>
    <row r="9" spans="1:10" ht="12.75">
      <c r="A9" s="4"/>
      <c r="B9" s="19"/>
      <c r="C9" s="19"/>
      <c r="D9" s="19"/>
      <c r="E9" s="19"/>
      <c r="F9" s="19"/>
      <c r="G9" s="19"/>
      <c r="H9" s="19"/>
      <c r="I9" s="51"/>
      <c r="J9" s="57"/>
    </row>
    <row r="10" spans="1:10" ht="12.75">
      <c r="A10" s="5" t="s">
        <v>4</v>
      </c>
      <c r="B10" s="19"/>
      <c r="C10" s="16" t="str">
        <f>'Stavební rozpočet'!D8</f>
        <v> </v>
      </c>
      <c r="D10" s="19"/>
      <c r="E10" s="16" t="s">
        <v>1103</v>
      </c>
      <c r="F10" s="16" t="str">
        <f>'Stavební rozpočet'!J8</f>
        <v>IIČVDF</v>
      </c>
      <c r="G10" s="19"/>
      <c r="H10" s="31" t="s">
        <v>1234</v>
      </c>
      <c r="I10" s="118" t="str">
        <f>'Stavební rozpočet'!G8</f>
        <v>02.03.2018</v>
      </c>
      <c r="J10" s="57"/>
    </row>
    <row r="11" spans="1:10" ht="12.75">
      <c r="A11" s="78"/>
      <c r="B11" s="90"/>
      <c r="C11" s="90"/>
      <c r="D11" s="90"/>
      <c r="E11" s="90"/>
      <c r="F11" s="90"/>
      <c r="G11" s="90"/>
      <c r="H11" s="90"/>
      <c r="I11" s="115"/>
      <c r="J11" s="57"/>
    </row>
    <row r="12" spans="1:9" ht="23.25" customHeight="1">
      <c r="A12" s="79" t="s">
        <v>1191</v>
      </c>
      <c r="B12" s="91"/>
      <c r="C12" s="91"/>
      <c r="D12" s="91"/>
      <c r="E12" s="91"/>
      <c r="F12" s="91"/>
      <c r="G12" s="91"/>
      <c r="H12" s="91"/>
      <c r="I12" s="91"/>
    </row>
    <row r="13" spans="1:10" ht="26.25" customHeight="1">
      <c r="A13" s="80" t="s">
        <v>1192</v>
      </c>
      <c r="B13" s="92" t="s">
        <v>1204</v>
      </c>
      <c r="C13" s="100"/>
      <c r="D13" s="80" t="s">
        <v>1207</v>
      </c>
      <c r="E13" s="92" t="s">
        <v>1217</v>
      </c>
      <c r="F13" s="100"/>
      <c r="G13" s="80" t="s">
        <v>1218</v>
      </c>
      <c r="H13" s="92" t="s">
        <v>1235</v>
      </c>
      <c r="I13" s="100"/>
      <c r="J13" s="57"/>
    </row>
    <row r="14" spans="1:10" ht="15" customHeight="1">
      <c r="A14" s="81" t="s">
        <v>1193</v>
      </c>
      <c r="B14" s="93" t="s">
        <v>1205</v>
      </c>
      <c r="C14" s="108">
        <f>SUM('Stavební rozpočet'!R12:R656)</f>
        <v>0</v>
      </c>
      <c r="D14" s="105" t="s">
        <v>1208</v>
      </c>
      <c r="E14" s="107"/>
      <c r="F14" s="108">
        <v>0</v>
      </c>
      <c r="G14" s="105" t="s">
        <v>1219</v>
      </c>
      <c r="H14" s="107"/>
      <c r="I14" s="108">
        <v>0</v>
      </c>
      <c r="J14" s="57"/>
    </row>
    <row r="15" spans="1:10" ht="15" customHeight="1">
      <c r="A15" s="82"/>
      <c r="B15" s="93" t="s">
        <v>1104</v>
      </c>
      <c r="C15" s="108">
        <f>SUM('Stavební rozpočet'!S12:S656)</f>
        <v>0</v>
      </c>
      <c r="D15" s="105" t="s">
        <v>1209</v>
      </c>
      <c r="E15" s="107"/>
      <c r="F15" s="108">
        <v>0</v>
      </c>
      <c r="G15" s="105" t="s">
        <v>1220</v>
      </c>
      <c r="H15" s="107"/>
      <c r="I15" s="108">
        <v>0</v>
      </c>
      <c r="J15" s="57"/>
    </row>
    <row r="16" spans="1:10" ht="15" customHeight="1">
      <c r="A16" s="81" t="s">
        <v>1194</v>
      </c>
      <c r="B16" s="93" t="s">
        <v>1205</v>
      </c>
      <c r="C16" s="108">
        <f>SUM('Stavební rozpočet'!T12:T656)</f>
        <v>0</v>
      </c>
      <c r="D16" s="105" t="s">
        <v>1210</v>
      </c>
      <c r="E16" s="107"/>
      <c r="F16" s="108">
        <v>0</v>
      </c>
      <c r="G16" s="105" t="s">
        <v>1221</v>
      </c>
      <c r="H16" s="107"/>
      <c r="I16" s="108">
        <v>0</v>
      </c>
      <c r="J16" s="57"/>
    </row>
    <row r="17" spans="1:10" ht="15" customHeight="1">
      <c r="A17" s="82"/>
      <c r="B17" s="93" t="s">
        <v>1104</v>
      </c>
      <c r="C17" s="108">
        <f>SUM('Stavební rozpočet'!U12:U656)</f>
        <v>0</v>
      </c>
      <c r="D17" s="105" t="s">
        <v>1211</v>
      </c>
      <c r="E17" s="107"/>
      <c r="F17" s="108">
        <v>0</v>
      </c>
      <c r="G17" s="105" t="s">
        <v>1222</v>
      </c>
      <c r="H17" s="107"/>
      <c r="I17" s="108">
        <v>0</v>
      </c>
      <c r="J17" s="57"/>
    </row>
    <row r="18" spans="1:10" ht="15" customHeight="1">
      <c r="A18" s="81" t="s">
        <v>1195</v>
      </c>
      <c r="B18" s="93" t="s">
        <v>1205</v>
      </c>
      <c r="C18" s="108">
        <f>SUM('Stavební rozpočet'!V12:V656)</f>
        <v>0</v>
      </c>
      <c r="D18" s="105"/>
      <c r="E18" s="107"/>
      <c r="F18" s="109"/>
      <c r="G18" s="105" t="s">
        <v>1223</v>
      </c>
      <c r="H18" s="107"/>
      <c r="I18" s="108">
        <v>0</v>
      </c>
      <c r="J18" s="57"/>
    </row>
    <row r="19" spans="1:10" ht="15" customHeight="1">
      <c r="A19" s="82"/>
      <c r="B19" s="93" t="s">
        <v>1104</v>
      </c>
      <c r="C19" s="108">
        <f>SUM('Stavební rozpočet'!W12:W656)</f>
        <v>0</v>
      </c>
      <c r="D19" s="105"/>
      <c r="E19" s="107"/>
      <c r="F19" s="109"/>
      <c r="G19" s="105" t="s">
        <v>1224</v>
      </c>
      <c r="H19" s="107"/>
      <c r="I19" s="108">
        <v>0</v>
      </c>
      <c r="J19" s="57"/>
    </row>
    <row r="20" spans="1:10" ht="15" customHeight="1">
      <c r="A20" s="83" t="s">
        <v>1196</v>
      </c>
      <c r="B20" s="94"/>
      <c r="C20" s="108">
        <f>SUM('Stavební rozpočet'!X12:X656)</f>
        <v>0</v>
      </c>
      <c r="D20" s="105"/>
      <c r="E20" s="107"/>
      <c r="F20" s="109"/>
      <c r="G20" s="105"/>
      <c r="H20" s="107"/>
      <c r="I20" s="109"/>
      <c r="J20" s="57"/>
    </row>
    <row r="21" spans="1:10" ht="15" customHeight="1">
      <c r="A21" s="83" t="s">
        <v>1197</v>
      </c>
      <c r="B21" s="94"/>
      <c r="C21" s="108">
        <f>SUM('Stavební rozpočet'!P12:P656)</f>
        <v>0</v>
      </c>
      <c r="D21" s="105"/>
      <c r="E21" s="107"/>
      <c r="F21" s="109"/>
      <c r="G21" s="105"/>
      <c r="H21" s="107"/>
      <c r="I21" s="109"/>
      <c r="J21" s="57"/>
    </row>
    <row r="22" spans="1:10" ht="16.5" customHeight="1">
      <c r="A22" s="83" t="s">
        <v>1198</v>
      </c>
      <c r="B22" s="94"/>
      <c r="C22" s="108">
        <f>SUM(C14:C21)</f>
        <v>0</v>
      </c>
      <c r="D22" s="83" t="s">
        <v>1212</v>
      </c>
      <c r="E22" s="94"/>
      <c r="F22" s="108">
        <f>SUM(F14:F21)</f>
        <v>0</v>
      </c>
      <c r="G22" s="83" t="s">
        <v>1225</v>
      </c>
      <c r="H22" s="94"/>
      <c r="I22" s="108">
        <f>SUM(I14:I21)</f>
        <v>0</v>
      </c>
      <c r="J22" s="57"/>
    </row>
    <row r="23" spans="1:10" ht="15" customHeight="1">
      <c r="A23" s="14"/>
      <c r="B23" s="14"/>
      <c r="C23" s="101"/>
      <c r="D23" s="83" t="s">
        <v>1213</v>
      </c>
      <c r="E23" s="94"/>
      <c r="F23" s="110">
        <v>0</v>
      </c>
      <c r="G23" s="83" t="s">
        <v>1226</v>
      </c>
      <c r="H23" s="94"/>
      <c r="I23" s="108">
        <v>0</v>
      </c>
      <c r="J23" s="57"/>
    </row>
    <row r="24" spans="4:9" ht="15" customHeight="1">
      <c r="D24" s="14"/>
      <c r="E24" s="14"/>
      <c r="F24" s="111"/>
      <c r="G24" s="83" t="s">
        <v>1227</v>
      </c>
      <c r="H24" s="94"/>
      <c r="I24" s="116"/>
    </row>
    <row r="25" spans="6:10" ht="15" customHeight="1">
      <c r="F25" s="112"/>
      <c r="G25" s="83" t="s">
        <v>1228</v>
      </c>
      <c r="H25" s="94"/>
      <c r="I25" s="108">
        <v>0</v>
      </c>
      <c r="J25" s="57"/>
    </row>
    <row r="26" spans="1:9" ht="12.75">
      <c r="A26" s="13"/>
      <c r="B26" s="13"/>
      <c r="C26" s="13"/>
      <c r="G26" s="14"/>
      <c r="H26" s="14"/>
      <c r="I26" s="14"/>
    </row>
    <row r="27" spans="1:9" ht="15" customHeight="1">
      <c r="A27" s="84" t="s">
        <v>1199</v>
      </c>
      <c r="B27" s="95"/>
      <c r="C27" s="117">
        <f>SUM('Stavební rozpočet'!Z12:Z656)</f>
        <v>0</v>
      </c>
      <c r="D27" s="106"/>
      <c r="E27" s="13"/>
      <c r="F27" s="13"/>
      <c r="G27" s="13"/>
      <c r="H27" s="13"/>
      <c r="I27" s="13"/>
    </row>
    <row r="28" spans="1:10" ht="15" customHeight="1">
      <c r="A28" s="84" t="s">
        <v>1200</v>
      </c>
      <c r="B28" s="95"/>
      <c r="C28" s="117">
        <f>SUM('Stavební rozpočet'!AA12:AA656)</f>
        <v>0</v>
      </c>
      <c r="D28" s="84" t="s">
        <v>1214</v>
      </c>
      <c r="E28" s="95"/>
      <c r="F28" s="117">
        <f>ROUND(C28*(15/100),2)</f>
        <v>0</v>
      </c>
      <c r="G28" s="84" t="s">
        <v>1229</v>
      </c>
      <c r="H28" s="95"/>
      <c r="I28" s="117">
        <f>SUM(C27:C29)</f>
        <v>0</v>
      </c>
      <c r="J28" s="57"/>
    </row>
    <row r="29" spans="1:10" ht="15" customHeight="1">
      <c r="A29" s="84" t="s">
        <v>1201</v>
      </c>
      <c r="B29" s="95"/>
      <c r="C29" s="117">
        <f>SUM('Stavební rozpočet'!AB12:AB656)+(F22+I22+F23+I23+I24+I25)</f>
        <v>0</v>
      </c>
      <c r="D29" s="84" t="s">
        <v>1215</v>
      </c>
      <c r="E29" s="95"/>
      <c r="F29" s="117">
        <f>ROUND(C29*(21/100),2)</f>
        <v>0</v>
      </c>
      <c r="G29" s="84" t="s">
        <v>1230</v>
      </c>
      <c r="H29" s="95"/>
      <c r="I29" s="117">
        <f>SUM(F28:F29)+I28</f>
        <v>0</v>
      </c>
      <c r="J29" s="57"/>
    </row>
    <row r="30" spans="1:9" ht="12.75">
      <c r="A30" s="85"/>
      <c r="B30" s="85"/>
      <c r="C30" s="85"/>
      <c r="D30" s="85"/>
      <c r="E30" s="85"/>
      <c r="F30" s="85"/>
      <c r="G30" s="85"/>
      <c r="H30" s="85"/>
      <c r="I30" s="85"/>
    </row>
    <row r="31" spans="1:10" ht="14.25" customHeight="1">
      <c r="A31" s="86" t="s">
        <v>1202</v>
      </c>
      <c r="B31" s="96"/>
      <c r="C31" s="102"/>
      <c r="D31" s="86" t="s">
        <v>1216</v>
      </c>
      <c r="E31" s="96"/>
      <c r="F31" s="102"/>
      <c r="G31" s="86" t="s">
        <v>1231</v>
      </c>
      <c r="H31" s="96"/>
      <c r="I31" s="102"/>
      <c r="J31" s="58"/>
    </row>
    <row r="32" spans="1:10" ht="14.25" customHeight="1">
      <c r="A32" s="87"/>
      <c r="B32" s="97"/>
      <c r="C32" s="103"/>
      <c r="D32" s="87"/>
      <c r="E32" s="97"/>
      <c r="F32" s="103"/>
      <c r="G32" s="87"/>
      <c r="H32" s="97"/>
      <c r="I32" s="103"/>
      <c r="J32" s="58"/>
    </row>
    <row r="33" spans="1:10" ht="14.25" customHeight="1">
      <c r="A33" s="87"/>
      <c r="B33" s="97"/>
      <c r="C33" s="103"/>
      <c r="D33" s="87"/>
      <c r="E33" s="97"/>
      <c r="F33" s="103"/>
      <c r="G33" s="87"/>
      <c r="H33" s="97"/>
      <c r="I33" s="103"/>
      <c r="J33" s="58"/>
    </row>
    <row r="34" spans="1:10" ht="14.25" customHeight="1">
      <c r="A34" s="87"/>
      <c r="B34" s="97"/>
      <c r="C34" s="103"/>
      <c r="D34" s="87"/>
      <c r="E34" s="97"/>
      <c r="F34" s="103"/>
      <c r="G34" s="87"/>
      <c r="H34" s="97"/>
      <c r="I34" s="103"/>
      <c r="J34" s="58"/>
    </row>
    <row r="35" spans="1:10" ht="14.25" customHeight="1">
      <c r="A35" s="88" t="s">
        <v>1203</v>
      </c>
      <c r="B35" s="98"/>
      <c r="C35" s="104"/>
      <c r="D35" s="88" t="s">
        <v>1203</v>
      </c>
      <c r="E35" s="98"/>
      <c r="F35" s="104"/>
      <c r="G35" s="88" t="s">
        <v>1203</v>
      </c>
      <c r="H35" s="98"/>
      <c r="I35" s="104"/>
      <c r="J35" s="58"/>
    </row>
    <row r="36" spans="1:9" ht="11.25" customHeight="1">
      <c r="A36" s="89" t="s">
        <v>238</v>
      </c>
      <c r="B36" s="74"/>
      <c r="C36" s="74"/>
      <c r="D36" s="74"/>
      <c r="E36" s="74"/>
      <c r="F36" s="74"/>
      <c r="G36" s="74"/>
      <c r="H36" s="74"/>
      <c r="I36" s="74"/>
    </row>
    <row r="37" spans="1:9" ht="12.75">
      <c r="A37" s="16"/>
      <c r="B37" s="19"/>
      <c r="C37" s="19"/>
      <c r="D37" s="19"/>
      <c r="E37" s="19"/>
      <c r="F37" s="19"/>
      <c r="G37" s="19"/>
      <c r="H37" s="19"/>
      <c r="I37" s="19"/>
    </row>
  </sheetData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7:I37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