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_rels/.rels" ContentType="application/vnd.openxmlformats-package.relationship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 showHorizontalScroll="true" showVerticalScroll="true" showSheetTabs="true"/>
  </bookViews>
  <sheets>
    <sheet name="Stavební rozpočet" sheetId="1" r:id="rId1"/>
    <sheet name="Krycí list rozpočtu" sheetId="2" r:id="rId2"/>
    <sheet name="VORN" sheetId="3" r:id="rId3"/>
  </sheets>
  <definedNames>
    <definedName name="vorn_sum">VORN!$I$45</definedName>
  </definedNames>
  <calcPr refMode="A1"/>
</workbook>
</file>

<file path=xl/sharedStrings.xml><?xml version="1.0" encoding="utf-8"?>
<sst xmlns="http://schemas.openxmlformats.org/spreadsheetml/2006/main" count="659" uniqueCount="659">
  <si>
    <t>Slepý stavební rozpočet</t>
  </si>
  <si>
    <t>Název stavby:</t>
  </si>
  <si>
    <t>Stavební úprava parkoviště Ul. Kmochova</t>
  </si>
  <si>
    <t>Doba výstavby:</t>
  </si>
  <si>
    <t>215 dní</t>
  </si>
  <si>
    <t>Objednatel:</t>
  </si>
  <si>
    <t> </t>
  </si>
  <si>
    <t>Druh stavby:</t>
  </si>
  <si>
    <t xml:space="preserve"> </t>
  </si>
  <si>
    <t>Začátek výstavby:</t>
  </si>
  <si>
    <t>01.04.2024</t>
  </si>
  <si>
    <t>Projektant:</t>
  </si>
  <si>
    <t>Lokalita:</t>
  </si>
  <si>
    <t>Varnsdorf</t>
  </si>
  <si>
    <t>Konec výstavby:</t>
  </si>
  <si>
    <t>01.11.2024</t>
  </si>
  <si>
    <t>Zhotovitel:</t>
  </si>
  <si>
    <t>JKSO:</t>
  </si>
  <si>
    <t>Zpracováno dne:</t>
  </si>
  <si>
    <t>08.06.2023</t>
  </si>
  <si>
    <t>Zpracoval:</t>
  </si>
  <si>
    <t>Bc. Jan Hyliš</t>
  </si>
  <si>
    <t>Č</t>
  </si>
  <si>
    <t>Objekt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</si>
  <si>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</si>
  <si>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</si>
  <si>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</si>
  <si>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</si>
  <si>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</si>
  <si>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</si>
  <si>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</si>
  <si>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</si>
  <si>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</si>
  <si>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</si>
  <si>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</si>
  <si>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</si>
  <si>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</si>
  <si>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</si>
  <si>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</si>
  <si>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</si>
  <si>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</si>
  <si>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</si>
  <si>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</si>
  <si>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</si>
  <si>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</si>
  <si>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</si>
  <si>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</si>
  <si>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</si>
  <si>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</si>
  <si>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</si>
  <si>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</si>
  <si>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</si>
  <si>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</si>
  <si>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SO 300</t>
  </si>
  <si>
    <t>veřejné osvětlení</t>
  </si>
  <si>
    <t>17</t>
  </si>
  <si>
    <t>Konstrukce ze zemin</t>
  </si>
  <si>
    <t>1</t>
  </si>
  <si>
    <t>174100050RAB</t>
  </si>
  <si>
    <t>Zásyp jam,rýh a šachet štěrkopískem</t>
  </si>
  <si>
    <t>m3</t>
  </si>
  <si>
    <t>RTS I / 2025</t>
  </si>
  <si>
    <t>17_</t>
  </si>
  <si>
    <t>SO 300_1_</t>
  </si>
  <si>
    <t>SO 300_</t>
  </si>
  <si>
    <t>P</t>
  </si>
  <si>
    <t>H28</t>
  </si>
  <si>
    <t>Vedení elektrická a dráhy visuté</t>
  </si>
  <si>
    <t>2</t>
  </si>
  <si>
    <t>998289011R00</t>
  </si>
  <si>
    <t>Přesun hmot pro kabelovody jakéhokoliv rozsahu</t>
  </si>
  <si>
    <t>t</t>
  </si>
  <si>
    <t>5</t>
  </si>
  <si>
    <t>H28_</t>
  </si>
  <si>
    <t>SO 300_9_</t>
  </si>
  <si>
    <t>M21</t>
  </si>
  <si>
    <t>Elektromontáže</t>
  </si>
  <si>
    <t>3</t>
  </si>
  <si>
    <t>210500010RAD</t>
  </si>
  <si>
    <t>Venkovní osvětlení, stožár parkový</t>
  </si>
  <si>
    <t>kus</t>
  </si>
  <si>
    <t>M21_</t>
  </si>
  <si>
    <t>4</t>
  </si>
  <si>
    <t>210040031R00</t>
  </si>
  <si>
    <t>Montáž stožáru na  patku -</t>
  </si>
  <si>
    <t>210100003R00</t>
  </si>
  <si>
    <t>Ukončení vodičů v rozvaděči + zapojení do 16 mm2</t>
  </si>
  <si>
    <t>M22</t>
  </si>
  <si>
    <t>Montáže sdělovací a zabezpečovací techniky</t>
  </si>
  <si>
    <t>6</t>
  </si>
  <si>
    <t>229820021R00</t>
  </si>
  <si>
    <t>Demontáž osvětlení výměn</t>
  </si>
  <si>
    <t>M22_</t>
  </si>
  <si>
    <t>7</t>
  </si>
  <si>
    <t>229830012R00</t>
  </si>
  <si>
    <t>Demontáž návěstního stožáru - 2 svítidla</t>
  </si>
  <si>
    <t>M46</t>
  </si>
  <si>
    <t>Zemní práce při montážích</t>
  </si>
  <si>
    <t>8</t>
  </si>
  <si>
    <t>460200663R00</t>
  </si>
  <si>
    <t>Výkop kabelové rýhy 65/100 cm hor.3</t>
  </si>
  <si>
    <t>m</t>
  </si>
  <si>
    <t>M46_</t>
  </si>
  <si>
    <t>9</t>
  </si>
  <si>
    <t>460070544R00</t>
  </si>
  <si>
    <t>Jáma pro stožár výložníkový zapuštěný, hornina 4</t>
  </si>
  <si>
    <t>10</t>
  </si>
  <si>
    <t>460570663R00</t>
  </si>
  <si>
    <t>Zához rýhy 65/100 cm, hornina tř. 3, se zhutněním</t>
  </si>
  <si>
    <t>11</t>
  </si>
  <si>
    <t>460600001RT8</t>
  </si>
  <si>
    <t>Naložení a odvoz zeminy</t>
  </si>
  <si>
    <t>12</t>
  </si>
  <si>
    <t>460100024RT1</t>
  </si>
  <si>
    <t>Pouzdrový základ 350x1500 mm v ose trasy kab.</t>
  </si>
  <si>
    <t>M65</t>
  </si>
  <si>
    <t>Elektroinstalace</t>
  </si>
  <si>
    <t>13</t>
  </si>
  <si>
    <t>650106121R00</t>
  </si>
  <si>
    <t>Montáž svítidla veřejného osvětlení na výložník</t>
  </si>
  <si>
    <t>M65_</t>
  </si>
  <si>
    <t>14</t>
  </si>
  <si>
    <t>650106313R00</t>
  </si>
  <si>
    <t>Montáž výložníku pro svítidlo 1 ramenný nad 35 kg</t>
  </si>
  <si>
    <t>15</t>
  </si>
  <si>
    <t>650106462R00</t>
  </si>
  <si>
    <t>Montáž elektrovýzbroje stožáru pro 2 okruhy</t>
  </si>
  <si>
    <t>16</t>
  </si>
  <si>
    <t>650125121R00</t>
  </si>
  <si>
    <t>Uložení kabelu Cu 2 x 16 mm2 do trubky</t>
  </si>
  <si>
    <t>M</t>
  </si>
  <si>
    <t>Ostatní materiál</t>
  </si>
  <si>
    <t>673909992020</t>
  </si>
  <si>
    <t>Fólie výstražná šířka 20 cm červená síťovina</t>
  </si>
  <si>
    <t>RTS I / 2023</t>
  </si>
  <si>
    <t>0</t>
  </si>
  <si>
    <t>Z99999_</t>
  </si>
  <si>
    <t>SO 300_Z_</t>
  </si>
  <si>
    <t>18</t>
  </si>
  <si>
    <t>31677802</t>
  </si>
  <si>
    <t>Výložník F typ V 1F - 05  D 114   výložník 1500mm</t>
  </si>
  <si>
    <t>19</t>
  </si>
  <si>
    <t>589314102</t>
  </si>
  <si>
    <t>Beton C 16/20 - XC2 - Dmax 22 mm - S3 - struskoportlandský CEM II</t>
  </si>
  <si>
    <t>20</t>
  </si>
  <si>
    <t>34111080</t>
  </si>
  <si>
    <t>Kabel silový s Cu jádrem 750 V CYKY 4 x 16 mm2</t>
  </si>
  <si>
    <t>21</t>
  </si>
  <si>
    <t>3457114710</t>
  </si>
  <si>
    <t>Trubka kabelová chránička  KF 09200</t>
  </si>
  <si>
    <t>22</t>
  </si>
  <si>
    <t>19140110</t>
  </si>
  <si>
    <t>Drát Fe Zn 10mm</t>
  </si>
  <si>
    <t>kg</t>
  </si>
  <si>
    <t>23</t>
  </si>
  <si>
    <t>348360210</t>
  </si>
  <si>
    <t>Svítidlo LED pro veřejné osvětlení 120 W</t>
  </si>
  <si>
    <t>24</t>
  </si>
  <si>
    <t>35436220</t>
  </si>
  <si>
    <t>kebelová spojka el.</t>
  </si>
  <si>
    <t>VORN</t>
  </si>
  <si>
    <t>Vedlejší a ostatní rozpočtové náklady</t>
  </si>
  <si>
    <t>03VRN</t>
  </si>
  <si>
    <t>Zařízení staveniště</t>
  </si>
  <si>
    <t>25</t>
  </si>
  <si>
    <t>030001VRN</t>
  </si>
  <si>
    <t>Soubor</t>
  </si>
  <si>
    <t>99</t>
  </si>
  <si>
    <t>03VRN_</t>
  </si>
  <si>
    <t>SO 300_Â _</t>
  </si>
  <si>
    <t>04VRN</t>
  </si>
  <si>
    <t>Inženýrské činnosti</t>
  </si>
  <si>
    <t>26</t>
  </si>
  <si>
    <t>044002VRN</t>
  </si>
  <si>
    <t>Revize VO</t>
  </si>
  <si>
    <t>04VRN_</t>
  </si>
  <si>
    <t>07VRN</t>
  </si>
  <si>
    <t>Provozní vlivy</t>
  </si>
  <si>
    <t>27</t>
  </si>
  <si>
    <t>072002VRN</t>
  </si>
  <si>
    <t>Silniční provoz - DIO, DIR a dopravní značení</t>
  </si>
  <si>
    <t>07VRN_</t>
  </si>
  <si>
    <t>SO100</t>
  </si>
  <si>
    <t>komunikace</t>
  </si>
  <si>
    <t>Přípravné a přidružené práce</t>
  </si>
  <si>
    <t>28</t>
  </si>
  <si>
    <t>113201011RAA</t>
  </si>
  <si>
    <t>Vytrhání obrubníků silničních</t>
  </si>
  <si>
    <t>11_</t>
  </si>
  <si>
    <t>SO100_1_</t>
  </si>
  <si>
    <t>SO100_</t>
  </si>
  <si>
    <t>Poznámka:</t>
  </si>
  <si>
    <t>vytrhání bet. obrub cesty</t>
  </si>
  <si>
    <t>29</t>
  </si>
  <si>
    <t>30</t>
  </si>
  <si>
    <t>111104312R00</t>
  </si>
  <si>
    <t>Pokosení trávníku lučního svah do 1:2, odvoz 20 km</t>
  </si>
  <si>
    <t>m2</t>
  </si>
  <si>
    <t>31</t>
  </si>
  <si>
    <t>113107222RAB</t>
  </si>
  <si>
    <t>Odstranění asfaltobetonové vozovky pl. nad 50 m2</t>
  </si>
  <si>
    <t>32</t>
  </si>
  <si>
    <t>113107100RAE</t>
  </si>
  <si>
    <t>Odstranění betonové vozovky, kryt tl. 80 mm, plocha do 50 m2</t>
  </si>
  <si>
    <t>Odkopávky a prokopávky</t>
  </si>
  <si>
    <t>33</t>
  </si>
  <si>
    <t>122301102R00</t>
  </si>
  <si>
    <t>Odkopávky nezapažené v hor. 4 do 1000 m3</t>
  </si>
  <si>
    <t>12_</t>
  </si>
  <si>
    <t>Povrchové úpravy terénu</t>
  </si>
  <si>
    <t>34</t>
  </si>
  <si>
    <t>181201102R00</t>
  </si>
  <si>
    <t>Úprava pláně v násypech v hor. 1-4, se zhutněním</t>
  </si>
  <si>
    <t>18_</t>
  </si>
  <si>
    <t>Úprava podloží a základové spáry</t>
  </si>
  <si>
    <t>35</t>
  </si>
  <si>
    <t>212750010RAD</t>
  </si>
  <si>
    <t>Trativody z drenážních trubek</t>
  </si>
  <si>
    <t>21_</t>
  </si>
  <si>
    <t>SO100_2_</t>
  </si>
  <si>
    <t>56</t>
  </si>
  <si>
    <t>Podkladní vrstvy komunikací, letišť a ploch</t>
  </si>
  <si>
    <t>36</t>
  </si>
  <si>
    <t>564851111RT4</t>
  </si>
  <si>
    <t>Podklad ze štěrkodrti po zhutnění tloušťky 15 cm</t>
  </si>
  <si>
    <t>56_</t>
  </si>
  <si>
    <t>SO100_5_</t>
  </si>
  <si>
    <t>37</t>
  </si>
  <si>
    <t>57</t>
  </si>
  <si>
    <t>Kryty pozemních komunikací, letišť a ploch z kameniva nebo živičné</t>
  </si>
  <si>
    <t>38</t>
  </si>
  <si>
    <t>577132211RT2</t>
  </si>
  <si>
    <t>Beton asfalt. ACO 8, nebo ACO 11, nad 3 m, 4 cm</t>
  </si>
  <si>
    <t>57_</t>
  </si>
  <si>
    <t>39</t>
  </si>
  <si>
    <t>577113126RT2</t>
  </si>
  <si>
    <t>Beton asfalt. ACO 16 S modif.obrus. š.nad 3 m,7 cm</t>
  </si>
  <si>
    <t>40</t>
  </si>
  <si>
    <t>573231126R00</t>
  </si>
  <si>
    <t>Postřik spojovací z KAE, množství zbytkového asfaltu 0,6 kg/m2</t>
  </si>
  <si>
    <t>41</t>
  </si>
  <si>
    <t>573111115R00</t>
  </si>
  <si>
    <t>Postřik infiltrační s posypem, asfalt 2,5 kg/m2</t>
  </si>
  <si>
    <t>59</t>
  </si>
  <si>
    <t>Kryty pozemních komunikací, letišť a ploch dlážděných (předlažby)</t>
  </si>
  <si>
    <t>42</t>
  </si>
  <si>
    <t>591040024RA0</t>
  </si>
  <si>
    <t>Komunikace dlážděné D1-D-2-V-PIII</t>
  </si>
  <si>
    <t>59_</t>
  </si>
  <si>
    <t>43</t>
  </si>
  <si>
    <t>591040216RA0</t>
  </si>
  <si>
    <t>Komunikace dlážděné D2-D-2-O-PIII</t>
  </si>
  <si>
    <t>44</t>
  </si>
  <si>
    <t>591210011RA0</t>
  </si>
  <si>
    <t>Komunikace z kostky kamenné</t>
  </si>
  <si>
    <t>45</t>
  </si>
  <si>
    <t>591131111R00</t>
  </si>
  <si>
    <t>Kladení dlažby velké kostky,lože ze strus.tl.5 cm</t>
  </si>
  <si>
    <t>91</t>
  </si>
  <si>
    <t>Doplňující konstrukce a práce na pozemních komunikacích a zpevněných plochách</t>
  </si>
  <si>
    <t>46</t>
  </si>
  <si>
    <t>917862111RU3</t>
  </si>
  <si>
    <t>Osazení stojat. obrub.bet. s opěrou,lože z C 12/15</t>
  </si>
  <si>
    <t>91_</t>
  </si>
  <si>
    <t>SO100_9_</t>
  </si>
  <si>
    <t>47</t>
  </si>
  <si>
    <t>917862111RT5</t>
  </si>
  <si>
    <t>48</t>
  </si>
  <si>
    <t>917882123RT2</t>
  </si>
  <si>
    <t>Osazení sady náběh.zastávk.obrubníků, celkem 4 m</t>
  </si>
  <si>
    <t>sada</t>
  </si>
  <si>
    <t>49</t>
  </si>
  <si>
    <t>917882111RT2</t>
  </si>
  <si>
    <t>Osazení obrubníku bet. zastávkového, lože C 12/15</t>
  </si>
  <si>
    <t>50</t>
  </si>
  <si>
    <t>919722111R00</t>
  </si>
  <si>
    <t>Dilatační spáry - řezání, spáry příčné š. 2 - 5 mm</t>
  </si>
  <si>
    <t>51</t>
  </si>
  <si>
    <t>919721211R00</t>
  </si>
  <si>
    <t>Dilatační spáry vkládané vyplněné asfalt. zálivkou</t>
  </si>
  <si>
    <t>52</t>
  </si>
  <si>
    <t>914001121RT6</t>
  </si>
  <si>
    <t>Osazení svislé dopravní značky pl. do 1 m2 a sloupku, s dod. Al patky a beton. základu</t>
  </si>
  <si>
    <t>53</t>
  </si>
  <si>
    <t>915721121R00</t>
  </si>
  <si>
    <t>Vodorovné značení stopčar,zeber atd.plastem,nehluč</t>
  </si>
  <si>
    <t>92</t>
  </si>
  <si>
    <t>Doplňující konstrukce a práce železniční</t>
  </si>
  <si>
    <t>54</t>
  </si>
  <si>
    <t>926923112R00</t>
  </si>
  <si>
    <t>Návěstidlo " označník "</t>
  </si>
  <si>
    <t>92_</t>
  </si>
  <si>
    <t>96</t>
  </si>
  <si>
    <t>Bourání konstrukcí</t>
  </si>
  <si>
    <t>55</t>
  </si>
  <si>
    <t>966006211R00</t>
  </si>
  <si>
    <t>Odstranění doprav. značky ze sloupů nebo konzolí</t>
  </si>
  <si>
    <t>96_</t>
  </si>
  <si>
    <t>H22</t>
  </si>
  <si>
    <t>Komunikace pozemní a letiště</t>
  </si>
  <si>
    <t>998223011R00</t>
  </si>
  <si>
    <t>Přesun hmot, pozemní komunikace, kryt dlážděný</t>
  </si>
  <si>
    <t>H22_</t>
  </si>
  <si>
    <t>460650013R00</t>
  </si>
  <si>
    <t>Podkladová vrstva ze štěrku tl. 10 cm</t>
  </si>
  <si>
    <t>S</t>
  </si>
  <si>
    <t>Přesuny sutí</t>
  </si>
  <si>
    <t>58</t>
  </si>
  <si>
    <t>979990261R00</t>
  </si>
  <si>
    <t>Poplatek za uložení asfaltové směsi obsahující dehet 170301 (N)</t>
  </si>
  <si>
    <t>S_</t>
  </si>
  <si>
    <t>979999973R00</t>
  </si>
  <si>
    <t>Poplatek za uložení, zemina a kamení, (skup.170504)</t>
  </si>
  <si>
    <t>60</t>
  </si>
  <si>
    <t>979999982R00</t>
  </si>
  <si>
    <t>Poplatek za recyklaci betonu kusovost nad 1600 cm2 (skup.170101)</t>
  </si>
  <si>
    <t>61</t>
  </si>
  <si>
    <t>55149032</t>
  </si>
  <si>
    <t>Koš odpadkový nerezový SLZN 12 obsah 20 l</t>
  </si>
  <si>
    <t>SO100_Z_</t>
  </si>
  <si>
    <t>62</t>
  </si>
  <si>
    <t>69370522</t>
  </si>
  <si>
    <t>Geotextilie MOKRUTEX HQ PP 500 g/m2 do 6 m</t>
  </si>
  <si>
    <t>sorbční geotextilie pod parkovacími stáními</t>
  </si>
  <si>
    <t>63</t>
  </si>
  <si>
    <t>69370518</t>
  </si>
  <si>
    <t>Geotextilie MOKRUTEX HQ PP 400 g/m2 do 6 m</t>
  </si>
  <si>
    <t>01VRN</t>
  </si>
  <si>
    <t>Průzkumy, geodetické a projektové práce</t>
  </si>
  <si>
    <t>64</t>
  </si>
  <si>
    <t>Zastávkový přístřešek - autobusová zastávka</t>
  </si>
  <si>
    <t>01VRN_</t>
  </si>
  <si>
    <t>SO100_Â _</t>
  </si>
  <si>
    <t>65</t>
  </si>
  <si>
    <t>012002VRN</t>
  </si>
  <si>
    <t>Geodetické práce</t>
  </si>
  <si>
    <t>66</t>
  </si>
  <si>
    <t>010001VRN</t>
  </si>
  <si>
    <t>projektová dokumentace - skutečné provedení</t>
  </si>
  <si>
    <t>67</t>
  </si>
  <si>
    <t>zkoušky hutnící</t>
  </si>
  <si>
    <t>zkouška zemní pláně - kontrolní</t>
  </si>
  <si>
    <t>68</t>
  </si>
  <si>
    <t>projektová dokumentace - realizační</t>
  </si>
  <si>
    <t>69</t>
  </si>
  <si>
    <t>043002VRN</t>
  </si>
  <si>
    <t>Zkoušky - PAU</t>
  </si>
  <si>
    <t>70</t>
  </si>
  <si>
    <t>SO150</t>
  </si>
  <si>
    <t>likvidace povrchových vod</t>
  </si>
  <si>
    <t>Hloubené vykopávky</t>
  </si>
  <si>
    <t>71</t>
  </si>
  <si>
    <t>131201111R00</t>
  </si>
  <si>
    <t>Hloubení nezapaž. jam hor.3 do 100 m3, STROJNĚ</t>
  </si>
  <si>
    <t>13_</t>
  </si>
  <si>
    <t>SO150_1_</t>
  </si>
  <si>
    <t>SO150_</t>
  </si>
  <si>
    <t>72</t>
  </si>
  <si>
    <t>131201119R00</t>
  </si>
  <si>
    <t>Příplatek za lepivost - hloubení nezap.jam v hor.3</t>
  </si>
  <si>
    <t>73</t>
  </si>
  <si>
    <t>132201211R00</t>
  </si>
  <si>
    <t>Hloubení rýh š.do 200 cm hor.3 do 100 m3,STROJNĚ</t>
  </si>
  <si>
    <t>74</t>
  </si>
  <si>
    <t>132201219R00</t>
  </si>
  <si>
    <t>Přípl.za lepivost,hloubení rýh 200cm,hor.3,STROJNĚ</t>
  </si>
  <si>
    <t>Roubení</t>
  </si>
  <si>
    <t>75</t>
  </si>
  <si>
    <t>151101201R00</t>
  </si>
  <si>
    <t>Pažení stěn výkopu - příložné - hloubky do 4 m</t>
  </si>
  <si>
    <t>15_</t>
  </si>
  <si>
    <t>76</t>
  </si>
  <si>
    <t>151101211R00</t>
  </si>
  <si>
    <t>Odstranění pažení stěn - příložné - hl. do 4 m</t>
  </si>
  <si>
    <t>77</t>
  </si>
  <si>
    <t>151101301R00</t>
  </si>
  <si>
    <t>Rozepření stěn pažení - příložné -  hl. do 4 m</t>
  </si>
  <si>
    <t>78</t>
  </si>
  <si>
    <t>151101311R00</t>
  </si>
  <si>
    <t>Odstranění rozepření stěn - příložné - hl. do 4 m</t>
  </si>
  <si>
    <t>Přemístění výkopku</t>
  </si>
  <si>
    <t>79</t>
  </si>
  <si>
    <t>161101101R00</t>
  </si>
  <si>
    <t>Svislé přemístění výkopku z hor.1-4 do 2,5 m</t>
  </si>
  <si>
    <t>16_</t>
  </si>
  <si>
    <t>80</t>
  </si>
  <si>
    <t>161101102R00</t>
  </si>
  <si>
    <t>Svislé přemístění výkopku z hor.1-4 do 4,0 m</t>
  </si>
  <si>
    <t>81</t>
  </si>
  <si>
    <t>162201102R00</t>
  </si>
  <si>
    <t>Vodorovné přemístění výkopku z hor.1-4 do 50 m</t>
  </si>
  <si>
    <t>82</t>
  </si>
  <si>
    <t>162701105R00</t>
  </si>
  <si>
    <t>Vodorovné přemístění výkopku z hor.1-4 do 10000 m</t>
  </si>
  <si>
    <t>83</t>
  </si>
  <si>
    <t>167101101R00</t>
  </si>
  <si>
    <t>Nakládání výkopku z hor. 1 ÷ 4 v množství do 100 m3</t>
  </si>
  <si>
    <t>84</t>
  </si>
  <si>
    <t>174101101IM</t>
  </si>
  <si>
    <t>Zásyp jam, rýh, šachet se zhutněním</t>
  </si>
  <si>
    <t>RTS II / 2024</t>
  </si>
  <si>
    <t>85</t>
  </si>
  <si>
    <t>174101102IM</t>
  </si>
  <si>
    <t>Zásyp ruční se zhutněním</t>
  </si>
  <si>
    <t>86</t>
  </si>
  <si>
    <t>175101101IM</t>
  </si>
  <si>
    <t>Obsyp potrubí bez prohození sypaniny</t>
  </si>
  <si>
    <t>Hloubení pro podzemní stěny, ražení a hloubení důlní</t>
  </si>
  <si>
    <t>87</t>
  </si>
  <si>
    <t>199000002IM</t>
  </si>
  <si>
    <t>Poplatek za skládku horniny 1- 4, č. dle katal. odpadů 17 05 04</t>
  </si>
  <si>
    <t>19_</t>
  </si>
  <si>
    <t>88</t>
  </si>
  <si>
    <t>213151111IM</t>
  </si>
  <si>
    <t>Montáž vsakovacího bloku nebo tunelu do V 450 l</t>
  </si>
  <si>
    <t>SO150_2_</t>
  </si>
  <si>
    <t>89</t>
  </si>
  <si>
    <t>213151121IM</t>
  </si>
  <si>
    <t>Obalení vsakovacích bloků geotextílií</t>
  </si>
  <si>
    <t>Základy</t>
  </si>
  <si>
    <t>90</t>
  </si>
  <si>
    <t>271531113IM</t>
  </si>
  <si>
    <t>Polštář základu z kameniva hr. drceného 16-32 mm</t>
  </si>
  <si>
    <t>27_</t>
  </si>
  <si>
    <t>271531115IM</t>
  </si>
  <si>
    <t>Uložení polštáře z kameniva se zhutněním a urovnáním povrchu</t>
  </si>
  <si>
    <t>Zpevňování hornin a konstrukcí</t>
  </si>
  <si>
    <t>28697122.ARpolIM</t>
  </si>
  <si>
    <t>Systémová revizní šachta k plastovým plokům pro 1 vrstvu bloků vč. těsnění a prodloužení 3 m</t>
  </si>
  <si>
    <t>28_</t>
  </si>
  <si>
    <t>Podkladní a vedlejší konstrukce (kromě vozovek a železničního svršku)</t>
  </si>
  <si>
    <t>93</t>
  </si>
  <si>
    <t>451572111IM</t>
  </si>
  <si>
    <t>Lože pod potrubí z kameniva těženého 0 - 4 mm</t>
  </si>
  <si>
    <t>45_</t>
  </si>
  <si>
    <t>SO150_4_</t>
  </si>
  <si>
    <t>94</t>
  </si>
  <si>
    <t>452112121IM</t>
  </si>
  <si>
    <t>Osazení beton. prstenců pod mříže, výšky do 200 mm</t>
  </si>
  <si>
    <t>95</t>
  </si>
  <si>
    <t>452311141IM</t>
  </si>
  <si>
    <t>Desky podkladní pod potrubí z betonu C 16/20</t>
  </si>
  <si>
    <t>452351101IM</t>
  </si>
  <si>
    <t>Bednění desek nebo sedlových loží pod potrubí</t>
  </si>
  <si>
    <t>97</t>
  </si>
  <si>
    <t>5922405383RpolIM</t>
  </si>
  <si>
    <t>Dno šachtové betonové DN1000 bez kynety (kalová jímka)</t>
  </si>
  <si>
    <t>SO150_5_</t>
  </si>
  <si>
    <t>Potrubí z trub kameninových</t>
  </si>
  <si>
    <t>98</t>
  </si>
  <si>
    <t>831263195IM</t>
  </si>
  <si>
    <t>Příplatek za zřízení kanal. přípojky DN 100 - 300</t>
  </si>
  <si>
    <t>83_</t>
  </si>
  <si>
    <t>SO150_8_</t>
  </si>
  <si>
    <t>Potrubí z trub plastických, skleněných a čedičových</t>
  </si>
  <si>
    <t>871313121IM</t>
  </si>
  <si>
    <t>Montáž trub kanaliz. z plastu, hrdlových, DN 150</t>
  </si>
  <si>
    <t>87_</t>
  </si>
  <si>
    <t>100</t>
  </si>
  <si>
    <t>871353121IM</t>
  </si>
  <si>
    <t>Montáž trub kanaliz. z plastu, hrdlových, DN 200</t>
  </si>
  <si>
    <t>101</t>
  </si>
  <si>
    <t>877353123IM</t>
  </si>
  <si>
    <t>Montáž tvarovek jednoos. plast. gum.kroužek DN 200</t>
  </si>
  <si>
    <t>102</t>
  </si>
  <si>
    <t>Ostatní konstrukce a práce na trubním vedení</t>
  </si>
  <si>
    <t>103</t>
  </si>
  <si>
    <t>892581111IM</t>
  </si>
  <si>
    <t>Zkouška těsnosti kanalizace DN do 300, vodou</t>
  </si>
  <si>
    <t>89_</t>
  </si>
  <si>
    <t>104</t>
  </si>
  <si>
    <t>892855114IM</t>
  </si>
  <si>
    <t>Kontrola kanalizace TV kamerou do 200 m</t>
  </si>
  <si>
    <t>105</t>
  </si>
  <si>
    <t>894421112IM</t>
  </si>
  <si>
    <t>Osazení betonových dílců šachet do 1,4 t skruže rovné, na kroužek, do 1,4 t</t>
  </si>
  <si>
    <t>106</t>
  </si>
  <si>
    <t>894422111IM</t>
  </si>
  <si>
    <t>Osazení betonových dílců šachet skruže přechodové, na kroužek</t>
  </si>
  <si>
    <t>107</t>
  </si>
  <si>
    <t>894423111IM</t>
  </si>
  <si>
    <t>Osazení betonových dílců šachet do 2,0 t šachtová dna, na kroužek, do 2,0 t</t>
  </si>
  <si>
    <t>108</t>
  </si>
  <si>
    <t>894431112IM</t>
  </si>
  <si>
    <t>Osazení plastové šachty z dílů prům.600 mm</t>
  </si>
  <si>
    <t>109</t>
  </si>
  <si>
    <t>894432112IM</t>
  </si>
  <si>
    <t>Osazení plastové šachty revizní prům.425 mm</t>
  </si>
  <si>
    <t>110</t>
  </si>
  <si>
    <t>895941111IM</t>
  </si>
  <si>
    <t>Zřízení vpusti uliční z dílců typ UV - 50 normální</t>
  </si>
  <si>
    <t>111</t>
  </si>
  <si>
    <t>899102111IM</t>
  </si>
  <si>
    <t>Osazení poklopu s rámem do 100 kg</t>
  </si>
  <si>
    <t>112</t>
  </si>
  <si>
    <t>899104111IM</t>
  </si>
  <si>
    <t>Osazení poklopu s rámem nad 150 kg</t>
  </si>
  <si>
    <t>113</t>
  </si>
  <si>
    <t>899211112IM</t>
  </si>
  <si>
    <t>Osazení mříží litinových s rámem do 100 kg</t>
  </si>
  <si>
    <t>114</t>
  </si>
  <si>
    <t>899623181IM</t>
  </si>
  <si>
    <t>Obetonování potrubí nebo zdiva stok betonem C30/37</t>
  </si>
  <si>
    <t>115</t>
  </si>
  <si>
    <t>899643111IM</t>
  </si>
  <si>
    <t>Bednění pro obetonování potrubí v otevřeném výkopu</t>
  </si>
  <si>
    <t>116</t>
  </si>
  <si>
    <t>899711122IM</t>
  </si>
  <si>
    <t>Fólie výstražná z PVC šedá, šířka 30 cm</t>
  </si>
  <si>
    <t>H27</t>
  </si>
  <si>
    <t>Vedení trubní dálková a přípojná</t>
  </si>
  <si>
    <t>117</t>
  </si>
  <si>
    <t>998276201IM</t>
  </si>
  <si>
    <t>Přesun hmot, trub.vedení plast. obsypaná kamenivem</t>
  </si>
  <si>
    <t>H27_</t>
  </si>
  <si>
    <t>SO150_9_</t>
  </si>
  <si>
    <t>118</t>
  </si>
  <si>
    <t>583425651IM</t>
  </si>
  <si>
    <t>Kamenivo drcené 8/16</t>
  </si>
  <si>
    <t>SO150_Z_</t>
  </si>
  <si>
    <t>119</t>
  </si>
  <si>
    <t>28697908IM</t>
  </si>
  <si>
    <t>Blok vsakovací PP 0,8 x 0,8 x 0,66 m vč. bočních mřížek</t>
  </si>
  <si>
    <t>120</t>
  </si>
  <si>
    <t>28697915IM</t>
  </si>
  <si>
    <t>Části spojovací vsakovacích bloků, 10 ks</t>
  </si>
  <si>
    <t>121</t>
  </si>
  <si>
    <t>583424851IM</t>
  </si>
  <si>
    <t>Kamenivo drcené 4/8</t>
  </si>
  <si>
    <t>122</t>
  </si>
  <si>
    <t>67390503IM</t>
  </si>
  <si>
    <t>Geotextilie netkaná 300 g/m2</t>
  </si>
  <si>
    <t>123</t>
  </si>
  <si>
    <t>59224347.AIM</t>
  </si>
  <si>
    <t>Prstenec šachtový vyrovnávací 63/6</t>
  </si>
  <si>
    <t>124</t>
  </si>
  <si>
    <t>59224348.AIM</t>
  </si>
  <si>
    <t>Prstenec šachtový vyrovnávací 1 63/8</t>
  </si>
  <si>
    <t>125</t>
  </si>
  <si>
    <t>28611151.AIM</t>
  </si>
  <si>
    <t>Trubka kanalizační  SN 4 PVC 160 x 4,0 x 1000 mm</t>
  </si>
  <si>
    <t>126</t>
  </si>
  <si>
    <t>28611263.AIM</t>
  </si>
  <si>
    <t>Trubka kanalizační SN 8 PVC 200x5,9x1000</t>
  </si>
  <si>
    <t>127</t>
  </si>
  <si>
    <t>28651664.AIM</t>
  </si>
  <si>
    <t>Koleno kanalizační  160/ 87° PVC</t>
  </si>
  <si>
    <t>128</t>
  </si>
  <si>
    <t>28651669.AIM</t>
  </si>
  <si>
    <t>Koleno kanalizační 200/ 87° PVC</t>
  </si>
  <si>
    <t>129</t>
  </si>
  <si>
    <t>286971402IM</t>
  </si>
  <si>
    <t>Roura šachtová PP korugovaná 425 x 1500 mm</t>
  </si>
  <si>
    <t>130</t>
  </si>
  <si>
    <t>286971412IM</t>
  </si>
  <si>
    <t>Roura šachtová teleskopická s těsněním bez hrdla 425 x 375 mm</t>
  </si>
  <si>
    <t>131</t>
  </si>
  <si>
    <t>28697160IM</t>
  </si>
  <si>
    <t>Těsnění EPDM DN 600 pro teleskop a betonový prstenec</t>
  </si>
  <si>
    <t>132</t>
  </si>
  <si>
    <t>286971676IM</t>
  </si>
  <si>
    <t>Dno šachtové PP výkyvné 425 typ T DN/OD 160 mm</t>
  </si>
  <si>
    <t>133</t>
  </si>
  <si>
    <t>286971680IM</t>
  </si>
  <si>
    <t>Dno šachtové PP výkyvné 425 průtočné 60° DN/OD 200 mm</t>
  </si>
  <si>
    <t>134</t>
  </si>
  <si>
    <t>55241713IM</t>
  </si>
  <si>
    <t>Poklop šachtový litina 600, D400</t>
  </si>
  <si>
    <t>135</t>
  </si>
  <si>
    <t>55243064.AIM</t>
  </si>
  <si>
    <t>Poklop šachtový litina DN 425, D400  kruhový do teleskopu</t>
  </si>
  <si>
    <t>136</t>
  </si>
  <si>
    <t>55243096IM</t>
  </si>
  <si>
    <t>Mříž vtoková D400 prohnutá 500 x 500 mm</t>
  </si>
  <si>
    <t>137</t>
  </si>
  <si>
    <t>55243347IM</t>
  </si>
  <si>
    <t>Poklop šachtový litina d 610 mm "D3" D400</t>
  </si>
  <si>
    <t>138</t>
  </si>
  <si>
    <t>55343910IM</t>
  </si>
  <si>
    <t>Koš kalový pro mříž 500 x 500 mm, pozink v. 600 mm</t>
  </si>
  <si>
    <t>139</t>
  </si>
  <si>
    <t>592239010IM</t>
  </si>
  <si>
    <t>Skruž s otvorem TBV 3A, DN 150</t>
  </si>
  <si>
    <t>140</t>
  </si>
  <si>
    <t>592239022IM</t>
  </si>
  <si>
    <t>Skruž uliční vpusti horní TBV 5D - 450/570</t>
  </si>
  <si>
    <t>141</t>
  </si>
  <si>
    <t>5922405392IM</t>
  </si>
  <si>
    <t>Skruž šachtová beton 1000 x 500</t>
  </si>
  <si>
    <t>142</t>
  </si>
  <si>
    <t>5922405395IM</t>
  </si>
  <si>
    <t>Konus šachtový beton 1000/600 x 625/120</t>
  </si>
  <si>
    <t>143</t>
  </si>
  <si>
    <t>59224301IM</t>
  </si>
  <si>
    <t>Prstenec vyrovnávací TBV-Q 10a/60 DN 390</t>
  </si>
  <si>
    <t>144</t>
  </si>
  <si>
    <t>59224322IM</t>
  </si>
  <si>
    <t>Díl uliční vpusti spodní TBV-Q 2a/300 s odkalištěm</t>
  </si>
  <si>
    <t>145</t>
  </si>
  <si>
    <t>59224373.AIM</t>
  </si>
  <si>
    <t>Těsnění elastomerové pro šachtové díly EMT DN 1000</t>
  </si>
  <si>
    <t>Celkem:</t>
  </si>
  <si>
    <t>Krycí list slepého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</si>
  <si>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</si>
  <si>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</si>
  <si>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</si>
  <si>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</si>
  <si>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</si>
  <si>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</si>
  <si>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</si>
  <si>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</si>
  <si>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</si>
  <si>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</si>
  <si>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</si>
  <si>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</si>
  <si>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</si>
  <si>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Bez pevné podl.</t>
  </si>
  <si>
    <t>Mimostav. doprava</t>
  </si>
  <si>
    <t>PSV</t>
  </si>
  <si>
    <t>Kulturní památka</t>
  </si>
  <si>
    <t>Územní vlivy</t>
  </si>
  <si>
    <t>"M"</t>
  </si>
  <si>
    <t>Ostatní</t>
  </si>
  <si>
    <t>NUS z rozpočtu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</si>
  <si>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</si>
  <si>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</si>
  <si>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</si>
  <si>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</si>
  <si>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</si>
  <si>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</si>
  <si>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</si>
  <si>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</si>
  <si>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</si>
  <si>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</si>
  <si>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</si>
  <si>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</si>
  <si>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</si>
  <si>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</si>
  <si>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</si>
  <si>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</si>
  <si>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</si>
  <si>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</si>
  <si>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</si>
  <si>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</si>
  <si>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</si>
  <si>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</si>
  <si>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</si>
  <si>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</si>
  <si>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</si>
  <si>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</si>
  <si>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</si>
  <si>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</si>
  <si>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</si>
  <si>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Příprava staveniště</t>
  </si>
  <si>
    <t>Finanční náklady</t>
  </si>
  <si>
    <t>Náklady na pracovníky</t>
  </si>
  <si>
    <t>Ostatní náklady</t>
  </si>
  <si>
    <t>Vlastní VORN</t>
  </si>
  <si>
    <t>Celkem VORN</t>
  </si>
</sst>
</file>

<file path=xl/styles.xml><?xml version="1.0" encoding="utf-8"?>
<styleSheet xmlns="http://schemas.openxmlformats.org/spreadsheetml/2006/main">
  <numFmts count="0"/>
  <fonts count="11">
    <font>
      <sz val="11"/>
      <name val="Calibri"/>
      <charset val="1"/>
    </font>
    <font>
      <color rgb="FF000000"/>
      <sz val="18"/>
      <name val="Arial"/>
      <charset val="238"/>
    </font>
    <font>
      <color rgb="FF000000"/>
      <sz val="10"/>
      <name val="Arial"/>
      <charset val="238"/>
      <b/>
    </font>
    <font>
      <color rgb="FF000000"/>
      <sz val="10"/>
      <name val="Arial"/>
      <charset val="238"/>
    </font>
    <font>
      <color rgb="FF000000"/>
      <sz val="10"/>
      <name val="Arial"/>
      <charset val="238"/>
      <i/>
    </font>
    <font>
      <color rgb="FF000000"/>
      <sz val="8"/>
      <name val="Arial"/>
      <charset val="238"/>
      <i/>
    </font>
    <font>
      <color rgb="FF000000"/>
      <sz val="18"/>
      <name val="Arial"/>
      <charset val="238"/>
      <b/>
    </font>
    <font>
      <color rgb="FF000000"/>
      <sz val="20"/>
      <name val="Arial"/>
      <charset val="238"/>
      <b/>
    </font>
    <font>
      <color rgb="FF000000"/>
      <sz val="11"/>
      <name val="Arial"/>
      <charset val="238"/>
      <b/>
    </font>
    <font>
      <color rgb="FF000000"/>
      <sz val="12"/>
      <name val="Arial"/>
      <charset val="238"/>
      <b/>
    </font>
    <font>
      <color rgb="FF000000"/>
      <sz val="12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borderId="0" fillId="0" fontId="0" numFmtId="0"/>
  </cellStyleXfs>
  <cellXfs count="144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9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2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3" numFmtId="1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2" fontId="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2" fontId="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0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0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10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10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10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10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2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2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2" fontId="9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2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2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2" fontId="9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2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2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2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5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4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9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9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9" numFmtId="0" xfId="0">
      <alignment horizontal="right" vertical="center" textRotation="0" shrinkToFit="false" wrapText="false"/>
      <protection hidden="false" locked="true"/>
    </xf>
  </cellXfs>
  <dxfs count="0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drawing1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209"/>
  <sheetViews>
    <sheetView workbookViewId="0" tabSelected="true" showZeros="true" showFormulas="false" showGridLines="true" showRowColHeaders="true">
      <pane topLeftCell="A12" state="frozen" activePane="bottomLeft" ySplit="11"/>
      <selection pane="bottomLeft" sqref="A209:L209" activeCell="A209"/>
    </sheetView>
  </sheetViews>
  <sheetFormatPr defaultColWidth="12.140625" customHeight="true" defaultRowHeight="15"/>
  <cols>
    <col max="1" min="1" style="0" width="3.99609375" customWidth="true"/>
    <col max="2" min="2" style="0" width="7.5703125" customWidth="true"/>
    <col max="3" min="3" style="0" width="17.85546875" customWidth="true"/>
    <col max="4" min="4" style="0" width="28.5703125" customWidth="true"/>
    <col max="5" min="5" style="0" width="35.7109375" customWidth="true"/>
    <col max="6" min="6" style="0" width="6.7109375" customWidth="true"/>
    <col max="7" min="7" style="0" width="12.85546875" customWidth="true"/>
    <col max="8" min="8" style="0" width="12" customWidth="true"/>
    <col max="11" min="9" style="0" width="15.7109375" customWidth="true"/>
    <col max="12" min="12" style="0" width="13.42578125" customWidth="true"/>
    <col max="75" min="25" style="0" width="12.140625" hidden="true"/>
    <col max="76" min="76" style="0" width="64.28515625" customWidth="true" hidden="true"/>
    <col max="78" min="77" style="0" width="12.140625" hidden="true"/>
  </cols>
  <sheetData>
    <row r="1" customHeight="true" ht="54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AS1" s="2">
        <f>SUM(AJ1:AJ2)</f>
      </c>
      <c r="AT1" s="2">
        <f>SUM(AK1:AK2)</f>
      </c>
      <c r="AU1" s="2">
        <f>SUM(AL1:AL2)</f>
      </c>
    </row>
    <row r="2">
      <c r="A2" s="3" t="s">
        <v>1</v>
      </c>
      <c r="B2" s="4"/>
      <c r="C2" s="4"/>
      <c r="D2" s="5" t="s">
        <v>2</v>
      </c>
      <c r="E2" s="6"/>
      <c r="F2" s="4" t="s">
        <v>3</v>
      </c>
      <c r="G2" s="4"/>
      <c r="H2" s="4" t="s">
        <v>4</v>
      </c>
      <c r="I2" s="7" t="s">
        <v>5</v>
      </c>
      <c r="J2" s="4" t="s">
        <v>6</v>
      </c>
      <c r="K2" s="4"/>
      <c r="L2" s="8"/>
    </row>
    <row r="3">
      <c r="A3" s="9"/>
      <c r="B3" s="10"/>
      <c r="C3" s="10"/>
      <c r="D3" s="11"/>
      <c r="E3" s="11"/>
      <c r="F3" s="10"/>
      <c r="G3" s="10"/>
      <c r="H3" s="10"/>
      <c r="I3" s="10"/>
      <c r="J3" s="10"/>
      <c r="K3" s="10"/>
      <c r="L3" s="12"/>
    </row>
    <row r="4">
      <c r="A4" s="13" t="s">
        <v>7</v>
      </c>
      <c r="B4" s="10"/>
      <c r="C4" s="10"/>
      <c r="D4" s="14" t="s">
        <v>8</v>
      </c>
      <c r="E4" s="10"/>
      <c r="F4" s="10" t="s">
        <v>9</v>
      </c>
      <c r="G4" s="10"/>
      <c r="H4" s="10" t="s">
        <v>10</v>
      </c>
      <c r="I4" s="14" t="s">
        <v>11</v>
      </c>
      <c r="J4" s="10" t="s">
        <v>6</v>
      </c>
      <c r="K4" s="10"/>
      <c r="L4" s="12"/>
    </row>
    <row r="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2"/>
    </row>
    <row r="6">
      <c r="A6" s="13" t="s">
        <v>12</v>
      </c>
      <c r="B6" s="10"/>
      <c r="C6" s="10"/>
      <c r="D6" s="14" t="s">
        <v>13</v>
      </c>
      <c r="E6" s="10"/>
      <c r="F6" s="10" t="s">
        <v>14</v>
      </c>
      <c r="G6" s="10"/>
      <c r="H6" s="10" t="s">
        <v>15</v>
      </c>
      <c r="I6" s="14" t="s">
        <v>16</v>
      </c>
      <c r="J6" s="10" t="s">
        <v>6</v>
      </c>
      <c r="K6" s="10"/>
      <c r="L6" s="12"/>
    </row>
    <row r="7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2"/>
    </row>
    <row r="8">
      <c r="A8" s="13" t="s">
        <v>17</v>
      </c>
      <c r="B8" s="10"/>
      <c r="C8" s="10"/>
      <c r="D8" s="14" t="s">
        <v>8</v>
      </c>
      <c r="E8" s="10"/>
      <c r="F8" s="10" t="s">
        <v>18</v>
      </c>
      <c r="G8" s="10"/>
      <c r="H8" s="10" t="s">
        <v>19</v>
      </c>
      <c r="I8" s="14" t="s">
        <v>20</v>
      </c>
      <c r="J8" s="14" t="s">
        <v>21</v>
      </c>
      <c r="K8" s="10"/>
      <c r="L8" s="12"/>
    </row>
    <row r="9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>
      <c r="A10" s="18" t="s">
        <v>22</v>
      </c>
      <c r="B10" s="19" t="s">
        <v>23</v>
      </c>
      <c r="C10" s="19" t="s">
        <v>24</v>
      </c>
      <c r="D10" s="20" t="s">
        <v>25</v>
      </c>
      <c r="E10" s="21"/>
      <c r="F10" s="19" t="s">
        <v>26</v>
      </c>
      <c r="G10" s="22" t="s">
        <v>27</v>
      </c>
      <c r="H10" s="23" t="s">
        <v>28</v>
      </c>
      <c r="I10" s="24" t="s">
        <v>29</v>
      </c>
      <c r="J10" s="25"/>
      <c r="K10" s="26"/>
      <c r="L10" s="27" t="s">
        <v>30</v>
      </c>
      <c r="BK10" s="28" t="s">
        <v>31</v>
      </c>
      <c r="BL10" s="29" t="s">
        <v>32</v>
      </c>
      <c r="BW10" s="29" t="s">
        <v>33</v>
      </c>
    </row>
    <row r="11">
      <c r="A11" s="30" t="s">
        <v>8</v>
      </c>
      <c r="B11" s="31" t="s">
        <v>8</v>
      </c>
      <c r="C11" s="31" t="s">
        <v>8</v>
      </c>
      <c r="D11" s="32" t="s">
        <v>34</v>
      </c>
      <c r="E11" s="33"/>
      <c r="F11" s="31" t="s">
        <v>8</v>
      </c>
      <c r="G11" s="31" t="s">
        <v>8</v>
      </c>
      <c r="H11" s="34" t="s">
        <v>35</v>
      </c>
      <c r="I11" s="35" t="s">
        <v>36</v>
      </c>
      <c r="J11" s="36" t="s">
        <v>37</v>
      </c>
      <c r="K11" s="37" t="s">
        <v>38</v>
      </c>
      <c r="L11" s="38" t="s">
        <v>39</v>
      </c>
      <c r="Z11" s="28" t="s">
        <v>40</v>
      </c>
      <c r="AA11" s="28" t="s">
        <v>41</v>
      </c>
      <c r="AB11" s="28" t="s">
        <v>42</v>
      </c>
      <c r="AC11" s="28" t="s">
        <v>43</v>
      </c>
      <c r="AD11" s="28" t="s">
        <v>44</v>
      </c>
      <c r="AE11" s="28" t="s">
        <v>45</v>
      </c>
      <c r="AF11" s="28" t="s">
        <v>46</v>
      </c>
      <c r="AG11" s="28" t="s">
        <v>47</v>
      </c>
      <c r="AH11" s="28" t="s">
        <v>48</v>
      </c>
      <c r="BH11" s="28" t="s">
        <v>49</v>
      </c>
      <c r="BI11" s="28" t="s">
        <v>50</v>
      </c>
      <c r="BJ11" s="28" t="s">
        <v>51</v>
      </c>
    </row>
    <row r="12">
      <c r="A12" s="39" t="s">
        <v>52</v>
      </c>
      <c r="B12" s="40" t="s">
        <v>53</v>
      </c>
      <c r="C12" s="40" t="s">
        <v>52</v>
      </c>
      <c r="D12" s="41" t="s">
        <v>54</v>
      </c>
      <c r="E12" s="40"/>
      <c r="F12" s="42" t="s">
        <v>8</v>
      </c>
      <c r="G12" s="42" t="s">
        <v>8</v>
      </c>
      <c r="H12" s="42" t="s">
        <v>8</v>
      </c>
      <c r="I12" s="43">
        <f>I13+I15+I17+I21+I24+I30+I35+I45+I47+I49</f>
      </c>
      <c r="J12" s="43">
        <f>J13+J15+J17+J21+J24+J30+J35+J45+J47+J49</f>
      </c>
      <c r="K12" s="43">
        <f>K13+K15+K17+K21+K24+K30+K35+K45+K47+K49</f>
      </c>
      <c r="L12" s="44" t="s">
        <v>52</v>
      </c>
    </row>
    <row r="13">
      <c r="A13" s="45" t="s">
        <v>52</v>
      </c>
      <c r="B13" s="46" t="s">
        <v>53</v>
      </c>
      <c r="C13" s="46" t="s">
        <v>55</v>
      </c>
      <c r="D13" s="47" t="s">
        <v>56</v>
      </c>
      <c r="E13" s="46"/>
      <c r="F13" s="48" t="s">
        <v>8</v>
      </c>
      <c r="G13" s="48" t="s">
        <v>8</v>
      </c>
      <c r="H13" s="48" t="s">
        <v>8</v>
      </c>
      <c r="I13" s="2">
        <f>SUM(I14:I14)</f>
      </c>
      <c r="J13" s="2">
        <f>SUM(J14:J14)</f>
      </c>
      <c r="K13" s="2">
        <f>SUM(K14:K14)</f>
      </c>
      <c r="L13" s="49" t="s">
        <v>52</v>
      </c>
      <c r="AI13" s="28" t="s">
        <v>53</v>
      </c>
      <c r="AS13" s="2">
        <f>SUM(AJ14:AJ14)</f>
      </c>
      <c r="AT13" s="2">
        <f>SUM(AK14:AK14)</f>
      </c>
      <c r="AU13" s="2">
        <f>SUM(AL14:AL14)</f>
      </c>
    </row>
    <row r="14">
      <c r="A14" s="9" t="s">
        <v>57</v>
      </c>
      <c r="B14" s="10" t="s">
        <v>53</v>
      </c>
      <c r="C14" s="10" t="s">
        <v>58</v>
      </c>
      <c r="D14" s="14" t="s">
        <v>59</v>
      </c>
      <c r="E14" s="10"/>
      <c r="F14" s="10" t="s">
        <v>60</v>
      </c>
      <c r="G14" s="50" t="n">
        <v>93</v>
      </c>
      <c r="H14" s="50" t="n">
        <v>0</v>
      </c>
      <c r="I14" s="50">
        <f>ROUND(G14*AO14,2)</f>
      </c>
      <c r="J14" s="50">
        <f>ROUND(G14*AP14,2)</f>
      </c>
      <c r="K14" s="50">
        <f>ROUND(G14*H14,2)</f>
      </c>
      <c r="L14" s="51" t="s">
        <v>61</v>
      </c>
      <c r="Z14" s="50">
        <f>ROUND(IF(AQ14="5",BJ14,0),2)</f>
      </c>
      <c r="AB14" s="50">
        <f>ROUND(IF(AQ14="1",BH14,0),2)</f>
      </c>
      <c r="AC14" s="50">
        <f>ROUND(IF(AQ14="1",BI14,0),2)</f>
      </c>
      <c r="AD14" s="50">
        <f>ROUND(IF(AQ14="7",BH14,0),2)</f>
      </c>
      <c r="AE14" s="50">
        <f>ROUND(IF(AQ14="7",BI14,0),2)</f>
      </c>
      <c r="AF14" s="50">
        <f>ROUND(IF(AQ14="2",BH14,0),2)</f>
      </c>
      <c r="AG14" s="50">
        <f>ROUND(IF(AQ14="2",BI14,0),2)</f>
      </c>
      <c r="AH14" s="50">
        <f>ROUND(IF(AQ14="0",BJ14,0),2)</f>
      </c>
      <c r="AI14" s="28" t="s">
        <v>53</v>
      </c>
      <c r="AJ14" s="50">
        <f>IF(AN14=0,K14,0)</f>
      </c>
      <c r="AK14" s="50">
        <f>IF(AN14=12,K14,0)</f>
      </c>
      <c r="AL14" s="50">
        <f>IF(AN14=21,K14,0)</f>
      </c>
      <c r="AN14" s="50" t="n">
        <v>21</v>
      </c>
      <c r="AO14" s="50">
        <f>H14*0.672097235</f>
      </c>
      <c r="AP14" s="50">
        <f>H14*(1-0.672097235)</f>
      </c>
      <c r="AQ14" s="52" t="s">
        <v>57</v>
      </c>
      <c r="AV14" s="50">
        <f>ROUND(AW14+AX14,2)</f>
      </c>
      <c r="AW14" s="50">
        <f>ROUND(G14*AO14,2)</f>
      </c>
      <c r="AX14" s="50">
        <f>ROUND(G14*AP14,2)</f>
      </c>
      <c r="AY14" s="52" t="s">
        <v>62</v>
      </c>
      <c r="AZ14" s="52" t="s">
        <v>63</v>
      </c>
      <c r="BA14" s="28" t="s">
        <v>64</v>
      </c>
      <c r="BC14" s="50">
        <f>AW14+AX14</f>
      </c>
      <c r="BD14" s="50">
        <f>H14/(100-BE14)*100</f>
      </c>
      <c r="BE14" s="50" t="n">
        <v>0</v>
      </c>
      <c r="BF14" s="50">
        <f>14</f>
      </c>
      <c r="BH14" s="50">
        <f>G14*AO14</f>
      </c>
      <c r="BI14" s="50">
        <f>G14*AP14</f>
      </c>
      <c r="BJ14" s="50">
        <f>G14*H14</f>
      </c>
      <c r="BK14" s="52" t="s">
        <v>65</v>
      </c>
      <c r="BL14" s="50" t="n">
        <v>17</v>
      </c>
      <c r="BW14" s="50" t="n">
        <v>21</v>
      </c>
      <c r="BX14" s="14" t="s">
        <v>59</v>
      </c>
    </row>
    <row r="15">
      <c r="A15" s="45" t="s">
        <v>52</v>
      </c>
      <c r="B15" s="46" t="s">
        <v>53</v>
      </c>
      <c r="C15" s="46" t="s">
        <v>66</v>
      </c>
      <c r="D15" s="47" t="s">
        <v>67</v>
      </c>
      <c r="E15" s="46"/>
      <c r="F15" s="48" t="s">
        <v>8</v>
      </c>
      <c r="G15" s="48" t="s">
        <v>8</v>
      </c>
      <c r="H15" s="48" t="s">
        <v>8</v>
      </c>
      <c r="I15" s="2">
        <f>SUM(I16:I16)</f>
      </c>
      <c r="J15" s="2">
        <f>SUM(J16:J16)</f>
      </c>
      <c r="K15" s="2">
        <f>SUM(K16:K16)</f>
      </c>
      <c r="L15" s="49" t="s">
        <v>52</v>
      </c>
      <c r="AI15" s="28" t="s">
        <v>53</v>
      </c>
      <c r="AS15" s="2">
        <f>SUM(AJ16:AJ16)</f>
      </c>
      <c r="AT15" s="2">
        <f>SUM(AK16:AK16)</f>
      </c>
      <c r="AU15" s="2">
        <f>SUM(AL16:AL16)</f>
      </c>
    </row>
    <row r="16">
      <c r="A16" s="9" t="s">
        <v>68</v>
      </c>
      <c r="B16" s="10" t="s">
        <v>53</v>
      </c>
      <c r="C16" s="10" t="s">
        <v>69</v>
      </c>
      <c r="D16" s="14" t="s">
        <v>70</v>
      </c>
      <c r="E16" s="10"/>
      <c r="F16" s="10" t="s">
        <v>71</v>
      </c>
      <c r="G16" s="50" t="n">
        <v>258.7123</v>
      </c>
      <c r="H16" s="50" t="n">
        <v>0</v>
      </c>
      <c r="I16" s="50">
        <f>ROUND(G16*AO16,2)</f>
      </c>
      <c r="J16" s="50">
        <f>ROUND(G16*AP16,2)</f>
      </c>
      <c r="K16" s="50">
        <f>ROUND(G16*H16,2)</f>
      </c>
      <c r="L16" s="51" t="s">
        <v>61</v>
      </c>
      <c r="Z16" s="50">
        <f>ROUND(IF(AQ16="5",BJ16,0),2)</f>
      </c>
      <c r="AB16" s="50">
        <f>ROUND(IF(AQ16="1",BH16,0),2)</f>
      </c>
      <c r="AC16" s="50">
        <f>ROUND(IF(AQ16="1",BI16,0),2)</f>
      </c>
      <c r="AD16" s="50">
        <f>ROUND(IF(AQ16="7",BH16,0),2)</f>
      </c>
      <c r="AE16" s="50">
        <f>ROUND(IF(AQ16="7",BI16,0),2)</f>
      </c>
      <c r="AF16" s="50">
        <f>ROUND(IF(AQ16="2",BH16,0),2)</f>
      </c>
      <c r="AG16" s="50">
        <f>ROUND(IF(AQ16="2",BI16,0),2)</f>
      </c>
      <c r="AH16" s="50">
        <f>ROUND(IF(AQ16="0",BJ16,0),2)</f>
      </c>
      <c r="AI16" s="28" t="s">
        <v>53</v>
      </c>
      <c r="AJ16" s="50">
        <f>IF(AN16=0,K16,0)</f>
      </c>
      <c r="AK16" s="50">
        <f>IF(AN16=12,K16,0)</f>
      </c>
      <c r="AL16" s="50">
        <f>IF(AN16=21,K16,0)</f>
      </c>
      <c r="AN16" s="50" t="n">
        <v>21</v>
      </c>
      <c r="AO16" s="50">
        <f>H16*0</f>
      </c>
      <c r="AP16" s="50">
        <f>H16*(1-0)</f>
      </c>
      <c r="AQ16" s="52" t="s">
        <v>72</v>
      </c>
      <c r="AV16" s="50">
        <f>ROUND(AW16+AX16,2)</f>
      </c>
      <c r="AW16" s="50">
        <f>ROUND(G16*AO16,2)</f>
      </c>
      <c r="AX16" s="50">
        <f>ROUND(G16*AP16,2)</f>
      </c>
      <c r="AY16" s="52" t="s">
        <v>73</v>
      </c>
      <c r="AZ16" s="52" t="s">
        <v>74</v>
      </c>
      <c r="BA16" s="28" t="s">
        <v>64</v>
      </c>
      <c r="BC16" s="50">
        <f>AW16+AX16</f>
      </c>
      <c r="BD16" s="50">
        <f>H16/(100-BE16)*100</f>
      </c>
      <c r="BE16" s="50" t="n">
        <v>0</v>
      </c>
      <c r="BF16" s="50">
        <f>16</f>
      </c>
      <c r="BH16" s="50">
        <f>G16*AO16</f>
      </c>
      <c r="BI16" s="50">
        <f>G16*AP16</f>
      </c>
      <c r="BJ16" s="50">
        <f>G16*H16</f>
      </c>
      <c r="BK16" s="52" t="s">
        <v>65</v>
      </c>
      <c r="BL16" s="50"/>
      <c r="BW16" s="50" t="n">
        <v>21</v>
      </c>
      <c r="BX16" s="14" t="s">
        <v>70</v>
      </c>
    </row>
    <row r="17">
      <c r="A17" s="45" t="s">
        <v>52</v>
      </c>
      <c r="B17" s="46" t="s">
        <v>53</v>
      </c>
      <c r="C17" s="46" t="s">
        <v>75</v>
      </c>
      <c r="D17" s="47" t="s">
        <v>76</v>
      </c>
      <c r="E17" s="46"/>
      <c r="F17" s="48" t="s">
        <v>8</v>
      </c>
      <c r="G17" s="48" t="s">
        <v>8</v>
      </c>
      <c r="H17" s="48" t="s">
        <v>8</v>
      </c>
      <c r="I17" s="2">
        <f>SUM(I18:I20)</f>
      </c>
      <c r="J17" s="2">
        <f>SUM(J18:J20)</f>
      </c>
      <c r="K17" s="2">
        <f>SUM(K18:K20)</f>
      </c>
      <c r="L17" s="49" t="s">
        <v>52</v>
      </c>
      <c r="AI17" s="28" t="s">
        <v>53</v>
      </c>
      <c r="AS17" s="2">
        <f>SUM(AJ18:AJ20)</f>
      </c>
      <c r="AT17" s="2">
        <f>SUM(AK18:AK20)</f>
      </c>
      <c r="AU17" s="2">
        <f>SUM(AL18:AL20)</f>
      </c>
    </row>
    <row r="18">
      <c r="A18" s="9" t="s">
        <v>77</v>
      </c>
      <c r="B18" s="10" t="s">
        <v>53</v>
      </c>
      <c r="C18" s="10" t="s">
        <v>78</v>
      </c>
      <c r="D18" s="14" t="s">
        <v>79</v>
      </c>
      <c r="E18" s="10"/>
      <c r="F18" s="10" t="s">
        <v>80</v>
      </c>
      <c r="G18" s="50" t="n">
        <v>12</v>
      </c>
      <c r="H18" s="50" t="n">
        <v>0</v>
      </c>
      <c r="I18" s="50">
        <f>ROUND(G18*AO18,2)</f>
      </c>
      <c r="J18" s="50">
        <f>ROUND(G18*AP18,2)</f>
      </c>
      <c r="K18" s="50">
        <f>ROUND(G18*H18,2)</f>
      </c>
      <c r="L18" s="51" t="s">
        <v>61</v>
      </c>
      <c r="Z18" s="50">
        <f>ROUND(IF(AQ18="5",BJ18,0),2)</f>
      </c>
      <c r="AB18" s="50">
        <f>ROUND(IF(AQ18="1",BH18,0),2)</f>
      </c>
      <c r="AC18" s="50">
        <f>ROUND(IF(AQ18="1",BI18,0),2)</f>
      </c>
      <c r="AD18" s="50">
        <f>ROUND(IF(AQ18="7",BH18,0),2)</f>
      </c>
      <c r="AE18" s="50">
        <f>ROUND(IF(AQ18="7",BI18,0),2)</f>
      </c>
      <c r="AF18" s="50">
        <f>ROUND(IF(AQ18="2",BH18,0),2)</f>
      </c>
      <c r="AG18" s="50">
        <f>ROUND(IF(AQ18="2",BI18,0),2)</f>
      </c>
      <c r="AH18" s="50">
        <f>ROUND(IF(AQ18="0",BJ18,0),2)</f>
      </c>
      <c r="AI18" s="28" t="s">
        <v>53</v>
      </c>
      <c r="AJ18" s="50">
        <f>IF(AN18=0,K18,0)</f>
      </c>
      <c r="AK18" s="50">
        <f>IF(AN18=12,K18,0)</f>
      </c>
      <c r="AL18" s="50">
        <f>IF(AN18=21,K18,0)</f>
      </c>
      <c r="AN18" s="50" t="n">
        <v>21</v>
      </c>
      <c r="AO18" s="50">
        <f>H18*0.511267193</f>
      </c>
      <c r="AP18" s="50">
        <f>H18*(1-0.511267193)</f>
      </c>
      <c r="AQ18" s="52" t="s">
        <v>68</v>
      </c>
      <c r="AV18" s="50">
        <f>ROUND(AW18+AX18,2)</f>
      </c>
      <c r="AW18" s="50">
        <f>ROUND(G18*AO18,2)</f>
      </c>
      <c r="AX18" s="50">
        <f>ROUND(G18*AP18,2)</f>
      </c>
      <c r="AY18" s="52" t="s">
        <v>81</v>
      </c>
      <c r="AZ18" s="52" t="s">
        <v>74</v>
      </c>
      <c r="BA18" s="28" t="s">
        <v>64</v>
      </c>
      <c r="BC18" s="50">
        <f>AW18+AX18</f>
      </c>
      <c r="BD18" s="50">
        <f>H18/(100-BE18)*100</f>
      </c>
      <c r="BE18" s="50" t="n">
        <v>0</v>
      </c>
      <c r="BF18" s="50">
        <f>18</f>
      </c>
      <c r="BH18" s="50">
        <f>G18*AO18</f>
      </c>
      <c r="BI18" s="50">
        <f>G18*AP18</f>
      </c>
      <c r="BJ18" s="50">
        <f>G18*H18</f>
      </c>
      <c r="BK18" s="52" t="s">
        <v>65</v>
      </c>
      <c r="BL18" s="50"/>
      <c r="BW18" s="50" t="n">
        <v>21</v>
      </c>
      <c r="BX18" s="14" t="s">
        <v>79</v>
      </c>
    </row>
    <row r="19">
      <c r="A19" s="9" t="s">
        <v>82</v>
      </c>
      <c r="B19" s="10" t="s">
        <v>53</v>
      </c>
      <c r="C19" s="10" t="s">
        <v>83</v>
      </c>
      <c r="D19" s="14" t="s">
        <v>84</v>
      </c>
      <c r="E19" s="10"/>
      <c r="F19" s="10" t="s">
        <v>80</v>
      </c>
      <c r="G19" s="50" t="n">
        <v>12</v>
      </c>
      <c r="H19" s="50" t="n">
        <v>0</v>
      </c>
      <c r="I19" s="50">
        <f>ROUND(G19*AO19,2)</f>
      </c>
      <c r="J19" s="50">
        <f>ROUND(G19*AP19,2)</f>
      </c>
      <c r="K19" s="50">
        <f>ROUND(G19*H19,2)</f>
      </c>
      <c r="L19" s="51" t="s">
        <v>61</v>
      </c>
      <c r="Z19" s="50">
        <f>ROUND(IF(AQ19="5",BJ19,0),2)</f>
      </c>
      <c r="AB19" s="50">
        <f>ROUND(IF(AQ19="1",BH19,0),2)</f>
      </c>
      <c r="AC19" s="50">
        <f>ROUND(IF(AQ19="1",BI19,0),2)</f>
      </c>
      <c r="AD19" s="50">
        <f>ROUND(IF(AQ19="7",BH19,0),2)</f>
      </c>
      <c r="AE19" s="50">
        <f>ROUND(IF(AQ19="7",BI19,0),2)</f>
      </c>
      <c r="AF19" s="50">
        <f>ROUND(IF(AQ19="2",BH19,0),2)</f>
      </c>
      <c r="AG19" s="50">
        <f>ROUND(IF(AQ19="2",BI19,0),2)</f>
      </c>
      <c r="AH19" s="50">
        <f>ROUND(IF(AQ19="0",BJ19,0),2)</f>
      </c>
      <c r="AI19" s="28" t="s">
        <v>53</v>
      </c>
      <c r="AJ19" s="50">
        <f>IF(AN19=0,K19,0)</f>
      </c>
      <c r="AK19" s="50">
        <f>IF(AN19=12,K19,0)</f>
      </c>
      <c r="AL19" s="50">
        <f>IF(AN19=21,K19,0)</f>
      </c>
      <c r="AN19" s="50" t="n">
        <v>21</v>
      </c>
      <c r="AO19" s="50">
        <f>H19*0</f>
      </c>
      <c r="AP19" s="50">
        <f>H19*(1-0)</f>
      </c>
      <c r="AQ19" s="52" t="s">
        <v>68</v>
      </c>
      <c r="AV19" s="50">
        <f>ROUND(AW19+AX19,2)</f>
      </c>
      <c r="AW19" s="50">
        <f>ROUND(G19*AO19,2)</f>
      </c>
      <c r="AX19" s="50">
        <f>ROUND(G19*AP19,2)</f>
      </c>
      <c r="AY19" s="52" t="s">
        <v>81</v>
      </c>
      <c r="AZ19" s="52" t="s">
        <v>74</v>
      </c>
      <c r="BA19" s="28" t="s">
        <v>64</v>
      </c>
      <c r="BC19" s="50">
        <f>AW19+AX19</f>
      </c>
      <c r="BD19" s="50">
        <f>H19/(100-BE19)*100</f>
      </c>
      <c r="BE19" s="50" t="n">
        <v>0</v>
      </c>
      <c r="BF19" s="50">
        <f>19</f>
      </c>
      <c r="BH19" s="50">
        <f>G19*AO19</f>
      </c>
      <c r="BI19" s="50">
        <f>G19*AP19</f>
      </c>
      <c r="BJ19" s="50">
        <f>G19*H19</f>
      </c>
      <c r="BK19" s="52" t="s">
        <v>65</v>
      </c>
      <c r="BL19" s="50"/>
      <c r="BW19" s="50" t="n">
        <v>21</v>
      </c>
      <c r="BX19" s="14" t="s">
        <v>84</v>
      </c>
    </row>
    <row r="20">
      <c r="A20" s="9" t="s">
        <v>72</v>
      </c>
      <c r="B20" s="10" t="s">
        <v>53</v>
      </c>
      <c r="C20" s="10" t="s">
        <v>85</v>
      </c>
      <c r="D20" s="14" t="s">
        <v>86</v>
      </c>
      <c r="E20" s="10"/>
      <c r="F20" s="10" t="s">
        <v>80</v>
      </c>
      <c r="G20" s="50" t="n">
        <v>26</v>
      </c>
      <c r="H20" s="50" t="n">
        <v>0</v>
      </c>
      <c r="I20" s="50">
        <f>ROUND(G20*AO20,2)</f>
      </c>
      <c r="J20" s="50">
        <f>ROUND(G20*AP20,2)</f>
      </c>
      <c r="K20" s="50">
        <f>ROUND(G20*H20,2)</f>
      </c>
      <c r="L20" s="51" t="s">
        <v>61</v>
      </c>
      <c r="Z20" s="50">
        <f>ROUND(IF(AQ20="5",BJ20,0),2)</f>
      </c>
      <c r="AB20" s="50">
        <f>ROUND(IF(AQ20="1",BH20,0),2)</f>
      </c>
      <c r="AC20" s="50">
        <f>ROUND(IF(AQ20="1",BI20,0),2)</f>
      </c>
      <c r="AD20" s="50">
        <f>ROUND(IF(AQ20="7",BH20,0),2)</f>
      </c>
      <c r="AE20" s="50">
        <f>ROUND(IF(AQ20="7",BI20,0),2)</f>
      </c>
      <c r="AF20" s="50">
        <f>ROUND(IF(AQ20="2",BH20,0),2)</f>
      </c>
      <c r="AG20" s="50">
        <f>ROUND(IF(AQ20="2",BI20,0),2)</f>
      </c>
      <c r="AH20" s="50">
        <f>ROUND(IF(AQ20="0",BJ20,0),2)</f>
      </c>
      <c r="AI20" s="28" t="s">
        <v>53</v>
      </c>
      <c r="AJ20" s="50">
        <f>IF(AN20=0,K20,0)</f>
      </c>
      <c r="AK20" s="50">
        <f>IF(AN20=12,K20,0)</f>
      </c>
      <c r="AL20" s="50">
        <f>IF(AN20=21,K20,0)</f>
      </c>
      <c r="AN20" s="50" t="n">
        <v>21</v>
      </c>
      <c r="AO20" s="50">
        <f>H20*0</f>
      </c>
      <c r="AP20" s="50">
        <f>H20*(1-0)</f>
      </c>
      <c r="AQ20" s="52" t="s">
        <v>68</v>
      </c>
      <c r="AV20" s="50">
        <f>ROUND(AW20+AX20,2)</f>
      </c>
      <c r="AW20" s="50">
        <f>ROUND(G20*AO20,2)</f>
      </c>
      <c r="AX20" s="50">
        <f>ROUND(G20*AP20,2)</f>
      </c>
      <c r="AY20" s="52" t="s">
        <v>81</v>
      </c>
      <c r="AZ20" s="52" t="s">
        <v>74</v>
      </c>
      <c r="BA20" s="28" t="s">
        <v>64</v>
      </c>
      <c r="BC20" s="50">
        <f>AW20+AX20</f>
      </c>
      <c r="BD20" s="50">
        <f>H20/(100-BE20)*100</f>
      </c>
      <c r="BE20" s="50" t="n">
        <v>0</v>
      </c>
      <c r="BF20" s="50">
        <f>20</f>
      </c>
      <c r="BH20" s="50">
        <f>G20*AO20</f>
      </c>
      <c r="BI20" s="50">
        <f>G20*AP20</f>
      </c>
      <c r="BJ20" s="50">
        <f>G20*H20</f>
      </c>
      <c r="BK20" s="52" t="s">
        <v>65</v>
      </c>
      <c r="BL20" s="50"/>
      <c r="BW20" s="50" t="n">
        <v>21</v>
      </c>
      <c r="BX20" s="14" t="s">
        <v>86</v>
      </c>
    </row>
    <row r="21">
      <c r="A21" s="45" t="s">
        <v>52</v>
      </c>
      <c r="B21" s="46" t="s">
        <v>53</v>
      </c>
      <c r="C21" s="46" t="s">
        <v>87</v>
      </c>
      <c r="D21" s="47" t="s">
        <v>88</v>
      </c>
      <c r="E21" s="46"/>
      <c r="F21" s="48" t="s">
        <v>8</v>
      </c>
      <c r="G21" s="48" t="s">
        <v>8</v>
      </c>
      <c r="H21" s="48" t="s">
        <v>8</v>
      </c>
      <c r="I21" s="2">
        <f>SUM(I22:I23)</f>
      </c>
      <c r="J21" s="2">
        <f>SUM(J22:J23)</f>
      </c>
      <c r="K21" s="2">
        <f>SUM(K22:K23)</f>
      </c>
      <c r="L21" s="49" t="s">
        <v>52</v>
      </c>
      <c r="AI21" s="28" t="s">
        <v>53</v>
      </c>
      <c r="AS21" s="2">
        <f>SUM(AJ22:AJ23)</f>
      </c>
      <c r="AT21" s="2">
        <f>SUM(AK22:AK23)</f>
      </c>
      <c r="AU21" s="2">
        <f>SUM(AL22:AL23)</f>
      </c>
    </row>
    <row r="22">
      <c r="A22" s="9" t="s">
        <v>89</v>
      </c>
      <c r="B22" s="10" t="s">
        <v>53</v>
      </c>
      <c r="C22" s="10" t="s">
        <v>90</v>
      </c>
      <c r="D22" s="14" t="s">
        <v>91</v>
      </c>
      <c r="E22" s="10"/>
      <c r="F22" s="10" t="s">
        <v>80</v>
      </c>
      <c r="G22" s="50" t="n">
        <v>12</v>
      </c>
      <c r="H22" s="50" t="n">
        <v>0</v>
      </c>
      <c r="I22" s="50">
        <f>ROUND(G22*AO22,2)</f>
      </c>
      <c r="J22" s="50">
        <f>ROUND(G22*AP22,2)</f>
      </c>
      <c r="K22" s="50">
        <f>ROUND(G22*H22,2)</f>
      </c>
      <c r="L22" s="51" t="s">
        <v>61</v>
      </c>
      <c r="Z22" s="50">
        <f>ROUND(IF(AQ22="5",BJ22,0),2)</f>
      </c>
      <c r="AB22" s="50">
        <f>ROUND(IF(AQ22="1",BH22,0),2)</f>
      </c>
      <c r="AC22" s="50">
        <f>ROUND(IF(AQ22="1",BI22,0),2)</f>
      </c>
      <c r="AD22" s="50">
        <f>ROUND(IF(AQ22="7",BH22,0),2)</f>
      </c>
      <c r="AE22" s="50">
        <f>ROUND(IF(AQ22="7",BI22,0),2)</f>
      </c>
      <c r="AF22" s="50">
        <f>ROUND(IF(AQ22="2",BH22,0),2)</f>
      </c>
      <c r="AG22" s="50">
        <f>ROUND(IF(AQ22="2",BI22,0),2)</f>
      </c>
      <c r="AH22" s="50">
        <f>ROUND(IF(AQ22="0",BJ22,0),2)</f>
      </c>
      <c r="AI22" s="28" t="s">
        <v>53</v>
      </c>
      <c r="AJ22" s="50">
        <f>IF(AN22=0,K22,0)</f>
      </c>
      <c r="AK22" s="50">
        <f>IF(AN22=12,K22,0)</f>
      </c>
      <c r="AL22" s="50">
        <f>IF(AN22=21,K22,0)</f>
      </c>
      <c r="AN22" s="50" t="n">
        <v>21</v>
      </c>
      <c r="AO22" s="50">
        <f>H22*0</f>
      </c>
      <c r="AP22" s="50">
        <f>H22*(1-0)</f>
      </c>
      <c r="AQ22" s="52" t="s">
        <v>68</v>
      </c>
      <c r="AV22" s="50">
        <f>ROUND(AW22+AX22,2)</f>
      </c>
      <c r="AW22" s="50">
        <f>ROUND(G22*AO22,2)</f>
      </c>
      <c r="AX22" s="50">
        <f>ROUND(G22*AP22,2)</f>
      </c>
      <c r="AY22" s="52" t="s">
        <v>92</v>
      </c>
      <c r="AZ22" s="52" t="s">
        <v>74</v>
      </c>
      <c r="BA22" s="28" t="s">
        <v>64</v>
      </c>
      <c r="BC22" s="50">
        <f>AW22+AX22</f>
      </c>
      <c r="BD22" s="50">
        <f>H22/(100-BE22)*100</f>
      </c>
      <c r="BE22" s="50" t="n">
        <v>0</v>
      </c>
      <c r="BF22" s="50">
        <f>22</f>
      </c>
      <c r="BH22" s="50">
        <f>G22*AO22</f>
      </c>
      <c r="BI22" s="50">
        <f>G22*AP22</f>
      </c>
      <c r="BJ22" s="50">
        <f>G22*H22</f>
      </c>
      <c r="BK22" s="52" t="s">
        <v>65</v>
      </c>
      <c r="BL22" s="50"/>
      <c r="BW22" s="50" t="n">
        <v>21</v>
      </c>
      <c r="BX22" s="14" t="s">
        <v>91</v>
      </c>
    </row>
    <row r="23">
      <c r="A23" s="9" t="s">
        <v>93</v>
      </c>
      <c r="B23" s="10" t="s">
        <v>53</v>
      </c>
      <c r="C23" s="10" t="s">
        <v>94</v>
      </c>
      <c r="D23" s="14" t="s">
        <v>95</v>
      </c>
      <c r="E23" s="10"/>
      <c r="F23" s="10" t="s">
        <v>80</v>
      </c>
      <c r="G23" s="50" t="n">
        <v>12</v>
      </c>
      <c r="H23" s="50" t="n">
        <v>0</v>
      </c>
      <c r="I23" s="50">
        <f>ROUND(G23*AO23,2)</f>
      </c>
      <c r="J23" s="50">
        <f>ROUND(G23*AP23,2)</f>
      </c>
      <c r="K23" s="50">
        <f>ROUND(G23*H23,2)</f>
      </c>
      <c r="L23" s="51" t="s">
        <v>61</v>
      </c>
      <c r="Z23" s="50">
        <f>ROUND(IF(AQ23="5",BJ23,0),2)</f>
      </c>
      <c r="AB23" s="50">
        <f>ROUND(IF(AQ23="1",BH23,0),2)</f>
      </c>
      <c r="AC23" s="50">
        <f>ROUND(IF(AQ23="1",BI23,0),2)</f>
      </c>
      <c r="AD23" s="50">
        <f>ROUND(IF(AQ23="7",BH23,0),2)</f>
      </c>
      <c r="AE23" s="50">
        <f>ROUND(IF(AQ23="7",BI23,0),2)</f>
      </c>
      <c r="AF23" s="50">
        <f>ROUND(IF(AQ23="2",BH23,0),2)</f>
      </c>
      <c r="AG23" s="50">
        <f>ROUND(IF(AQ23="2",BI23,0),2)</f>
      </c>
      <c r="AH23" s="50">
        <f>ROUND(IF(AQ23="0",BJ23,0),2)</f>
      </c>
      <c r="AI23" s="28" t="s">
        <v>53</v>
      </c>
      <c r="AJ23" s="50">
        <f>IF(AN23=0,K23,0)</f>
      </c>
      <c r="AK23" s="50">
        <f>IF(AN23=12,K23,0)</f>
      </c>
      <c r="AL23" s="50">
        <f>IF(AN23=21,K23,0)</f>
      </c>
      <c r="AN23" s="50" t="n">
        <v>21</v>
      </c>
      <c r="AO23" s="50">
        <f>H23*0</f>
      </c>
      <c r="AP23" s="50">
        <f>H23*(1-0)</f>
      </c>
      <c r="AQ23" s="52" t="s">
        <v>68</v>
      </c>
      <c r="AV23" s="50">
        <f>ROUND(AW23+AX23,2)</f>
      </c>
      <c r="AW23" s="50">
        <f>ROUND(G23*AO23,2)</f>
      </c>
      <c r="AX23" s="50">
        <f>ROUND(G23*AP23,2)</f>
      </c>
      <c r="AY23" s="52" t="s">
        <v>92</v>
      </c>
      <c r="AZ23" s="52" t="s">
        <v>74</v>
      </c>
      <c r="BA23" s="28" t="s">
        <v>64</v>
      </c>
      <c r="BC23" s="50">
        <f>AW23+AX23</f>
      </c>
      <c r="BD23" s="50">
        <f>H23/(100-BE23)*100</f>
      </c>
      <c r="BE23" s="50" t="n">
        <v>0</v>
      </c>
      <c r="BF23" s="50">
        <f>23</f>
      </c>
      <c r="BH23" s="50">
        <f>G23*AO23</f>
      </c>
      <c r="BI23" s="50">
        <f>G23*AP23</f>
      </c>
      <c r="BJ23" s="50">
        <f>G23*H23</f>
      </c>
      <c r="BK23" s="52" t="s">
        <v>65</v>
      </c>
      <c r="BL23" s="50"/>
      <c r="BW23" s="50" t="n">
        <v>21</v>
      </c>
      <c r="BX23" s="14" t="s">
        <v>95</v>
      </c>
    </row>
    <row r="24">
      <c r="A24" s="45" t="s">
        <v>52</v>
      </c>
      <c r="B24" s="46" t="s">
        <v>53</v>
      </c>
      <c r="C24" s="46" t="s">
        <v>96</v>
      </c>
      <c r="D24" s="47" t="s">
        <v>97</v>
      </c>
      <c r="E24" s="46"/>
      <c r="F24" s="48" t="s">
        <v>8</v>
      </c>
      <c r="G24" s="48" t="s">
        <v>8</v>
      </c>
      <c r="H24" s="48" t="s">
        <v>8</v>
      </c>
      <c r="I24" s="2">
        <f>SUM(I25:I29)</f>
      </c>
      <c r="J24" s="2">
        <f>SUM(J25:J29)</f>
      </c>
      <c r="K24" s="2">
        <f>SUM(K25:K29)</f>
      </c>
      <c r="L24" s="49" t="s">
        <v>52</v>
      </c>
      <c r="AI24" s="28" t="s">
        <v>53</v>
      </c>
      <c r="AS24" s="2">
        <f>SUM(AJ25:AJ29)</f>
      </c>
      <c r="AT24" s="2">
        <f>SUM(AK25:AK29)</f>
      </c>
      <c r="AU24" s="2">
        <f>SUM(AL25:AL29)</f>
      </c>
    </row>
    <row r="25">
      <c r="A25" s="9" t="s">
        <v>98</v>
      </c>
      <c r="B25" s="10" t="s">
        <v>53</v>
      </c>
      <c r="C25" s="10" t="s">
        <v>99</v>
      </c>
      <c r="D25" s="14" t="s">
        <v>100</v>
      </c>
      <c r="E25" s="10"/>
      <c r="F25" s="10" t="s">
        <v>101</v>
      </c>
      <c r="G25" s="50" t="n">
        <v>155</v>
      </c>
      <c r="H25" s="50" t="n">
        <v>0</v>
      </c>
      <c r="I25" s="50">
        <f>ROUND(G25*AO25,2)</f>
      </c>
      <c r="J25" s="50">
        <f>ROUND(G25*AP25,2)</f>
      </c>
      <c r="K25" s="50">
        <f>ROUND(G25*H25,2)</f>
      </c>
      <c r="L25" s="51" t="s">
        <v>61</v>
      </c>
      <c r="Z25" s="50">
        <f>ROUND(IF(AQ25="5",BJ25,0),2)</f>
      </c>
      <c r="AB25" s="50">
        <f>ROUND(IF(AQ25="1",BH25,0),2)</f>
      </c>
      <c r="AC25" s="50">
        <f>ROUND(IF(AQ25="1",BI25,0),2)</f>
      </c>
      <c r="AD25" s="50">
        <f>ROUND(IF(AQ25="7",BH25,0),2)</f>
      </c>
      <c r="AE25" s="50">
        <f>ROUND(IF(AQ25="7",BI25,0),2)</f>
      </c>
      <c r="AF25" s="50">
        <f>ROUND(IF(AQ25="2",BH25,0),2)</f>
      </c>
      <c r="AG25" s="50">
        <f>ROUND(IF(AQ25="2",BI25,0),2)</f>
      </c>
      <c r="AH25" s="50">
        <f>ROUND(IF(AQ25="0",BJ25,0),2)</f>
      </c>
      <c r="AI25" s="28" t="s">
        <v>53</v>
      </c>
      <c r="AJ25" s="50">
        <f>IF(AN25=0,K25,0)</f>
      </c>
      <c r="AK25" s="50">
        <f>IF(AN25=12,K25,0)</f>
      </c>
      <c r="AL25" s="50">
        <f>IF(AN25=21,K25,0)</f>
      </c>
      <c r="AN25" s="50" t="n">
        <v>21</v>
      </c>
      <c r="AO25" s="50">
        <f>H25*0</f>
      </c>
      <c r="AP25" s="50">
        <f>H25*(1-0)</f>
      </c>
      <c r="AQ25" s="52" t="s">
        <v>68</v>
      </c>
      <c r="AV25" s="50">
        <f>ROUND(AW25+AX25,2)</f>
      </c>
      <c r="AW25" s="50">
        <f>ROUND(G25*AO25,2)</f>
      </c>
      <c r="AX25" s="50">
        <f>ROUND(G25*AP25,2)</f>
      </c>
      <c r="AY25" s="52" t="s">
        <v>102</v>
      </c>
      <c r="AZ25" s="52" t="s">
        <v>74</v>
      </c>
      <c r="BA25" s="28" t="s">
        <v>64</v>
      </c>
      <c r="BC25" s="50">
        <f>AW25+AX25</f>
      </c>
      <c r="BD25" s="50">
        <f>H25/(100-BE25)*100</f>
      </c>
      <c r="BE25" s="50" t="n">
        <v>0</v>
      </c>
      <c r="BF25" s="50">
        <f>25</f>
      </c>
      <c r="BH25" s="50">
        <f>G25*AO25</f>
      </c>
      <c r="BI25" s="50">
        <f>G25*AP25</f>
      </c>
      <c r="BJ25" s="50">
        <f>G25*H25</f>
      </c>
      <c r="BK25" s="52" t="s">
        <v>65</v>
      </c>
      <c r="BL25" s="50"/>
      <c r="BW25" s="50" t="n">
        <v>21</v>
      </c>
      <c r="BX25" s="14" t="s">
        <v>100</v>
      </c>
    </row>
    <row r="26">
      <c r="A26" s="9" t="s">
        <v>103</v>
      </c>
      <c r="B26" s="10" t="s">
        <v>53</v>
      </c>
      <c r="C26" s="10" t="s">
        <v>104</v>
      </c>
      <c r="D26" s="14" t="s">
        <v>105</v>
      </c>
      <c r="E26" s="10"/>
      <c r="F26" s="10" t="s">
        <v>80</v>
      </c>
      <c r="G26" s="50" t="n">
        <v>12</v>
      </c>
      <c r="H26" s="50" t="n">
        <v>0</v>
      </c>
      <c r="I26" s="50">
        <f>ROUND(G26*AO26,2)</f>
      </c>
      <c r="J26" s="50">
        <f>ROUND(G26*AP26,2)</f>
      </c>
      <c r="K26" s="50">
        <f>ROUND(G26*H26,2)</f>
      </c>
      <c r="L26" s="51" t="s">
        <v>61</v>
      </c>
      <c r="Z26" s="50">
        <f>ROUND(IF(AQ26="5",BJ26,0),2)</f>
      </c>
      <c r="AB26" s="50">
        <f>ROUND(IF(AQ26="1",BH26,0),2)</f>
      </c>
      <c r="AC26" s="50">
        <f>ROUND(IF(AQ26="1",BI26,0),2)</f>
      </c>
      <c r="AD26" s="50">
        <f>ROUND(IF(AQ26="7",BH26,0),2)</f>
      </c>
      <c r="AE26" s="50">
        <f>ROUND(IF(AQ26="7",BI26,0),2)</f>
      </c>
      <c r="AF26" s="50">
        <f>ROUND(IF(AQ26="2",BH26,0),2)</f>
      </c>
      <c r="AG26" s="50">
        <f>ROUND(IF(AQ26="2",BI26,0),2)</f>
      </c>
      <c r="AH26" s="50">
        <f>ROUND(IF(AQ26="0",BJ26,0),2)</f>
      </c>
      <c r="AI26" s="28" t="s">
        <v>53</v>
      </c>
      <c r="AJ26" s="50">
        <f>IF(AN26=0,K26,0)</f>
      </c>
      <c r="AK26" s="50">
        <f>IF(AN26=12,K26,0)</f>
      </c>
      <c r="AL26" s="50">
        <f>IF(AN26=21,K26,0)</f>
      </c>
      <c r="AN26" s="50" t="n">
        <v>21</v>
      </c>
      <c r="AO26" s="50">
        <f>H26*0</f>
      </c>
      <c r="AP26" s="50">
        <f>H26*(1-0)</f>
      </c>
      <c r="AQ26" s="52" t="s">
        <v>68</v>
      </c>
      <c r="AV26" s="50">
        <f>ROUND(AW26+AX26,2)</f>
      </c>
      <c r="AW26" s="50">
        <f>ROUND(G26*AO26,2)</f>
      </c>
      <c r="AX26" s="50">
        <f>ROUND(G26*AP26,2)</f>
      </c>
      <c r="AY26" s="52" t="s">
        <v>102</v>
      </c>
      <c r="AZ26" s="52" t="s">
        <v>74</v>
      </c>
      <c r="BA26" s="28" t="s">
        <v>64</v>
      </c>
      <c r="BC26" s="50">
        <f>AW26+AX26</f>
      </c>
      <c r="BD26" s="50">
        <f>H26/(100-BE26)*100</f>
      </c>
      <c r="BE26" s="50" t="n">
        <v>0</v>
      </c>
      <c r="BF26" s="50">
        <f>26</f>
      </c>
      <c r="BH26" s="50">
        <f>G26*AO26</f>
      </c>
      <c r="BI26" s="50">
        <f>G26*AP26</f>
      </c>
      <c r="BJ26" s="50">
        <f>G26*H26</f>
      </c>
      <c r="BK26" s="52" t="s">
        <v>65</v>
      </c>
      <c r="BL26" s="50"/>
      <c r="BW26" s="50" t="n">
        <v>21</v>
      </c>
      <c r="BX26" s="14" t="s">
        <v>105</v>
      </c>
    </row>
    <row r="27">
      <c r="A27" s="9" t="s">
        <v>106</v>
      </c>
      <c r="B27" s="10" t="s">
        <v>53</v>
      </c>
      <c r="C27" s="10" t="s">
        <v>107</v>
      </c>
      <c r="D27" s="14" t="s">
        <v>108</v>
      </c>
      <c r="E27" s="10"/>
      <c r="F27" s="10" t="s">
        <v>101</v>
      </c>
      <c r="G27" s="50" t="n">
        <v>155</v>
      </c>
      <c r="H27" s="50" t="n">
        <v>0</v>
      </c>
      <c r="I27" s="50">
        <f>ROUND(G27*AO27,2)</f>
      </c>
      <c r="J27" s="50">
        <f>ROUND(G27*AP27,2)</f>
      </c>
      <c r="K27" s="50">
        <f>ROUND(G27*H27,2)</f>
      </c>
      <c r="L27" s="51" t="s">
        <v>61</v>
      </c>
      <c r="Z27" s="50">
        <f>ROUND(IF(AQ27="5",BJ27,0),2)</f>
      </c>
      <c r="AB27" s="50">
        <f>ROUND(IF(AQ27="1",BH27,0),2)</f>
      </c>
      <c r="AC27" s="50">
        <f>ROUND(IF(AQ27="1",BI27,0),2)</f>
      </c>
      <c r="AD27" s="50">
        <f>ROUND(IF(AQ27="7",BH27,0),2)</f>
      </c>
      <c r="AE27" s="50">
        <f>ROUND(IF(AQ27="7",BI27,0),2)</f>
      </c>
      <c r="AF27" s="50">
        <f>ROUND(IF(AQ27="2",BH27,0),2)</f>
      </c>
      <c r="AG27" s="50">
        <f>ROUND(IF(AQ27="2",BI27,0),2)</f>
      </c>
      <c r="AH27" s="50">
        <f>ROUND(IF(AQ27="0",BJ27,0),2)</f>
      </c>
      <c r="AI27" s="28" t="s">
        <v>53</v>
      </c>
      <c r="AJ27" s="50">
        <f>IF(AN27=0,K27,0)</f>
      </c>
      <c r="AK27" s="50">
        <f>IF(AN27=12,K27,0)</f>
      </c>
      <c r="AL27" s="50">
        <f>IF(AN27=21,K27,0)</f>
      </c>
      <c r="AN27" s="50" t="n">
        <v>21</v>
      </c>
      <c r="AO27" s="50">
        <f>H27*0</f>
      </c>
      <c r="AP27" s="50">
        <f>H27*(1-0)</f>
      </c>
      <c r="AQ27" s="52" t="s">
        <v>68</v>
      </c>
      <c r="AV27" s="50">
        <f>ROUND(AW27+AX27,2)</f>
      </c>
      <c r="AW27" s="50">
        <f>ROUND(G27*AO27,2)</f>
      </c>
      <c r="AX27" s="50">
        <f>ROUND(G27*AP27,2)</f>
      </c>
      <c r="AY27" s="52" t="s">
        <v>102</v>
      </c>
      <c r="AZ27" s="52" t="s">
        <v>74</v>
      </c>
      <c r="BA27" s="28" t="s">
        <v>64</v>
      </c>
      <c r="BC27" s="50">
        <f>AW27+AX27</f>
      </c>
      <c r="BD27" s="50">
        <f>H27/(100-BE27)*100</f>
      </c>
      <c r="BE27" s="50" t="n">
        <v>0</v>
      </c>
      <c r="BF27" s="50">
        <f>27</f>
      </c>
      <c r="BH27" s="50">
        <f>G27*AO27</f>
      </c>
      <c r="BI27" s="50">
        <f>G27*AP27</f>
      </c>
      <c r="BJ27" s="50">
        <f>G27*H27</f>
      </c>
      <c r="BK27" s="52" t="s">
        <v>65</v>
      </c>
      <c r="BL27" s="50"/>
      <c r="BW27" s="50" t="n">
        <v>21</v>
      </c>
      <c r="BX27" s="14" t="s">
        <v>108</v>
      </c>
    </row>
    <row r="28">
      <c r="A28" s="9" t="s">
        <v>109</v>
      </c>
      <c r="B28" s="10" t="s">
        <v>53</v>
      </c>
      <c r="C28" s="10" t="s">
        <v>110</v>
      </c>
      <c r="D28" s="14" t="s">
        <v>111</v>
      </c>
      <c r="E28" s="10"/>
      <c r="F28" s="10" t="s">
        <v>60</v>
      </c>
      <c r="G28" s="50" t="n">
        <v>85</v>
      </c>
      <c r="H28" s="50" t="n">
        <v>0</v>
      </c>
      <c r="I28" s="50">
        <f>ROUND(G28*AO28,2)</f>
      </c>
      <c r="J28" s="50">
        <f>ROUND(G28*AP28,2)</f>
      </c>
      <c r="K28" s="50">
        <f>ROUND(G28*H28,2)</f>
      </c>
      <c r="L28" s="51" t="s">
        <v>61</v>
      </c>
      <c r="Z28" s="50">
        <f>ROUND(IF(AQ28="5",BJ28,0),2)</f>
      </c>
      <c r="AB28" s="50">
        <f>ROUND(IF(AQ28="1",BH28,0),2)</f>
      </c>
      <c r="AC28" s="50">
        <f>ROUND(IF(AQ28="1",BI28,0),2)</f>
      </c>
      <c r="AD28" s="50">
        <f>ROUND(IF(AQ28="7",BH28,0),2)</f>
      </c>
      <c r="AE28" s="50">
        <f>ROUND(IF(AQ28="7",BI28,0),2)</f>
      </c>
      <c r="AF28" s="50">
        <f>ROUND(IF(AQ28="2",BH28,0),2)</f>
      </c>
      <c r="AG28" s="50">
        <f>ROUND(IF(AQ28="2",BI28,0),2)</f>
      </c>
      <c r="AH28" s="50">
        <f>ROUND(IF(AQ28="0",BJ28,0),2)</f>
      </c>
      <c r="AI28" s="28" t="s">
        <v>53</v>
      </c>
      <c r="AJ28" s="50">
        <f>IF(AN28=0,K28,0)</f>
      </c>
      <c r="AK28" s="50">
        <f>IF(AN28=12,K28,0)</f>
      </c>
      <c r="AL28" s="50">
        <f>IF(AN28=21,K28,0)</f>
      </c>
      <c r="AN28" s="50" t="n">
        <v>21</v>
      </c>
      <c r="AO28" s="50">
        <f>H28*0</f>
      </c>
      <c r="AP28" s="50">
        <f>H28*(1-0)</f>
      </c>
      <c r="AQ28" s="52" t="s">
        <v>68</v>
      </c>
      <c r="AV28" s="50">
        <f>ROUND(AW28+AX28,2)</f>
      </c>
      <c r="AW28" s="50">
        <f>ROUND(G28*AO28,2)</f>
      </c>
      <c r="AX28" s="50">
        <f>ROUND(G28*AP28,2)</f>
      </c>
      <c r="AY28" s="52" t="s">
        <v>102</v>
      </c>
      <c r="AZ28" s="52" t="s">
        <v>74</v>
      </c>
      <c r="BA28" s="28" t="s">
        <v>64</v>
      </c>
      <c r="BC28" s="50">
        <f>AW28+AX28</f>
      </c>
      <c r="BD28" s="50">
        <f>H28/(100-BE28)*100</f>
      </c>
      <c r="BE28" s="50" t="n">
        <v>0</v>
      </c>
      <c r="BF28" s="50">
        <f>28</f>
      </c>
      <c r="BH28" s="50">
        <f>G28*AO28</f>
      </c>
      <c r="BI28" s="50">
        <f>G28*AP28</f>
      </c>
      <c r="BJ28" s="50">
        <f>G28*H28</f>
      </c>
      <c r="BK28" s="52" t="s">
        <v>65</v>
      </c>
      <c r="BL28" s="50"/>
      <c r="BW28" s="50" t="n">
        <v>21</v>
      </c>
      <c r="BX28" s="14" t="s">
        <v>111</v>
      </c>
    </row>
    <row r="29">
      <c r="A29" s="9" t="s">
        <v>112</v>
      </c>
      <c r="B29" s="10" t="s">
        <v>53</v>
      </c>
      <c r="C29" s="10" t="s">
        <v>113</v>
      </c>
      <c r="D29" s="14" t="s">
        <v>114</v>
      </c>
      <c r="E29" s="10"/>
      <c r="F29" s="10" t="s">
        <v>80</v>
      </c>
      <c r="G29" s="50" t="n">
        <v>12</v>
      </c>
      <c r="H29" s="50" t="n">
        <v>0</v>
      </c>
      <c r="I29" s="50">
        <f>ROUND(G29*AO29,2)</f>
      </c>
      <c r="J29" s="50">
        <f>ROUND(G29*AP29,2)</f>
      </c>
      <c r="K29" s="50">
        <f>ROUND(G29*H29,2)</f>
      </c>
      <c r="L29" s="51" t="s">
        <v>61</v>
      </c>
      <c r="Z29" s="50">
        <f>ROUND(IF(AQ29="5",BJ29,0),2)</f>
      </c>
      <c r="AB29" s="50">
        <f>ROUND(IF(AQ29="1",BH29,0),2)</f>
      </c>
      <c r="AC29" s="50">
        <f>ROUND(IF(AQ29="1",BI29,0),2)</f>
      </c>
      <c r="AD29" s="50">
        <f>ROUND(IF(AQ29="7",BH29,0),2)</f>
      </c>
      <c r="AE29" s="50">
        <f>ROUND(IF(AQ29="7",BI29,0),2)</f>
      </c>
      <c r="AF29" s="50">
        <f>ROUND(IF(AQ29="2",BH29,0),2)</f>
      </c>
      <c r="AG29" s="50">
        <f>ROUND(IF(AQ29="2",BI29,0),2)</f>
      </c>
      <c r="AH29" s="50">
        <f>ROUND(IF(AQ29="0",BJ29,0),2)</f>
      </c>
      <c r="AI29" s="28" t="s">
        <v>53</v>
      </c>
      <c r="AJ29" s="50">
        <f>IF(AN29=0,K29,0)</f>
      </c>
      <c r="AK29" s="50">
        <f>IF(AN29=12,K29,0)</f>
      </c>
      <c r="AL29" s="50">
        <f>IF(AN29=21,K29,0)</f>
      </c>
      <c r="AN29" s="50" t="n">
        <v>21</v>
      </c>
      <c r="AO29" s="50">
        <f>H29*0.68655477</f>
      </c>
      <c r="AP29" s="50">
        <f>H29*(1-0.68655477)</f>
      </c>
      <c r="AQ29" s="52" t="s">
        <v>68</v>
      </c>
      <c r="AV29" s="50">
        <f>ROUND(AW29+AX29,2)</f>
      </c>
      <c r="AW29" s="50">
        <f>ROUND(G29*AO29,2)</f>
      </c>
      <c r="AX29" s="50">
        <f>ROUND(G29*AP29,2)</f>
      </c>
      <c r="AY29" s="52" t="s">
        <v>102</v>
      </c>
      <c r="AZ29" s="52" t="s">
        <v>74</v>
      </c>
      <c r="BA29" s="28" t="s">
        <v>64</v>
      </c>
      <c r="BC29" s="50">
        <f>AW29+AX29</f>
      </c>
      <c r="BD29" s="50">
        <f>H29/(100-BE29)*100</f>
      </c>
      <c r="BE29" s="50" t="n">
        <v>0</v>
      </c>
      <c r="BF29" s="50">
        <f>29</f>
      </c>
      <c r="BH29" s="50">
        <f>G29*AO29</f>
      </c>
      <c r="BI29" s="50">
        <f>G29*AP29</f>
      </c>
      <c r="BJ29" s="50">
        <f>G29*H29</f>
      </c>
      <c r="BK29" s="52" t="s">
        <v>65</v>
      </c>
      <c r="BL29" s="50"/>
      <c r="BW29" s="50" t="n">
        <v>21</v>
      </c>
      <c r="BX29" s="14" t="s">
        <v>114</v>
      </c>
    </row>
    <row r="30">
      <c r="A30" s="45" t="s">
        <v>52</v>
      </c>
      <c r="B30" s="46" t="s">
        <v>53</v>
      </c>
      <c r="C30" s="46" t="s">
        <v>115</v>
      </c>
      <c r="D30" s="47" t="s">
        <v>116</v>
      </c>
      <c r="E30" s="46"/>
      <c r="F30" s="48" t="s">
        <v>8</v>
      </c>
      <c r="G30" s="48" t="s">
        <v>8</v>
      </c>
      <c r="H30" s="48" t="s">
        <v>8</v>
      </c>
      <c r="I30" s="2">
        <f>SUM(I31:I34)</f>
      </c>
      <c r="J30" s="2">
        <f>SUM(J31:J34)</f>
      </c>
      <c r="K30" s="2">
        <f>SUM(K31:K34)</f>
      </c>
      <c r="L30" s="49" t="s">
        <v>52</v>
      </c>
      <c r="AI30" s="28" t="s">
        <v>53</v>
      </c>
      <c r="AS30" s="2">
        <f>SUM(AJ31:AJ34)</f>
      </c>
      <c r="AT30" s="2">
        <f>SUM(AK31:AK34)</f>
      </c>
      <c r="AU30" s="2">
        <f>SUM(AL31:AL34)</f>
      </c>
    </row>
    <row r="31">
      <c r="A31" s="9" t="s">
        <v>117</v>
      </c>
      <c r="B31" s="10" t="s">
        <v>53</v>
      </c>
      <c r="C31" s="10" t="s">
        <v>118</v>
      </c>
      <c r="D31" s="14" t="s">
        <v>119</v>
      </c>
      <c r="E31" s="10"/>
      <c r="F31" s="10" t="s">
        <v>80</v>
      </c>
      <c r="G31" s="50" t="n">
        <v>12</v>
      </c>
      <c r="H31" s="50" t="n">
        <v>0</v>
      </c>
      <c r="I31" s="50">
        <f>ROUND(G31*AO31,2)</f>
      </c>
      <c r="J31" s="50">
        <f>ROUND(G31*AP31,2)</f>
      </c>
      <c r="K31" s="50">
        <f>ROUND(G31*H31,2)</f>
      </c>
      <c r="L31" s="51" t="s">
        <v>61</v>
      </c>
      <c r="Z31" s="50">
        <f>ROUND(IF(AQ31="5",BJ31,0),2)</f>
      </c>
      <c r="AB31" s="50">
        <f>ROUND(IF(AQ31="1",BH31,0),2)</f>
      </c>
      <c r="AC31" s="50">
        <f>ROUND(IF(AQ31="1",BI31,0),2)</f>
      </c>
      <c r="AD31" s="50">
        <f>ROUND(IF(AQ31="7",BH31,0),2)</f>
      </c>
      <c r="AE31" s="50">
        <f>ROUND(IF(AQ31="7",BI31,0),2)</f>
      </c>
      <c r="AF31" s="50">
        <f>ROUND(IF(AQ31="2",BH31,0),2)</f>
      </c>
      <c r="AG31" s="50">
        <f>ROUND(IF(AQ31="2",BI31,0),2)</f>
      </c>
      <c r="AH31" s="50">
        <f>ROUND(IF(AQ31="0",BJ31,0),2)</f>
      </c>
      <c r="AI31" s="28" t="s">
        <v>53</v>
      </c>
      <c r="AJ31" s="50">
        <f>IF(AN31=0,K31,0)</f>
      </c>
      <c r="AK31" s="50">
        <f>IF(AN31=12,K31,0)</f>
      </c>
      <c r="AL31" s="50">
        <f>IF(AN31=21,K31,0)</f>
      </c>
      <c r="AN31" s="50" t="n">
        <v>21</v>
      </c>
      <c r="AO31" s="50">
        <f>H31*0</f>
      </c>
      <c r="AP31" s="50">
        <f>H31*(1-0)</f>
      </c>
      <c r="AQ31" s="52" t="s">
        <v>68</v>
      </c>
      <c r="AV31" s="50">
        <f>ROUND(AW31+AX31,2)</f>
      </c>
      <c r="AW31" s="50">
        <f>ROUND(G31*AO31,2)</f>
      </c>
      <c r="AX31" s="50">
        <f>ROUND(G31*AP31,2)</f>
      </c>
      <c r="AY31" s="52" t="s">
        <v>120</v>
      </c>
      <c r="AZ31" s="52" t="s">
        <v>74</v>
      </c>
      <c r="BA31" s="28" t="s">
        <v>64</v>
      </c>
      <c r="BC31" s="50">
        <f>AW31+AX31</f>
      </c>
      <c r="BD31" s="50">
        <f>H31/(100-BE31)*100</f>
      </c>
      <c r="BE31" s="50" t="n">
        <v>0</v>
      </c>
      <c r="BF31" s="50">
        <f>31</f>
      </c>
      <c r="BH31" s="50">
        <f>G31*AO31</f>
      </c>
      <c r="BI31" s="50">
        <f>G31*AP31</f>
      </c>
      <c r="BJ31" s="50">
        <f>G31*H31</f>
      </c>
      <c r="BK31" s="52" t="s">
        <v>65</v>
      </c>
      <c r="BL31" s="50"/>
      <c r="BW31" s="50" t="n">
        <v>21</v>
      </c>
      <c r="BX31" s="14" t="s">
        <v>119</v>
      </c>
    </row>
    <row r="32">
      <c r="A32" s="9" t="s">
        <v>121</v>
      </c>
      <c r="B32" s="10" t="s">
        <v>53</v>
      </c>
      <c r="C32" s="10" t="s">
        <v>122</v>
      </c>
      <c r="D32" s="14" t="s">
        <v>123</v>
      </c>
      <c r="E32" s="10"/>
      <c r="F32" s="10" t="s">
        <v>80</v>
      </c>
      <c r="G32" s="50" t="n">
        <v>12</v>
      </c>
      <c r="H32" s="50" t="n">
        <v>0</v>
      </c>
      <c r="I32" s="50">
        <f>ROUND(G32*AO32,2)</f>
      </c>
      <c r="J32" s="50">
        <f>ROUND(G32*AP32,2)</f>
      </c>
      <c r="K32" s="50">
        <f>ROUND(G32*H32,2)</f>
      </c>
      <c r="L32" s="51" t="s">
        <v>61</v>
      </c>
      <c r="Z32" s="50">
        <f>ROUND(IF(AQ32="5",BJ32,0),2)</f>
      </c>
      <c r="AB32" s="50">
        <f>ROUND(IF(AQ32="1",BH32,0),2)</f>
      </c>
      <c r="AC32" s="50">
        <f>ROUND(IF(AQ32="1",BI32,0),2)</f>
      </c>
      <c r="AD32" s="50">
        <f>ROUND(IF(AQ32="7",BH32,0),2)</f>
      </c>
      <c r="AE32" s="50">
        <f>ROUND(IF(AQ32="7",BI32,0),2)</f>
      </c>
      <c r="AF32" s="50">
        <f>ROUND(IF(AQ32="2",BH32,0),2)</f>
      </c>
      <c r="AG32" s="50">
        <f>ROUND(IF(AQ32="2",BI32,0),2)</f>
      </c>
      <c r="AH32" s="50">
        <f>ROUND(IF(AQ32="0",BJ32,0),2)</f>
      </c>
      <c r="AI32" s="28" t="s">
        <v>53</v>
      </c>
      <c r="AJ32" s="50">
        <f>IF(AN32=0,K32,0)</f>
      </c>
      <c r="AK32" s="50">
        <f>IF(AN32=12,K32,0)</f>
      </c>
      <c r="AL32" s="50">
        <f>IF(AN32=21,K32,0)</f>
      </c>
      <c r="AN32" s="50" t="n">
        <v>21</v>
      </c>
      <c r="AO32" s="50">
        <f>H32*0</f>
      </c>
      <c r="AP32" s="50">
        <f>H32*(1-0)</f>
      </c>
      <c r="AQ32" s="52" t="s">
        <v>68</v>
      </c>
      <c r="AV32" s="50">
        <f>ROUND(AW32+AX32,2)</f>
      </c>
      <c r="AW32" s="50">
        <f>ROUND(G32*AO32,2)</f>
      </c>
      <c r="AX32" s="50">
        <f>ROUND(G32*AP32,2)</f>
      </c>
      <c r="AY32" s="52" t="s">
        <v>120</v>
      </c>
      <c r="AZ32" s="52" t="s">
        <v>74</v>
      </c>
      <c r="BA32" s="28" t="s">
        <v>64</v>
      </c>
      <c r="BC32" s="50">
        <f>AW32+AX32</f>
      </c>
      <c r="BD32" s="50">
        <f>H32/(100-BE32)*100</f>
      </c>
      <c r="BE32" s="50" t="n">
        <v>0</v>
      </c>
      <c r="BF32" s="50">
        <f>32</f>
      </c>
      <c r="BH32" s="50">
        <f>G32*AO32</f>
      </c>
      <c r="BI32" s="50">
        <f>G32*AP32</f>
      </c>
      <c r="BJ32" s="50">
        <f>G32*H32</f>
      </c>
      <c r="BK32" s="52" t="s">
        <v>65</v>
      </c>
      <c r="BL32" s="50"/>
      <c r="BW32" s="50" t="n">
        <v>21</v>
      </c>
      <c r="BX32" s="14" t="s">
        <v>123</v>
      </c>
    </row>
    <row r="33">
      <c r="A33" s="9" t="s">
        <v>124</v>
      </c>
      <c r="B33" s="10" t="s">
        <v>53</v>
      </c>
      <c r="C33" s="10" t="s">
        <v>125</v>
      </c>
      <c r="D33" s="14" t="s">
        <v>126</v>
      </c>
      <c r="E33" s="10"/>
      <c r="F33" s="10" t="s">
        <v>80</v>
      </c>
      <c r="G33" s="50" t="n">
        <v>12</v>
      </c>
      <c r="H33" s="50" t="n">
        <v>0</v>
      </c>
      <c r="I33" s="50">
        <f>ROUND(G33*AO33,2)</f>
      </c>
      <c r="J33" s="50">
        <f>ROUND(G33*AP33,2)</f>
      </c>
      <c r="K33" s="50">
        <f>ROUND(G33*H33,2)</f>
      </c>
      <c r="L33" s="51" t="s">
        <v>61</v>
      </c>
      <c r="Z33" s="50">
        <f>ROUND(IF(AQ33="5",BJ33,0),2)</f>
      </c>
      <c r="AB33" s="50">
        <f>ROUND(IF(AQ33="1",BH33,0),2)</f>
      </c>
      <c r="AC33" s="50">
        <f>ROUND(IF(AQ33="1",BI33,0),2)</f>
      </c>
      <c r="AD33" s="50">
        <f>ROUND(IF(AQ33="7",BH33,0),2)</f>
      </c>
      <c r="AE33" s="50">
        <f>ROUND(IF(AQ33="7",BI33,0),2)</f>
      </c>
      <c r="AF33" s="50">
        <f>ROUND(IF(AQ33="2",BH33,0),2)</f>
      </c>
      <c r="AG33" s="50">
        <f>ROUND(IF(AQ33="2",BI33,0),2)</f>
      </c>
      <c r="AH33" s="50">
        <f>ROUND(IF(AQ33="0",BJ33,0),2)</f>
      </c>
      <c r="AI33" s="28" t="s">
        <v>53</v>
      </c>
      <c r="AJ33" s="50">
        <f>IF(AN33=0,K33,0)</f>
      </c>
      <c r="AK33" s="50">
        <f>IF(AN33=12,K33,0)</f>
      </c>
      <c r="AL33" s="50">
        <f>IF(AN33=21,K33,0)</f>
      </c>
      <c r="AN33" s="50" t="n">
        <v>21</v>
      </c>
      <c r="AO33" s="50">
        <f>H33*0</f>
      </c>
      <c r="AP33" s="50">
        <f>H33*(1-0)</f>
      </c>
      <c r="AQ33" s="52" t="s">
        <v>68</v>
      </c>
      <c r="AV33" s="50">
        <f>ROUND(AW33+AX33,2)</f>
      </c>
      <c r="AW33" s="50">
        <f>ROUND(G33*AO33,2)</f>
      </c>
      <c r="AX33" s="50">
        <f>ROUND(G33*AP33,2)</f>
      </c>
      <c r="AY33" s="52" t="s">
        <v>120</v>
      </c>
      <c r="AZ33" s="52" t="s">
        <v>74</v>
      </c>
      <c r="BA33" s="28" t="s">
        <v>64</v>
      </c>
      <c r="BC33" s="50">
        <f>AW33+AX33</f>
      </c>
      <c r="BD33" s="50">
        <f>H33/(100-BE33)*100</f>
      </c>
      <c r="BE33" s="50" t="n">
        <v>0</v>
      </c>
      <c r="BF33" s="50">
        <f>33</f>
      </c>
      <c r="BH33" s="50">
        <f>G33*AO33</f>
      </c>
      <c r="BI33" s="50">
        <f>G33*AP33</f>
      </c>
      <c r="BJ33" s="50">
        <f>G33*H33</f>
      </c>
      <c r="BK33" s="52" t="s">
        <v>65</v>
      </c>
      <c r="BL33" s="50"/>
      <c r="BW33" s="50" t="n">
        <v>21</v>
      </c>
      <c r="BX33" s="14" t="s">
        <v>126</v>
      </c>
    </row>
    <row r="34">
      <c r="A34" s="9" t="s">
        <v>127</v>
      </c>
      <c r="B34" s="10" t="s">
        <v>53</v>
      </c>
      <c r="C34" s="10" t="s">
        <v>128</v>
      </c>
      <c r="D34" s="14" t="s">
        <v>129</v>
      </c>
      <c r="E34" s="10"/>
      <c r="F34" s="10" t="s">
        <v>101</v>
      </c>
      <c r="G34" s="50" t="n">
        <v>182</v>
      </c>
      <c r="H34" s="50" t="n">
        <v>0</v>
      </c>
      <c r="I34" s="50">
        <f>ROUND(G34*AO34,2)</f>
      </c>
      <c r="J34" s="50">
        <f>ROUND(G34*AP34,2)</f>
      </c>
      <c r="K34" s="50">
        <f>ROUND(G34*H34,2)</f>
      </c>
      <c r="L34" s="51" t="s">
        <v>61</v>
      </c>
      <c r="Z34" s="50">
        <f>ROUND(IF(AQ34="5",BJ34,0),2)</f>
      </c>
      <c r="AB34" s="50">
        <f>ROUND(IF(AQ34="1",BH34,0),2)</f>
      </c>
      <c r="AC34" s="50">
        <f>ROUND(IF(AQ34="1",BI34,0),2)</f>
      </c>
      <c r="AD34" s="50">
        <f>ROUND(IF(AQ34="7",BH34,0),2)</f>
      </c>
      <c r="AE34" s="50">
        <f>ROUND(IF(AQ34="7",BI34,0),2)</f>
      </c>
      <c r="AF34" s="50">
        <f>ROUND(IF(AQ34="2",BH34,0),2)</f>
      </c>
      <c r="AG34" s="50">
        <f>ROUND(IF(AQ34="2",BI34,0),2)</f>
      </c>
      <c r="AH34" s="50">
        <f>ROUND(IF(AQ34="0",BJ34,0),2)</f>
      </c>
      <c r="AI34" s="28" t="s">
        <v>53</v>
      </c>
      <c r="AJ34" s="50">
        <f>IF(AN34=0,K34,0)</f>
      </c>
      <c r="AK34" s="50">
        <f>IF(AN34=12,K34,0)</f>
      </c>
      <c r="AL34" s="50">
        <f>IF(AN34=21,K34,0)</f>
      </c>
      <c r="AN34" s="50" t="n">
        <v>21</v>
      </c>
      <c r="AO34" s="50">
        <f>H34*0</f>
      </c>
      <c r="AP34" s="50">
        <f>H34*(1-0)</f>
      </c>
      <c r="AQ34" s="52" t="s">
        <v>68</v>
      </c>
      <c r="AV34" s="50">
        <f>ROUND(AW34+AX34,2)</f>
      </c>
      <c r="AW34" s="50">
        <f>ROUND(G34*AO34,2)</f>
      </c>
      <c r="AX34" s="50">
        <f>ROUND(G34*AP34,2)</f>
      </c>
      <c r="AY34" s="52" t="s">
        <v>120</v>
      </c>
      <c r="AZ34" s="52" t="s">
        <v>74</v>
      </c>
      <c r="BA34" s="28" t="s">
        <v>64</v>
      </c>
      <c r="BC34" s="50">
        <f>AW34+AX34</f>
      </c>
      <c r="BD34" s="50">
        <f>H34/(100-BE34)*100</f>
      </c>
      <c r="BE34" s="50" t="n">
        <v>0</v>
      </c>
      <c r="BF34" s="50">
        <f>34</f>
      </c>
      <c r="BH34" s="50">
        <f>G34*AO34</f>
      </c>
      <c r="BI34" s="50">
        <f>G34*AP34</f>
      </c>
      <c r="BJ34" s="50">
        <f>G34*H34</f>
      </c>
      <c r="BK34" s="52" t="s">
        <v>65</v>
      </c>
      <c r="BL34" s="50"/>
      <c r="BW34" s="50" t="n">
        <v>21</v>
      </c>
      <c r="BX34" s="14" t="s">
        <v>129</v>
      </c>
    </row>
    <row r="35">
      <c r="A35" s="45" t="s">
        <v>52</v>
      </c>
      <c r="B35" s="46" t="s">
        <v>53</v>
      </c>
      <c r="C35" s="46" t="s">
        <v>130</v>
      </c>
      <c r="D35" s="47" t="s">
        <v>131</v>
      </c>
      <c r="E35" s="46"/>
      <c r="F35" s="48" t="s">
        <v>8</v>
      </c>
      <c r="G35" s="48" t="s">
        <v>8</v>
      </c>
      <c r="H35" s="48" t="s">
        <v>8</v>
      </c>
      <c r="I35" s="2">
        <f>SUM(I36:I43)</f>
      </c>
      <c r="J35" s="2">
        <f>SUM(J36:J43)</f>
      </c>
      <c r="K35" s="2">
        <f>SUM(K36:K43)</f>
      </c>
      <c r="L35" s="49" t="s">
        <v>52</v>
      </c>
      <c r="AI35" s="28" t="s">
        <v>53</v>
      </c>
      <c r="AS35" s="2">
        <f>SUM(AJ36:AJ43)</f>
      </c>
      <c r="AT35" s="2">
        <f>SUM(AK36:AK43)</f>
      </c>
      <c r="AU35" s="2">
        <f>SUM(AL36:AL43)</f>
      </c>
    </row>
    <row r="36">
      <c r="A36" s="9" t="s">
        <v>55</v>
      </c>
      <c r="B36" s="10" t="s">
        <v>53</v>
      </c>
      <c r="C36" s="10" t="s">
        <v>132</v>
      </c>
      <c r="D36" s="14" t="s">
        <v>133</v>
      </c>
      <c r="E36" s="10"/>
      <c r="F36" s="10" t="s">
        <v>101</v>
      </c>
      <c r="G36" s="50" t="n">
        <v>180</v>
      </c>
      <c r="H36" s="50" t="n">
        <v>0</v>
      </c>
      <c r="I36" s="50">
        <f>ROUND(G36*AO36,2)</f>
      </c>
      <c r="J36" s="50">
        <f>ROUND(G36*AP36,2)</f>
      </c>
      <c r="K36" s="50">
        <f>ROUND(G36*H36,2)</f>
      </c>
      <c r="L36" s="51" t="s">
        <v>134</v>
      </c>
      <c r="Z36" s="50">
        <f>ROUND(IF(AQ36="5",BJ36,0),2)</f>
      </c>
      <c r="AB36" s="50">
        <f>ROUND(IF(AQ36="1",BH36,0),2)</f>
      </c>
      <c r="AC36" s="50">
        <f>ROUND(IF(AQ36="1",BI36,0),2)</f>
      </c>
      <c r="AD36" s="50">
        <f>ROUND(IF(AQ36="7",BH36,0),2)</f>
      </c>
      <c r="AE36" s="50">
        <f>ROUND(IF(AQ36="7",BI36,0),2)</f>
      </c>
      <c r="AF36" s="50">
        <f>ROUND(IF(AQ36="2",BH36,0),2)</f>
      </c>
      <c r="AG36" s="50">
        <f>ROUND(IF(AQ36="2",BI36,0),2)</f>
      </c>
      <c r="AH36" s="50">
        <f>ROUND(IF(AQ36="0",BJ36,0),2)</f>
      </c>
      <c r="AI36" s="28" t="s">
        <v>53</v>
      </c>
      <c r="AJ36" s="50">
        <f>IF(AN36=0,K36,0)</f>
      </c>
      <c r="AK36" s="50">
        <f>IF(AN36=12,K36,0)</f>
      </c>
      <c r="AL36" s="50">
        <f>IF(AN36=21,K36,0)</f>
      </c>
      <c r="AN36" s="50" t="n">
        <v>21</v>
      </c>
      <c r="AO36" s="50">
        <f>H36*1</f>
      </c>
      <c r="AP36" s="50">
        <f>H36*(1-1)</f>
      </c>
      <c r="AQ36" s="52" t="s">
        <v>135</v>
      </c>
      <c r="AV36" s="50">
        <f>ROUND(AW36+AX36,2)</f>
      </c>
      <c r="AW36" s="50">
        <f>ROUND(G36*AO36,2)</f>
      </c>
      <c r="AX36" s="50">
        <f>ROUND(G36*AP36,2)</f>
      </c>
      <c r="AY36" s="52" t="s">
        <v>136</v>
      </c>
      <c r="AZ36" s="52" t="s">
        <v>137</v>
      </c>
      <c r="BA36" s="28" t="s">
        <v>64</v>
      </c>
      <c r="BC36" s="50">
        <f>AW36+AX36</f>
      </c>
      <c r="BD36" s="50">
        <f>H36/(100-BE36)*100</f>
      </c>
      <c r="BE36" s="50" t="n">
        <v>0</v>
      </c>
      <c r="BF36" s="50">
        <f>36</f>
      </c>
      <c r="BH36" s="50">
        <f>G36*AO36</f>
      </c>
      <c r="BI36" s="50">
        <f>G36*AP36</f>
      </c>
      <c r="BJ36" s="50">
        <f>G36*H36</f>
      </c>
      <c r="BK36" s="52" t="s">
        <v>130</v>
      </c>
      <c r="BL36" s="50"/>
      <c r="BW36" s="50" t="n">
        <v>21</v>
      </c>
      <c r="BX36" s="14" t="s">
        <v>133</v>
      </c>
    </row>
    <row r="37">
      <c r="A37" s="9" t="s">
        <v>138</v>
      </c>
      <c r="B37" s="10" t="s">
        <v>53</v>
      </c>
      <c r="C37" s="10" t="s">
        <v>139</v>
      </c>
      <c r="D37" s="14" t="s">
        <v>140</v>
      </c>
      <c r="E37" s="10"/>
      <c r="F37" s="10" t="s">
        <v>80</v>
      </c>
      <c r="G37" s="50" t="n">
        <v>12</v>
      </c>
      <c r="H37" s="50" t="n">
        <v>0</v>
      </c>
      <c r="I37" s="50">
        <f>ROUND(G37*AO37,2)</f>
      </c>
      <c r="J37" s="50">
        <f>ROUND(G37*AP37,2)</f>
      </c>
      <c r="K37" s="50">
        <f>ROUND(G37*H37,2)</f>
      </c>
      <c r="L37" s="51" t="s">
        <v>134</v>
      </c>
      <c r="Z37" s="50">
        <f>ROUND(IF(AQ37="5",BJ37,0),2)</f>
      </c>
      <c r="AB37" s="50">
        <f>ROUND(IF(AQ37="1",BH37,0),2)</f>
      </c>
      <c r="AC37" s="50">
        <f>ROUND(IF(AQ37="1",BI37,0),2)</f>
      </c>
      <c r="AD37" s="50">
        <f>ROUND(IF(AQ37="7",BH37,0),2)</f>
      </c>
      <c r="AE37" s="50">
        <f>ROUND(IF(AQ37="7",BI37,0),2)</f>
      </c>
      <c r="AF37" s="50">
        <f>ROUND(IF(AQ37="2",BH37,0),2)</f>
      </c>
      <c r="AG37" s="50">
        <f>ROUND(IF(AQ37="2",BI37,0),2)</f>
      </c>
      <c r="AH37" s="50">
        <f>ROUND(IF(AQ37="0",BJ37,0),2)</f>
      </c>
      <c r="AI37" s="28" t="s">
        <v>53</v>
      </c>
      <c r="AJ37" s="50">
        <f>IF(AN37=0,K37,0)</f>
      </c>
      <c r="AK37" s="50">
        <f>IF(AN37=12,K37,0)</f>
      </c>
      <c r="AL37" s="50">
        <f>IF(AN37=21,K37,0)</f>
      </c>
      <c r="AN37" s="50" t="n">
        <v>21</v>
      </c>
      <c r="AO37" s="50">
        <f>H37*1</f>
      </c>
      <c r="AP37" s="50">
        <f>H37*(1-1)</f>
      </c>
      <c r="AQ37" s="52" t="s">
        <v>135</v>
      </c>
      <c r="AV37" s="50">
        <f>ROUND(AW37+AX37,2)</f>
      </c>
      <c r="AW37" s="50">
        <f>ROUND(G37*AO37,2)</f>
      </c>
      <c r="AX37" s="50">
        <f>ROUND(G37*AP37,2)</f>
      </c>
      <c r="AY37" s="52" t="s">
        <v>136</v>
      </c>
      <c r="AZ37" s="52" t="s">
        <v>137</v>
      </c>
      <c r="BA37" s="28" t="s">
        <v>64</v>
      </c>
      <c r="BC37" s="50">
        <f>AW37+AX37</f>
      </c>
      <c r="BD37" s="50">
        <f>H37/(100-BE37)*100</f>
      </c>
      <c r="BE37" s="50" t="n">
        <v>0</v>
      </c>
      <c r="BF37" s="50">
        <f>37</f>
      </c>
      <c r="BH37" s="50">
        <f>G37*AO37</f>
      </c>
      <c r="BI37" s="50">
        <f>G37*AP37</f>
      </c>
      <c r="BJ37" s="50">
        <f>G37*H37</f>
      </c>
      <c r="BK37" s="52" t="s">
        <v>130</v>
      </c>
      <c r="BL37" s="50"/>
      <c r="BW37" s="50" t="n">
        <v>21</v>
      </c>
      <c r="BX37" s="14" t="s">
        <v>140</v>
      </c>
    </row>
    <row r="38">
      <c r="A38" s="9" t="s">
        <v>141</v>
      </c>
      <c r="B38" s="10" t="s">
        <v>53</v>
      </c>
      <c r="C38" s="10" t="s">
        <v>142</v>
      </c>
      <c r="D38" s="14" t="s">
        <v>143</v>
      </c>
      <c r="E38" s="10"/>
      <c r="F38" s="10" t="s">
        <v>60</v>
      </c>
      <c r="G38" s="50" t="n">
        <v>8</v>
      </c>
      <c r="H38" s="50" t="n">
        <v>0</v>
      </c>
      <c r="I38" s="50">
        <f>ROUND(G38*AO38,2)</f>
      </c>
      <c r="J38" s="50">
        <f>ROUND(G38*AP38,2)</f>
      </c>
      <c r="K38" s="50">
        <f>ROUND(G38*H38,2)</f>
      </c>
      <c r="L38" s="51" t="s">
        <v>61</v>
      </c>
      <c r="Z38" s="50">
        <f>ROUND(IF(AQ38="5",BJ38,0),2)</f>
      </c>
      <c r="AB38" s="50">
        <f>ROUND(IF(AQ38="1",BH38,0),2)</f>
      </c>
      <c r="AC38" s="50">
        <f>ROUND(IF(AQ38="1",BI38,0),2)</f>
      </c>
      <c r="AD38" s="50">
        <f>ROUND(IF(AQ38="7",BH38,0),2)</f>
      </c>
      <c r="AE38" s="50">
        <f>ROUND(IF(AQ38="7",BI38,0),2)</f>
      </c>
      <c r="AF38" s="50">
        <f>ROUND(IF(AQ38="2",BH38,0),2)</f>
      </c>
      <c r="AG38" s="50">
        <f>ROUND(IF(AQ38="2",BI38,0),2)</f>
      </c>
      <c r="AH38" s="50">
        <f>ROUND(IF(AQ38="0",BJ38,0),2)</f>
      </c>
      <c r="AI38" s="28" t="s">
        <v>53</v>
      </c>
      <c r="AJ38" s="50">
        <f>IF(AN38=0,K38,0)</f>
      </c>
      <c r="AK38" s="50">
        <f>IF(AN38=12,K38,0)</f>
      </c>
      <c r="AL38" s="50">
        <f>IF(AN38=21,K38,0)</f>
      </c>
      <c r="AN38" s="50" t="n">
        <v>21</v>
      </c>
      <c r="AO38" s="50">
        <f>H38*1</f>
      </c>
      <c r="AP38" s="50">
        <f>H38*(1-1)</f>
      </c>
      <c r="AQ38" s="52" t="s">
        <v>135</v>
      </c>
      <c r="AV38" s="50">
        <f>ROUND(AW38+AX38,2)</f>
      </c>
      <c r="AW38" s="50">
        <f>ROUND(G38*AO38,2)</f>
      </c>
      <c r="AX38" s="50">
        <f>ROUND(G38*AP38,2)</f>
      </c>
      <c r="AY38" s="52" t="s">
        <v>136</v>
      </c>
      <c r="AZ38" s="52" t="s">
        <v>137</v>
      </c>
      <c r="BA38" s="28" t="s">
        <v>64</v>
      </c>
      <c r="BC38" s="50">
        <f>AW38+AX38</f>
      </c>
      <c r="BD38" s="50">
        <f>H38/(100-BE38)*100</f>
      </c>
      <c r="BE38" s="50" t="n">
        <v>0</v>
      </c>
      <c r="BF38" s="50">
        <f>38</f>
      </c>
      <c r="BH38" s="50">
        <f>G38*AO38</f>
      </c>
      <c r="BI38" s="50">
        <f>G38*AP38</f>
      </c>
      <c r="BJ38" s="50">
        <f>G38*H38</f>
      </c>
      <c r="BK38" s="52" t="s">
        <v>130</v>
      </c>
      <c r="BL38" s="50"/>
      <c r="BW38" s="50" t="n">
        <v>21</v>
      </c>
      <c r="BX38" s="14" t="s">
        <v>143</v>
      </c>
    </row>
    <row r="39">
      <c r="A39" s="9" t="s">
        <v>144</v>
      </c>
      <c r="B39" s="10" t="s">
        <v>53</v>
      </c>
      <c r="C39" s="10" t="s">
        <v>145</v>
      </c>
      <c r="D39" s="14" t="s">
        <v>146</v>
      </c>
      <c r="E39" s="10"/>
      <c r="F39" s="10" t="s">
        <v>101</v>
      </c>
      <c r="G39" s="50" t="n">
        <v>182</v>
      </c>
      <c r="H39" s="50" t="n">
        <v>0</v>
      </c>
      <c r="I39" s="50">
        <f>ROUND(G39*AO39,2)</f>
      </c>
      <c r="J39" s="50">
        <f>ROUND(G39*AP39,2)</f>
      </c>
      <c r="K39" s="50">
        <f>ROUND(G39*H39,2)</f>
      </c>
      <c r="L39" s="51" t="s">
        <v>61</v>
      </c>
      <c r="Z39" s="50">
        <f>ROUND(IF(AQ39="5",BJ39,0),2)</f>
      </c>
      <c r="AB39" s="50">
        <f>ROUND(IF(AQ39="1",BH39,0),2)</f>
      </c>
      <c r="AC39" s="50">
        <f>ROUND(IF(AQ39="1",BI39,0),2)</f>
      </c>
      <c r="AD39" s="50">
        <f>ROUND(IF(AQ39="7",BH39,0),2)</f>
      </c>
      <c r="AE39" s="50">
        <f>ROUND(IF(AQ39="7",BI39,0),2)</f>
      </c>
      <c r="AF39" s="50">
        <f>ROUND(IF(AQ39="2",BH39,0),2)</f>
      </c>
      <c r="AG39" s="50">
        <f>ROUND(IF(AQ39="2",BI39,0),2)</f>
      </c>
      <c r="AH39" s="50">
        <f>ROUND(IF(AQ39="0",BJ39,0),2)</f>
      </c>
      <c r="AI39" s="28" t="s">
        <v>53</v>
      </c>
      <c r="AJ39" s="50">
        <f>IF(AN39=0,K39,0)</f>
      </c>
      <c r="AK39" s="50">
        <f>IF(AN39=12,K39,0)</f>
      </c>
      <c r="AL39" s="50">
        <f>IF(AN39=21,K39,0)</f>
      </c>
      <c r="AN39" s="50" t="n">
        <v>21</v>
      </c>
      <c r="AO39" s="50">
        <f>H39*1</f>
      </c>
      <c r="AP39" s="50">
        <f>H39*(1-1)</f>
      </c>
      <c r="AQ39" s="52" t="s">
        <v>135</v>
      </c>
      <c r="AV39" s="50">
        <f>ROUND(AW39+AX39,2)</f>
      </c>
      <c r="AW39" s="50">
        <f>ROUND(G39*AO39,2)</f>
      </c>
      <c r="AX39" s="50">
        <f>ROUND(G39*AP39,2)</f>
      </c>
      <c r="AY39" s="52" t="s">
        <v>136</v>
      </c>
      <c r="AZ39" s="52" t="s">
        <v>137</v>
      </c>
      <c r="BA39" s="28" t="s">
        <v>64</v>
      </c>
      <c r="BC39" s="50">
        <f>AW39+AX39</f>
      </c>
      <c r="BD39" s="50">
        <f>H39/(100-BE39)*100</f>
      </c>
      <c r="BE39" s="50" t="n">
        <v>0</v>
      </c>
      <c r="BF39" s="50">
        <f>39</f>
      </c>
      <c r="BH39" s="50">
        <f>G39*AO39</f>
      </c>
      <c r="BI39" s="50">
        <f>G39*AP39</f>
      </c>
      <c r="BJ39" s="50">
        <f>G39*H39</f>
      </c>
      <c r="BK39" s="52" t="s">
        <v>130</v>
      </c>
      <c r="BL39" s="50"/>
      <c r="BW39" s="50" t="n">
        <v>21</v>
      </c>
      <c r="BX39" s="14" t="s">
        <v>146</v>
      </c>
    </row>
    <row r="40">
      <c r="A40" s="9" t="s">
        <v>147</v>
      </c>
      <c r="B40" s="10" t="s">
        <v>53</v>
      </c>
      <c r="C40" s="10" t="s">
        <v>148</v>
      </c>
      <c r="D40" s="14" t="s">
        <v>149</v>
      </c>
      <c r="E40" s="10"/>
      <c r="F40" s="10" t="s">
        <v>101</v>
      </c>
      <c r="G40" s="50" t="n">
        <v>182</v>
      </c>
      <c r="H40" s="50" t="n">
        <v>0</v>
      </c>
      <c r="I40" s="50">
        <f>ROUND(G40*AO40,2)</f>
      </c>
      <c r="J40" s="50">
        <f>ROUND(G40*AP40,2)</f>
      </c>
      <c r="K40" s="50">
        <f>ROUND(G40*H40,2)</f>
      </c>
      <c r="L40" s="51" t="s">
        <v>61</v>
      </c>
      <c r="Z40" s="50">
        <f>ROUND(IF(AQ40="5",BJ40,0),2)</f>
      </c>
      <c r="AB40" s="50">
        <f>ROUND(IF(AQ40="1",BH40,0),2)</f>
      </c>
      <c r="AC40" s="50">
        <f>ROUND(IF(AQ40="1",BI40,0),2)</f>
      </c>
      <c r="AD40" s="50">
        <f>ROUND(IF(AQ40="7",BH40,0),2)</f>
      </c>
      <c r="AE40" s="50">
        <f>ROUND(IF(AQ40="7",BI40,0),2)</f>
      </c>
      <c r="AF40" s="50">
        <f>ROUND(IF(AQ40="2",BH40,0),2)</f>
      </c>
      <c r="AG40" s="50">
        <f>ROUND(IF(AQ40="2",BI40,0),2)</f>
      </c>
      <c r="AH40" s="50">
        <f>ROUND(IF(AQ40="0",BJ40,0),2)</f>
      </c>
      <c r="AI40" s="28" t="s">
        <v>53</v>
      </c>
      <c r="AJ40" s="50">
        <f>IF(AN40=0,K40,0)</f>
      </c>
      <c r="AK40" s="50">
        <f>IF(AN40=12,K40,0)</f>
      </c>
      <c r="AL40" s="50">
        <f>IF(AN40=21,K40,0)</f>
      </c>
      <c r="AN40" s="50" t="n">
        <v>21</v>
      </c>
      <c r="AO40" s="50">
        <f>H40*1</f>
      </c>
      <c r="AP40" s="50">
        <f>H40*(1-1)</f>
      </c>
      <c r="AQ40" s="52" t="s">
        <v>135</v>
      </c>
      <c r="AV40" s="50">
        <f>ROUND(AW40+AX40,2)</f>
      </c>
      <c r="AW40" s="50">
        <f>ROUND(G40*AO40,2)</f>
      </c>
      <c r="AX40" s="50">
        <f>ROUND(G40*AP40,2)</f>
      </c>
      <c r="AY40" s="52" t="s">
        <v>136</v>
      </c>
      <c r="AZ40" s="52" t="s">
        <v>137</v>
      </c>
      <c r="BA40" s="28" t="s">
        <v>64</v>
      </c>
      <c r="BC40" s="50">
        <f>AW40+AX40</f>
      </c>
      <c r="BD40" s="50">
        <f>H40/(100-BE40)*100</f>
      </c>
      <c r="BE40" s="50" t="n">
        <v>0</v>
      </c>
      <c r="BF40" s="50">
        <f>40</f>
      </c>
      <c r="BH40" s="50">
        <f>G40*AO40</f>
      </c>
      <c r="BI40" s="50">
        <f>G40*AP40</f>
      </c>
      <c r="BJ40" s="50">
        <f>G40*H40</f>
      </c>
      <c r="BK40" s="52" t="s">
        <v>130</v>
      </c>
      <c r="BL40" s="50"/>
      <c r="BW40" s="50" t="n">
        <v>21</v>
      </c>
      <c r="BX40" s="14" t="s">
        <v>149</v>
      </c>
    </row>
    <row r="41">
      <c r="A41" s="9" t="s">
        <v>150</v>
      </c>
      <c r="B41" s="10" t="s">
        <v>53</v>
      </c>
      <c r="C41" s="10" t="s">
        <v>151</v>
      </c>
      <c r="D41" s="14" t="s">
        <v>152</v>
      </c>
      <c r="E41" s="10"/>
      <c r="F41" s="10" t="s">
        <v>153</v>
      </c>
      <c r="G41" s="50" t="n">
        <v>210</v>
      </c>
      <c r="H41" s="50" t="n">
        <v>0</v>
      </c>
      <c r="I41" s="50">
        <f>ROUND(G41*AO41,2)</f>
      </c>
      <c r="J41" s="50">
        <f>ROUND(G41*AP41,2)</f>
      </c>
      <c r="K41" s="50">
        <f>ROUND(G41*H41,2)</f>
      </c>
      <c r="L41" s="51" t="s">
        <v>61</v>
      </c>
      <c r="Z41" s="50">
        <f>ROUND(IF(AQ41="5",BJ41,0),2)</f>
      </c>
      <c r="AB41" s="50">
        <f>ROUND(IF(AQ41="1",BH41,0),2)</f>
      </c>
      <c r="AC41" s="50">
        <f>ROUND(IF(AQ41="1",BI41,0),2)</f>
      </c>
      <c r="AD41" s="50">
        <f>ROUND(IF(AQ41="7",BH41,0),2)</f>
      </c>
      <c r="AE41" s="50">
        <f>ROUND(IF(AQ41="7",BI41,0),2)</f>
      </c>
      <c r="AF41" s="50">
        <f>ROUND(IF(AQ41="2",BH41,0),2)</f>
      </c>
      <c r="AG41" s="50">
        <f>ROUND(IF(AQ41="2",BI41,0),2)</f>
      </c>
      <c r="AH41" s="50">
        <f>ROUND(IF(AQ41="0",BJ41,0),2)</f>
      </c>
      <c r="AI41" s="28" t="s">
        <v>53</v>
      </c>
      <c r="AJ41" s="50">
        <f>IF(AN41=0,K41,0)</f>
      </c>
      <c r="AK41" s="50">
        <f>IF(AN41=12,K41,0)</f>
      </c>
      <c r="AL41" s="50">
        <f>IF(AN41=21,K41,0)</f>
      </c>
      <c r="AN41" s="50" t="n">
        <v>21</v>
      </c>
      <c r="AO41" s="50">
        <f>H41*1</f>
      </c>
      <c r="AP41" s="50">
        <f>H41*(1-1)</f>
      </c>
      <c r="AQ41" s="52" t="s">
        <v>135</v>
      </c>
      <c r="AV41" s="50">
        <f>ROUND(AW41+AX41,2)</f>
      </c>
      <c r="AW41" s="50">
        <f>ROUND(G41*AO41,2)</f>
      </c>
      <c r="AX41" s="50">
        <f>ROUND(G41*AP41,2)</f>
      </c>
      <c r="AY41" s="52" t="s">
        <v>136</v>
      </c>
      <c r="AZ41" s="52" t="s">
        <v>137</v>
      </c>
      <c r="BA41" s="28" t="s">
        <v>64</v>
      </c>
      <c r="BC41" s="50">
        <f>AW41+AX41</f>
      </c>
      <c r="BD41" s="50">
        <f>H41/(100-BE41)*100</f>
      </c>
      <c r="BE41" s="50" t="n">
        <v>0</v>
      </c>
      <c r="BF41" s="50">
        <f>41</f>
      </c>
      <c r="BH41" s="50">
        <f>G41*AO41</f>
      </c>
      <c r="BI41" s="50">
        <f>G41*AP41</f>
      </c>
      <c r="BJ41" s="50">
        <f>G41*H41</f>
      </c>
      <c r="BK41" s="52" t="s">
        <v>130</v>
      </c>
      <c r="BL41" s="50"/>
      <c r="BW41" s="50" t="n">
        <v>21</v>
      </c>
      <c r="BX41" s="14" t="s">
        <v>152</v>
      </c>
    </row>
    <row r="42">
      <c r="A42" s="9" t="s">
        <v>154</v>
      </c>
      <c r="B42" s="10" t="s">
        <v>53</v>
      </c>
      <c r="C42" s="10" t="s">
        <v>155</v>
      </c>
      <c r="D42" s="14" t="s">
        <v>156</v>
      </c>
      <c r="E42" s="10"/>
      <c r="F42" s="10" t="s">
        <v>80</v>
      </c>
      <c r="G42" s="50" t="n">
        <v>12</v>
      </c>
      <c r="H42" s="50" t="n">
        <v>0</v>
      </c>
      <c r="I42" s="50">
        <f>ROUND(G42*AO42,2)</f>
      </c>
      <c r="J42" s="50">
        <f>ROUND(G42*AP42,2)</f>
      </c>
      <c r="K42" s="50">
        <f>ROUND(G42*H42,2)</f>
      </c>
      <c r="L42" s="51" t="s">
        <v>61</v>
      </c>
      <c r="Z42" s="50">
        <f>ROUND(IF(AQ42="5",BJ42,0),2)</f>
      </c>
      <c r="AB42" s="50">
        <f>ROUND(IF(AQ42="1",BH42,0),2)</f>
      </c>
      <c r="AC42" s="50">
        <f>ROUND(IF(AQ42="1",BI42,0),2)</f>
      </c>
      <c r="AD42" s="50">
        <f>ROUND(IF(AQ42="7",BH42,0),2)</f>
      </c>
      <c r="AE42" s="50">
        <f>ROUND(IF(AQ42="7",BI42,0),2)</f>
      </c>
      <c r="AF42" s="50">
        <f>ROUND(IF(AQ42="2",BH42,0),2)</f>
      </c>
      <c r="AG42" s="50">
        <f>ROUND(IF(AQ42="2",BI42,0),2)</f>
      </c>
      <c r="AH42" s="50">
        <f>ROUND(IF(AQ42="0",BJ42,0),2)</f>
      </c>
      <c r="AI42" s="28" t="s">
        <v>53</v>
      </c>
      <c r="AJ42" s="50">
        <f>IF(AN42=0,K42,0)</f>
      </c>
      <c r="AK42" s="50">
        <f>IF(AN42=12,K42,0)</f>
      </c>
      <c r="AL42" s="50">
        <f>IF(AN42=21,K42,0)</f>
      </c>
      <c r="AN42" s="50" t="n">
        <v>21</v>
      </c>
      <c r="AO42" s="50">
        <f>H42*1</f>
      </c>
      <c r="AP42" s="50">
        <f>H42*(1-1)</f>
      </c>
      <c r="AQ42" s="52" t="s">
        <v>135</v>
      </c>
      <c r="AV42" s="50">
        <f>ROUND(AW42+AX42,2)</f>
      </c>
      <c r="AW42" s="50">
        <f>ROUND(G42*AO42,2)</f>
      </c>
      <c r="AX42" s="50">
        <f>ROUND(G42*AP42,2)</f>
      </c>
      <c r="AY42" s="52" t="s">
        <v>136</v>
      </c>
      <c r="AZ42" s="52" t="s">
        <v>137</v>
      </c>
      <c r="BA42" s="28" t="s">
        <v>64</v>
      </c>
      <c r="BC42" s="50">
        <f>AW42+AX42</f>
      </c>
      <c r="BD42" s="50">
        <f>H42/(100-BE42)*100</f>
      </c>
      <c r="BE42" s="50" t="n">
        <v>0</v>
      </c>
      <c r="BF42" s="50">
        <f>42</f>
      </c>
      <c r="BH42" s="50">
        <f>G42*AO42</f>
      </c>
      <c r="BI42" s="50">
        <f>G42*AP42</f>
      </c>
      <c r="BJ42" s="50">
        <f>G42*H42</f>
      </c>
      <c r="BK42" s="52" t="s">
        <v>130</v>
      </c>
      <c r="BL42" s="50"/>
      <c r="BW42" s="50" t="n">
        <v>21</v>
      </c>
      <c r="BX42" s="14" t="s">
        <v>156</v>
      </c>
    </row>
    <row r="43">
      <c r="A43" s="9" t="s">
        <v>157</v>
      </c>
      <c r="B43" s="10" t="s">
        <v>53</v>
      </c>
      <c r="C43" s="10" t="s">
        <v>158</v>
      </c>
      <c r="D43" s="14" t="s">
        <v>159</v>
      </c>
      <c r="E43" s="10"/>
      <c r="F43" s="10" t="s">
        <v>80</v>
      </c>
      <c r="G43" s="50" t="n">
        <v>24</v>
      </c>
      <c r="H43" s="50" t="n">
        <v>0</v>
      </c>
      <c r="I43" s="50">
        <f>ROUND(G43*AO43,2)</f>
      </c>
      <c r="J43" s="50">
        <f>ROUND(G43*AP43,2)</f>
      </c>
      <c r="K43" s="50">
        <f>ROUND(G43*H43,2)</f>
      </c>
      <c r="L43" s="51" t="s">
        <v>61</v>
      </c>
      <c r="Z43" s="50">
        <f>ROUND(IF(AQ43="5",BJ43,0),2)</f>
      </c>
      <c r="AB43" s="50">
        <f>ROUND(IF(AQ43="1",BH43,0),2)</f>
      </c>
      <c r="AC43" s="50">
        <f>ROUND(IF(AQ43="1",BI43,0),2)</f>
      </c>
      <c r="AD43" s="50">
        <f>ROUND(IF(AQ43="7",BH43,0),2)</f>
      </c>
      <c r="AE43" s="50">
        <f>ROUND(IF(AQ43="7",BI43,0),2)</f>
      </c>
      <c r="AF43" s="50">
        <f>ROUND(IF(AQ43="2",BH43,0),2)</f>
      </c>
      <c r="AG43" s="50">
        <f>ROUND(IF(AQ43="2",BI43,0),2)</f>
      </c>
      <c r="AH43" s="50">
        <f>ROUND(IF(AQ43="0",BJ43,0),2)</f>
      </c>
      <c r="AI43" s="28" t="s">
        <v>53</v>
      </c>
      <c r="AJ43" s="50">
        <f>IF(AN43=0,K43,0)</f>
      </c>
      <c r="AK43" s="50">
        <f>IF(AN43=12,K43,0)</f>
      </c>
      <c r="AL43" s="50">
        <f>IF(AN43=21,K43,0)</f>
      </c>
      <c r="AN43" s="50" t="n">
        <v>21</v>
      </c>
      <c r="AO43" s="50">
        <f>H43*1</f>
      </c>
      <c r="AP43" s="50">
        <f>H43*(1-1)</f>
      </c>
      <c r="AQ43" s="52" t="s">
        <v>135</v>
      </c>
      <c r="AV43" s="50">
        <f>ROUND(AW43+AX43,2)</f>
      </c>
      <c r="AW43" s="50">
        <f>ROUND(G43*AO43,2)</f>
      </c>
      <c r="AX43" s="50">
        <f>ROUND(G43*AP43,2)</f>
      </c>
      <c r="AY43" s="52" t="s">
        <v>136</v>
      </c>
      <c r="AZ43" s="52" t="s">
        <v>137</v>
      </c>
      <c r="BA43" s="28" t="s">
        <v>64</v>
      </c>
      <c r="BC43" s="50">
        <f>AW43+AX43</f>
      </c>
      <c r="BD43" s="50">
        <f>H43/(100-BE43)*100</f>
      </c>
      <c r="BE43" s="50" t="n">
        <v>0</v>
      </c>
      <c r="BF43" s="50">
        <f>43</f>
      </c>
      <c r="BH43" s="50">
        <f>G43*AO43</f>
      </c>
      <c r="BI43" s="50">
        <f>G43*AP43</f>
      </c>
      <c r="BJ43" s="50">
        <f>G43*H43</f>
      </c>
      <c r="BK43" s="52" t="s">
        <v>130</v>
      </c>
      <c r="BL43" s="50"/>
      <c r="BW43" s="50" t="n">
        <v>21</v>
      </c>
      <c r="BX43" s="14" t="s">
        <v>159</v>
      </c>
    </row>
    <row r="44">
      <c r="A44" s="45" t="s">
        <v>52</v>
      </c>
      <c r="B44" s="46" t="s">
        <v>53</v>
      </c>
      <c r="C44" s="46" t="s">
        <v>160</v>
      </c>
      <c r="D44" s="47" t="s">
        <v>161</v>
      </c>
      <c r="E44" s="46"/>
      <c r="F44" s="48" t="s">
        <v>8</v>
      </c>
      <c r="G44" s="48" t="s">
        <v>8</v>
      </c>
      <c r="H44" s="48" t="s">
        <v>8</v>
      </c>
      <c r="I44" s="2">
        <f>I45+I47+I49</f>
      </c>
      <c r="J44" s="2">
        <f>J45+J47+J49</f>
      </c>
      <c r="K44" s="2">
        <f>K45+K47+K49</f>
      </c>
      <c r="L44" s="49" t="s">
        <v>52</v>
      </c>
      <c r="AI44" s="28" t="s">
        <v>53</v>
      </c>
    </row>
    <row r="45">
      <c r="A45" s="45" t="s">
        <v>52</v>
      </c>
      <c r="B45" s="46" t="s">
        <v>53</v>
      </c>
      <c r="C45" s="46" t="s">
        <v>162</v>
      </c>
      <c r="D45" s="47" t="s">
        <v>163</v>
      </c>
      <c r="E45" s="46"/>
      <c r="F45" s="48" t="s">
        <v>8</v>
      </c>
      <c r="G45" s="48" t="s">
        <v>8</v>
      </c>
      <c r="H45" s="48" t="s">
        <v>8</v>
      </c>
      <c r="I45" s="2">
        <f>SUM(I46:I46)</f>
      </c>
      <c r="J45" s="2">
        <f>SUM(J46:J46)</f>
      </c>
      <c r="K45" s="2">
        <f>SUM(K46:K46)</f>
      </c>
      <c r="L45" s="49" t="s">
        <v>52</v>
      </c>
      <c r="AI45" s="28" t="s">
        <v>53</v>
      </c>
      <c r="AS45" s="2">
        <f>SUM(AJ46:AJ46)</f>
      </c>
      <c r="AT45" s="2">
        <f>SUM(AK46:AK46)</f>
      </c>
      <c r="AU45" s="2">
        <f>SUM(AL46:AL46)</f>
      </c>
    </row>
    <row r="46">
      <c r="A46" s="9" t="s">
        <v>164</v>
      </c>
      <c r="B46" s="10" t="s">
        <v>53</v>
      </c>
      <c r="C46" s="10" t="s">
        <v>165</v>
      </c>
      <c r="D46" s="14" t="s">
        <v>163</v>
      </c>
      <c r="E46" s="10"/>
      <c r="F46" s="10" t="s">
        <v>166</v>
      </c>
      <c r="G46" s="50" t="n">
        <v>1</v>
      </c>
      <c r="H46" s="50" t="n">
        <v>0</v>
      </c>
      <c r="I46" s="50">
        <f>ROUND(G46*AO46,2)</f>
      </c>
      <c r="J46" s="50">
        <f>ROUND(G46*AP46,2)</f>
      </c>
      <c r="K46" s="50">
        <f>ROUND(G46*H46,2)</f>
      </c>
      <c r="L46" s="51" t="s">
        <v>61</v>
      </c>
      <c r="Z46" s="50">
        <f>ROUND(IF(AQ46="5",BJ46,0),2)</f>
      </c>
      <c r="AB46" s="50">
        <f>ROUND(IF(AQ46="1",BH46,0),2)</f>
      </c>
      <c r="AC46" s="50">
        <f>ROUND(IF(AQ46="1",BI46,0),2)</f>
      </c>
      <c r="AD46" s="50">
        <f>ROUND(IF(AQ46="7",BH46,0),2)</f>
      </c>
      <c r="AE46" s="50">
        <f>ROUND(IF(AQ46="7",BI46,0),2)</f>
      </c>
      <c r="AF46" s="50">
        <f>ROUND(IF(AQ46="2",BH46,0),2)</f>
      </c>
      <c r="AG46" s="50">
        <f>ROUND(IF(AQ46="2",BI46,0),2)</f>
      </c>
      <c r="AH46" s="50">
        <f>ROUND(IF(AQ46="0",BJ46,0),2)</f>
      </c>
      <c r="AI46" s="28" t="s">
        <v>53</v>
      </c>
      <c r="AJ46" s="50">
        <f>IF(AN46=0,K46,0)</f>
      </c>
      <c r="AK46" s="50">
        <f>IF(AN46=12,K46,0)</f>
      </c>
      <c r="AL46" s="50">
        <f>IF(AN46=21,K46,0)</f>
      </c>
      <c r="AN46" s="50" t="n">
        <v>21</v>
      </c>
      <c r="AO46" s="50">
        <f>H46*0</f>
      </c>
      <c r="AP46" s="50">
        <f>H46*(1-0)</f>
      </c>
      <c r="AQ46" s="52" t="s">
        <v>167</v>
      </c>
      <c r="AV46" s="50">
        <f>ROUND(AW46+AX46,2)</f>
      </c>
      <c r="AW46" s="50">
        <f>ROUND(G46*AO46,2)</f>
      </c>
      <c r="AX46" s="50">
        <f>ROUND(G46*AP46,2)</f>
      </c>
      <c r="AY46" s="52" t="s">
        <v>168</v>
      </c>
      <c r="AZ46" s="52" t="s">
        <v>169</v>
      </c>
      <c r="BA46" s="28" t="s">
        <v>64</v>
      </c>
      <c r="BC46" s="50">
        <f>AW46+AX46</f>
      </c>
      <c r="BD46" s="50">
        <f>H46/(100-BE46)*100</f>
      </c>
      <c r="BE46" s="50" t="n">
        <v>0</v>
      </c>
      <c r="BF46" s="50">
        <f>46</f>
      </c>
      <c r="BH46" s="50">
        <f>G46*AO46</f>
      </c>
      <c r="BI46" s="50">
        <f>G46*AP46</f>
      </c>
      <c r="BJ46" s="50">
        <f>G46*H46</f>
      </c>
      <c r="BK46" s="52" t="s">
        <v>65</v>
      </c>
      <c r="BL46" s="50"/>
      <c r="BO46" s="50">
        <f>G46*H46</f>
      </c>
      <c r="BW46" s="50" t="n">
        <v>21</v>
      </c>
      <c r="BX46" s="14" t="s">
        <v>163</v>
      </c>
    </row>
    <row r="47">
      <c r="A47" s="45" t="s">
        <v>52</v>
      </c>
      <c r="B47" s="46" t="s">
        <v>53</v>
      </c>
      <c r="C47" s="46" t="s">
        <v>170</v>
      </c>
      <c r="D47" s="47" t="s">
        <v>171</v>
      </c>
      <c r="E47" s="46"/>
      <c r="F47" s="48" t="s">
        <v>8</v>
      </c>
      <c r="G47" s="48" t="s">
        <v>8</v>
      </c>
      <c r="H47" s="48" t="s">
        <v>8</v>
      </c>
      <c r="I47" s="2">
        <f>SUM(I48:I48)</f>
      </c>
      <c r="J47" s="2">
        <f>SUM(J48:J48)</f>
      </c>
      <c r="K47" s="2">
        <f>SUM(K48:K48)</f>
      </c>
      <c r="L47" s="49" t="s">
        <v>52</v>
      </c>
      <c r="AI47" s="28" t="s">
        <v>53</v>
      </c>
      <c r="AS47" s="2">
        <f>SUM(AJ48:AJ48)</f>
      </c>
      <c r="AT47" s="2">
        <f>SUM(AK48:AK48)</f>
      </c>
      <c r="AU47" s="2">
        <f>SUM(AL48:AL48)</f>
      </c>
    </row>
    <row r="48">
      <c r="A48" s="9" t="s">
        <v>172</v>
      </c>
      <c r="B48" s="10" t="s">
        <v>53</v>
      </c>
      <c r="C48" s="10" t="s">
        <v>173</v>
      </c>
      <c r="D48" s="14" t="s">
        <v>174</v>
      </c>
      <c r="E48" s="10"/>
      <c r="F48" s="10" t="s">
        <v>166</v>
      </c>
      <c r="G48" s="50" t="n">
        <v>1</v>
      </c>
      <c r="H48" s="50" t="n">
        <v>0</v>
      </c>
      <c r="I48" s="50">
        <f>ROUND(G48*AO48,2)</f>
      </c>
      <c r="J48" s="50">
        <f>ROUND(G48*AP48,2)</f>
      </c>
      <c r="K48" s="50">
        <f>ROUND(G48*H48,2)</f>
      </c>
      <c r="L48" s="51" t="s">
        <v>61</v>
      </c>
      <c r="Z48" s="50">
        <f>ROUND(IF(AQ48="5",BJ48,0),2)</f>
      </c>
      <c r="AB48" s="50">
        <f>ROUND(IF(AQ48="1",BH48,0),2)</f>
      </c>
      <c r="AC48" s="50">
        <f>ROUND(IF(AQ48="1",BI48,0),2)</f>
      </c>
      <c r="AD48" s="50">
        <f>ROUND(IF(AQ48="7",BH48,0),2)</f>
      </c>
      <c r="AE48" s="50">
        <f>ROUND(IF(AQ48="7",BI48,0),2)</f>
      </c>
      <c r="AF48" s="50">
        <f>ROUND(IF(AQ48="2",BH48,0),2)</f>
      </c>
      <c r="AG48" s="50">
        <f>ROUND(IF(AQ48="2",BI48,0),2)</f>
      </c>
      <c r="AH48" s="50">
        <f>ROUND(IF(AQ48="0",BJ48,0),2)</f>
      </c>
      <c r="AI48" s="28" t="s">
        <v>53</v>
      </c>
      <c r="AJ48" s="50">
        <f>IF(AN48=0,K48,0)</f>
      </c>
      <c r="AK48" s="50">
        <f>IF(AN48=12,K48,0)</f>
      </c>
      <c r="AL48" s="50">
        <f>IF(AN48=21,K48,0)</f>
      </c>
      <c r="AN48" s="50" t="n">
        <v>21</v>
      </c>
      <c r="AO48" s="50">
        <f>H48*0</f>
      </c>
      <c r="AP48" s="50">
        <f>H48*(1-0)</f>
      </c>
      <c r="AQ48" s="52" t="s">
        <v>167</v>
      </c>
      <c r="AV48" s="50">
        <f>ROUND(AW48+AX48,2)</f>
      </c>
      <c r="AW48" s="50">
        <f>ROUND(G48*AO48,2)</f>
      </c>
      <c r="AX48" s="50">
        <f>ROUND(G48*AP48,2)</f>
      </c>
      <c r="AY48" s="52" t="s">
        <v>175</v>
      </c>
      <c r="AZ48" s="52" t="s">
        <v>169</v>
      </c>
      <c r="BA48" s="28" t="s">
        <v>64</v>
      </c>
      <c r="BC48" s="50">
        <f>AW48+AX48</f>
      </c>
      <c r="BD48" s="50">
        <f>H48/(100-BE48)*100</f>
      </c>
      <c r="BE48" s="50" t="n">
        <v>0</v>
      </c>
      <c r="BF48" s="50">
        <f>48</f>
      </c>
      <c r="BH48" s="50">
        <f>G48*AO48</f>
      </c>
      <c r="BI48" s="50">
        <f>G48*AP48</f>
      </c>
      <c r="BJ48" s="50">
        <f>G48*H48</f>
      </c>
      <c r="BK48" s="52" t="s">
        <v>65</v>
      </c>
      <c r="BL48" s="50"/>
      <c r="BP48" s="50">
        <f>G48*H48</f>
      </c>
      <c r="BW48" s="50" t="n">
        <v>21</v>
      </c>
      <c r="BX48" s="14" t="s">
        <v>174</v>
      </c>
    </row>
    <row r="49">
      <c r="A49" s="45" t="s">
        <v>52</v>
      </c>
      <c r="B49" s="46" t="s">
        <v>53</v>
      </c>
      <c r="C49" s="46" t="s">
        <v>176</v>
      </c>
      <c r="D49" s="47" t="s">
        <v>177</v>
      </c>
      <c r="E49" s="46"/>
      <c r="F49" s="48" t="s">
        <v>8</v>
      </c>
      <c r="G49" s="48" t="s">
        <v>8</v>
      </c>
      <c r="H49" s="48" t="s">
        <v>8</v>
      </c>
      <c r="I49" s="2">
        <f>SUM(I50:I50)</f>
      </c>
      <c r="J49" s="2">
        <f>SUM(J50:J50)</f>
      </c>
      <c r="K49" s="2">
        <f>SUM(K50:K50)</f>
      </c>
      <c r="L49" s="49" t="s">
        <v>52</v>
      </c>
      <c r="AI49" s="28" t="s">
        <v>53</v>
      </c>
      <c r="AS49" s="2">
        <f>SUM(AJ50:AJ50)</f>
      </c>
      <c r="AT49" s="2">
        <f>SUM(AK50:AK50)</f>
      </c>
      <c r="AU49" s="2">
        <f>SUM(AL50:AL50)</f>
      </c>
    </row>
    <row r="50">
      <c r="A50" s="9" t="s">
        <v>178</v>
      </c>
      <c r="B50" s="10" t="s">
        <v>53</v>
      </c>
      <c r="C50" s="10" t="s">
        <v>179</v>
      </c>
      <c r="D50" s="14" t="s">
        <v>180</v>
      </c>
      <c r="E50" s="10"/>
      <c r="F50" s="10" t="s">
        <v>166</v>
      </c>
      <c r="G50" s="50" t="n">
        <v>1</v>
      </c>
      <c r="H50" s="50" t="n">
        <v>0</v>
      </c>
      <c r="I50" s="50">
        <f>ROUND(G50*AO50,2)</f>
      </c>
      <c r="J50" s="50">
        <f>ROUND(G50*AP50,2)</f>
      </c>
      <c r="K50" s="50">
        <f>ROUND(G50*H50,2)</f>
      </c>
      <c r="L50" s="51" t="s">
        <v>61</v>
      </c>
      <c r="Z50" s="50">
        <f>ROUND(IF(AQ50="5",BJ50,0),2)</f>
      </c>
      <c r="AB50" s="50">
        <f>ROUND(IF(AQ50="1",BH50,0),2)</f>
      </c>
      <c r="AC50" s="50">
        <f>ROUND(IF(AQ50="1",BI50,0),2)</f>
      </c>
      <c r="AD50" s="50">
        <f>ROUND(IF(AQ50="7",BH50,0),2)</f>
      </c>
      <c r="AE50" s="50">
        <f>ROUND(IF(AQ50="7",BI50,0),2)</f>
      </c>
      <c r="AF50" s="50">
        <f>ROUND(IF(AQ50="2",BH50,0),2)</f>
      </c>
      <c r="AG50" s="50">
        <f>ROUND(IF(AQ50="2",BI50,0),2)</f>
      </c>
      <c r="AH50" s="50">
        <f>ROUND(IF(AQ50="0",BJ50,0),2)</f>
      </c>
      <c r="AI50" s="28" t="s">
        <v>53</v>
      </c>
      <c r="AJ50" s="50">
        <f>IF(AN50=0,K50,0)</f>
      </c>
      <c r="AK50" s="50">
        <f>IF(AN50=12,K50,0)</f>
      </c>
      <c r="AL50" s="50">
        <f>IF(AN50=21,K50,0)</f>
      </c>
      <c r="AN50" s="50" t="n">
        <v>21</v>
      </c>
      <c r="AO50" s="50">
        <f>H50*0</f>
      </c>
      <c r="AP50" s="50">
        <f>H50*(1-0)</f>
      </c>
      <c r="AQ50" s="52" t="s">
        <v>167</v>
      </c>
      <c r="AV50" s="50">
        <f>ROUND(AW50+AX50,2)</f>
      </c>
      <c r="AW50" s="50">
        <f>ROUND(G50*AO50,2)</f>
      </c>
      <c r="AX50" s="50">
        <f>ROUND(G50*AP50,2)</f>
      </c>
      <c r="AY50" s="52" t="s">
        <v>181</v>
      </c>
      <c r="AZ50" s="52" t="s">
        <v>169</v>
      </c>
      <c r="BA50" s="28" t="s">
        <v>64</v>
      </c>
      <c r="BC50" s="50">
        <f>AW50+AX50</f>
      </c>
      <c r="BD50" s="50">
        <f>H50/(100-BE50)*100</f>
      </c>
      <c r="BE50" s="50" t="n">
        <v>0</v>
      </c>
      <c r="BF50" s="50">
        <f>50</f>
      </c>
      <c r="BH50" s="50">
        <f>G50*AO50</f>
      </c>
      <c r="BI50" s="50">
        <f>G50*AP50</f>
      </c>
      <c r="BJ50" s="50">
        <f>G50*H50</f>
      </c>
      <c r="BK50" s="52" t="s">
        <v>65</v>
      </c>
      <c r="BL50" s="50"/>
      <c r="BS50" s="50">
        <f>G50*H50</f>
      </c>
      <c r="BW50" s="50" t="n">
        <v>21</v>
      </c>
      <c r="BX50" s="14" t="s">
        <v>180</v>
      </c>
    </row>
    <row r="51">
      <c r="A51" s="45" t="s">
        <v>52</v>
      </c>
      <c r="B51" s="46" t="s">
        <v>182</v>
      </c>
      <c r="C51" s="46" t="s">
        <v>52</v>
      </c>
      <c r="D51" s="47" t="s">
        <v>183</v>
      </c>
      <c r="E51" s="46"/>
      <c r="F51" s="48" t="s">
        <v>8</v>
      </c>
      <c r="G51" s="48" t="s">
        <v>8</v>
      </c>
      <c r="H51" s="48" t="s">
        <v>8</v>
      </c>
      <c r="I51" s="2">
        <f>I52+I59+I61+I63+I65+I68+I73+I78+I87+I89+I91+I93+I95+I99+I105+I112+I114</f>
      </c>
      <c r="J51" s="2">
        <f>J52+J59+J61+J63+J65+J68+J73+J78+J87+J89+J91+J93+J95+J99+J105+J112+J114</f>
      </c>
      <c r="K51" s="2">
        <f>K52+K59+K61+K63+K65+K68+K73+K78+K87+K89+K91+K93+K95+K99+K105+K112+K114</f>
      </c>
      <c r="L51" s="49" t="s">
        <v>52</v>
      </c>
    </row>
    <row r="52">
      <c r="A52" s="45" t="s">
        <v>52</v>
      </c>
      <c r="B52" s="46" t="s">
        <v>182</v>
      </c>
      <c r="C52" s="46" t="s">
        <v>109</v>
      </c>
      <c r="D52" s="47" t="s">
        <v>184</v>
      </c>
      <c r="E52" s="46"/>
      <c r="F52" s="48" t="s">
        <v>8</v>
      </c>
      <c r="G52" s="48" t="s">
        <v>8</v>
      </c>
      <c r="H52" s="48" t="s">
        <v>8</v>
      </c>
      <c r="I52" s="2">
        <f>SUM(I53:I58)</f>
      </c>
      <c r="J52" s="2">
        <f>SUM(J53:J58)</f>
      </c>
      <c r="K52" s="2">
        <f>SUM(K53:K58)</f>
      </c>
      <c r="L52" s="49" t="s">
        <v>52</v>
      </c>
      <c r="AI52" s="28" t="s">
        <v>182</v>
      </c>
      <c r="AS52" s="2">
        <f>SUM(AJ53:AJ58)</f>
      </c>
      <c r="AT52" s="2">
        <f>SUM(AK53:AK58)</f>
      </c>
      <c r="AU52" s="2">
        <f>SUM(AL53:AL58)</f>
      </c>
    </row>
    <row r="53">
      <c r="A53" s="9" t="s">
        <v>185</v>
      </c>
      <c r="B53" s="10" t="s">
        <v>182</v>
      </c>
      <c r="C53" s="10" t="s">
        <v>186</v>
      </c>
      <c r="D53" s="14" t="s">
        <v>187</v>
      </c>
      <c r="E53" s="10"/>
      <c r="F53" s="10" t="s">
        <v>101</v>
      </c>
      <c r="G53" s="50" t="n">
        <v>179</v>
      </c>
      <c r="H53" s="50" t="n">
        <v>0</v>
      </c>
      <c r="I53" s="50">
        <f>ROUND(G53*AO53,2)</f>
      </c>
      <c r="J53" s="50">
        <f>ROUND(G53*AP53,2)</f>
      </c>
      <c r="K53" s="50">
        <f>ROUND(G53*H53,2)</f>
      </c>
      <c r="L53" s="51" t="s">
        <v>61</v>
      </c>
      <c r="Z53" s="50">
        <f>ROUND(IF(AQ53="5",BJ53,0),2)</f>
      </c>
      <c r="AB53" s="50">
        <f>ROUND(IF(AQ53="1",BH53,0),2)</f>
      </c>
      <c r="AC53" s="50">
        <f>ROUND(IF(AQ53="1",BI53,0),2)</f>
      </c>
      <c r="AD53" s="50">
        <f>ROUND(IF(AQ53="7",BH53,0),2)</f>
      </c>
      <c r="AE53" s="50">
        <f>ROUND(IF(AQ53="7",BI53,0),2)</f>
      </c>
      <c r="AF53" s="50">
        <f>ROUND(IF(AQ53="2",BH53,0),2)</f>
      </c>
      <c r="AG53" s="50">
        <f>ROUND(IF(AQ53="2",BI53,0),2)</f>
      </c>
      <c r="AH53" s="50">
        <f>ROUND(IF(AQ53="0",BJ53,0),2)</f>
      </c>
      <c r="AI53" s="28" t="s">
        <v>182</v>
      </c>
      <c r="AJ53" s="50">
        <f>IF(AN53=0,K53,0)</f>
      </c>
      <c r="AK53" s="50">
        <f>IF(AN53=12,K53,0)</f>
      </c>
      <c r="AL53" s="50">
        <f>IF(AN53=21,K53,0)</f>
      </c>
      <c r="AN53" s="50" t="n">
        <v>21</v>
      </c>
      <c r="AO53" s="50">
        <f>H53*0</f>
      </c>
      <c r="AP53" s="50">
        <f>H53*(1-0)</f>
      </c>
      <c r="AQ53" s="52" t="s">
        <v>57</v>
      </c>
      <c r="AV53" s="50">
        <f>ROUND(AW53+AX53,2)</f>
      </c>
      <c r="AW53" s="50">
        <f>ROUND(G53*AO53,2)</f>
      </c>
      <c r="AX53" s="50">
        <f>ROUND(G53*AP53,2)</f>
      </c>
      <c r="AY53" s="52" t="s">
        <v>188</v>
      </c>
      <c r="AZ53" s="52" t="s">
        <v>189</v>
      </c>
      <c r="BA53" s="28" t="s">
        <v>190</v>
      </c>
      <c r="BC53" s="50">
        <f>AW53+AX53</f>
      </c>
      <c r="BD53" s="50">
        <f>H53/(100-BE53)*100</f>
      </c>
      <c r="BE53" s="50" t="n">
        <v>0</v>
      </c>
      <c r="BF53" s="50">
        <f>53</f>
      </c>
      <c r="BH53" s="50">
        <f>G53*AO53</f>
      </c>
      <c r="BI53" s="50">
        <f>G53*AP53</f>
      </c>
      <c r="BJ53" s="50">
        <f>G53*H53</f>
      </c>
      <c r="BK53" s="52" t="s">
        <v>65</v>
      </c>
      <c r="BL53" s="50" t="n">
        <v>11</v>
      </c>
      <c r="BW53" s="50" t="n">
        <v>21</v>
      </c>
      <c r="BX53" s="14" t="s">
        <v>187</v>
      </c>
    </row>
    <row r="54" customHeight="true" ht="13.5">
      <c r="A54" s="53"/>
      <c r="C54" s="54" t="s">
        <v>191</v>
      </c>
      <c r="D54" s="55" t="s">
        <v>192</v>
      </c>
      <c r="E54" s="56"/>
      <c r="F54" s="56"/>
      <c r="G54" s="56"/>
      <c r="H54" s="56"/>
      <c r="I54" s="56"/>
      <c r="J54" s="56"/>
      <c r="K54" s="56"/>
      <c r="L54" s="57"/>
    </row>
    <row r="55">
      <c r="A55" s="9" t="s">
        <v>193</v>
      </c>
      <c r="B55" s="10" t="s">
        <v>182</v>
      </c>
      <c r="C55" s="10" t="s">
        <v>186</v>
      </c>
      <c r="D55" s="14" t="s">
        <v>187</v>
      </c>
      <c r="E55" s="10"/>
      <c r="F55" s="10" t="s">
        <v>101</v>
      </c>
      <c r="G55" s="50" t="n">
        <v>288</v>
      </c>
      <c r="H55" s="50" t="n">
        <v>0</v>
      </c>
      <c r="I55" s="50">
        <f>ROUND(G55*AO55,2)</f>
      </c>
      <c r="J55" s="50">
        <f>ROUND(G55*AP55,2)</f>
      </c>
      <c r="K55" s="50">
        <f>ROUND(G55*H55,2)</f>
      </c>
      <c r="L55" s="51" t="s">
        <v>61</v>
      </c>
      <c r="Z55" s="50">
        <f>ROUND(IF(AQ55="5",BJ55,0),2)</f>
      </c>
      <c r="AB55" s="50">
        <f>ROUND(IF(AQ55="1",BH55,0),2)</f>
      </c>
      <c r="AC55" s="50">
        <f>ROUND(IF(AQ55="1",BI55,0),2)</f>
      </c>
      <c r="AD55" s="50">
        <f>ROUND(IF(AQ55="7",BH55,0),2)</f>
      </c>
      <c r="AE55" s="50">
        <f>ROUND(IF(AQ55="7",BI55,0),2)</f>
      </c>
      <c r="AF55" s="50">
        <f>ROUND(IF(AQ55="2",BH55,0),2)</f>
      </c>
      <c r="AG55" s="50">
        <f>ROUND(IF(AQ55="2",BI55,0),2)</f>
      </c>
      <c r="AH55" s="50">
        <f>ROUND(IF(AQ55="0",BJ55,0),2)</f>
      </c>
      <c r="AI55" s="28" t="s">
        <v>182</v>
      </c>
      <c r="AJ55" s="50">
        <f>IF(AN55=0,K55,0)</f>
      </c>
      <c r="AK55" s="50">
        <f>IF(AN55=12,K55,0)</f>
      </c>
      <c r="AL55" s="50">
        <f>IF(AN55=21,K55,0)</f>
      </c>
      <c r="AN55" s="50" t="n">
        <v>21</v>
      </c>
      <c r="AO55" s="50">
        <f>H55*0</f>
      </c>
      <c r="AP55" s="50">
        <f>H55*(1-0)</f>
      </c>
      <c r="AQ55" s="52" t="s">
        <v>57</v>
      </c>
      <c r="AV55" s="50">
        <f>ROUND(AW55+AX55,2)</f>
      </c>
      <c r="AW55" s="50">
        <f>ROUND(G55*AO55,2)</f>
      </c>
      <c r="AX55" s="50">
        <f>ROUND(G55*AP55,2)</f>
      </c>
      <c r="AY55" s="52" t="s">
        <v>188</v>
      </c>
      <c r="AZ55" s="52" t="s">
        <v>189</v>
      </c>
      <c r="BA55" s="28" t="s">
        <v>190</v>
      </c>
      <c r="BC55" s="50">
        <f>AW55+AX55</f>
      </c>
      <c r="BD55" s="50">
        <f>H55/(100-BE55)*100</f>
      </c>
      <c r="BE55" s="50" t="n">
        <v>0</v>
      </c>
      <c r="BF55" s="50">
        <f>55</f>
      </c>
      <c r="BH55" s="50">
        <f>G55*AO55</f>
      </c>
      <c r="BI55" s="50">
        <f>G55*AP55</f>
      </c>
      <c r="BJ55" s="50">
        <f>G55*H55</f>
      </c>
      <c r="BK55" s="52" t="s">
        <v>65</v>
      </c>
      <c r="BL55" s="50" t="n">
        <v>11</v>
      </c>
      <c r="BW55" s="50" t="n">
        <v>21</v>
      </c>
      <c r="BX55" s="14" t="s">
        <v>187</v>
      </c>
    </row>
    <row r="56">
      <c r="A56" s="9" t="s">
        <v>194</v>
      </c>
      <c r="B56" s="10" t="s">
        <v>182</v>
      </c>
      <c r="C56" s="10" t="s">
        <v>195</v>
      </c>
      <c r="D56" s="14" t="s">
        <v>196</v>
      </c>
      <c r="E56" s="10"/>
      <c r="F56" s="10" t="s">
        <v>197</v>
      </c>
      <c r="G56" s="50" t="n">
        <v>2500</v>
      </c>
      <c r="H56" s="50" t="n">
        <v>0</v>
      </c>
      <c r="I56" s="50">
        <f>ROUND(G56*AO56,2)</f>
      </c>
      <c r="J56" s="50">
        <f>ROUND(G56*AP56,2)</f>
      </c>
      <c r="K56" s="50">
        <f>ROUND(G56*H56,2)</f>
      </c>
      <c r="L56" s="51" t="s">
        <v>61</v>
      </c>
      <c r="Z56" s="50">
        <f>ROUND(IF(AQ56="5",BJ56,0),2)</f>
      </c>
      <c r="AB56" s="50">
        <f>ROUND(IF(AQ56="1",BH56,0),2)</f>
      </c>
      <c r="AC56" s="50">
        <f>ROUND(IF(AQ56="1",BI56,0),2)</f>
      </c>
      <c r="AD56" s="50">
        <f>ROUND(IF(AQ56="7",BH56,0),2)</f>
      </c>
      <c r="AE56" s="50">
        <f>ROUND(IF(AQ56="7",BI56,0),2)</f>
      </c>
      <c r="AF56" s="50">
        <f>ROUND(IF(AQ56="2",BH56,0),2)</f>
      </c>
      <c r="AG56" s="50">
        <f>ROUND(IF(AQ56="2",BI56,0),2)</f>
      </c>
      <c r="AH56" s="50">
        <f>ROUND(IF(AQ56="0",BJ56,0),2)</f>
      </c>
      <c r="AI56" s="28" t="s">
        <v>182</v>
      </c>
      <c r="AJ56" s="50">
        <f>IF(AN56=0,K56,0)</f>
      </c>
      <c r="AK56" s="50">
        <f>IF(AN56=12,K56,0)</f>
      </c>
      <c r="AL56" s="50">
        <f>IF(AN56=21,K56,0)</f>
      </c>
      <c r="AN56" s="50" t="n">
        <v>21</v>
      </c>
      <c r="AO56" s="50">
        <f>H56*0</f>
      </c>
      <c r="AP56" s="50">
        <f>H56*(1-0)</f>
      </c>
      <c r="AQ56" s="52" t="s">
        <v>57</v>
      </c>
      <c r="AV56" s="50">
        <f>ROUND(AW56+AX56,2)</f>
      </c>
      <c r="AW56" s="50">
        <f>ROUND(G56*AO56,2)</f>
      </c>
      <c r="AX56" s="50">
        <f>ROUND(G56*AP56,2)</f>
      </c>
      <c r="AY56" s="52" t="s">
        <v>188</v>
      </c>
      <c r="AZ56" s="52" t="s">
        <v>189</v>
      </c>
      <c r="BA56" s="28" t="s">
        <v>190</v>
      </c>
      <c r="BC56" s="50">
        <f>AW56+AX56</f>
      </c>
      <c r="BD56" s="50">
        <f>H56/(100-BE56)*100</f>
      </c>
      <c r="BE56" s="50" t="n">
        <v>0</v>
      </c>
      <c r="BF56" s="50">
        <f>56</f>
      </c>
      <c r="BH56" s="50">
        <f>G56*AO56</f>
      </c>
      <c r="BI56" s="50">
        <f>G56*AP56</f>
      </c>
      <c r="BJ56" s="50">
        <f>G56*H56</f>
      </c>
      <c r="BK56" s="52" t="s">
        <v>65</v>
      </c>
      <c r="BL56" s="50" t="n">
        <v>11</v>
      </c>
      <c r="BW56" s="50" t="n">
        <v>21</v>
      </c>
      <c r="BX56" s="14" t="s">
        <v>196</v>
      </c>
    </row>
    <row r="57">
      <c r="A57" s="9" t="s">
        <v>198</v>
      </c>
      <c r="B57" s="10" t="s">
        <v>182</v>
      </c>
      <c r="C57" s="10" t="s">
        <v>199</v>
      </c>
      <c r="D57" s="14" t="s">
        <v>200</v>
      </c>
      <c r="E57" s="10"/>
      <c r="F57" s="10" t="s">
        <v>197</v>
      </c>
      <c r="G57" s="50" t="n">
        <v>940</v>
      </c>
      <c r="H57" s="50" t="n">
        <v>0</v>
      </c>
      <c r="I57" s="50">
        <f>ROUND(G57*AO57,2)</f>
      </c>
      <c r="J57" s="50">
        <f>ROUND(G57*AP57,2)</f>
      </c>
      <c r="K57" s="50">
        <f>ROUND(G57*H57,2)</f>
      </c>
      <c r="L57" s="51" t="s">
        <v>61</v>
      </c>
      <c r="Z57" s="50">
        <f>ROUND(IF(AQ57="5",BJ57,0),2)</f>
      </c>
      <c r="AB57" s="50">
        <f>ROUND(IF(AQ57="1",BH57,0),2)</f>
      </c>
      <c r="AC57" s="50">
        <f>ROUND(IF(AQ57="1",BI57,0),2)</f>
      </c>
      <c r="AD57" s="50">
        <f>ROUND(IF(AQ57="7",BH57,0),2)</f>
      </c>
      <c r="AE57" s="50">
        <f>ROUND(IF(AQ57="7",BI57,0),2)</f>
      </c>
      <c r="AF57" s="50">
        <f>ROUND(IF(AQ57="2",BH57,0),2)</f>
      </c>
      <c r="AG57" s="50">
        <f>ROUND(IF(AQ57="2",BI57,0),2)</f>
      </c>
      <c r="AH57" s="50">
        <f>ROUND(IF(AQ57="0",BJ57,0),2)</f>
      </c>
      <c r="AI57" s="28" t="s">
        <v>182</v>
      </c>
      <c r="AJ57" s="50">
        <f>IF(AN57=0,K57,0)</f>
      </c>
      <c r="AK57" s="50">
        <f>IF(AN57=12,K57,0)</f>
      </c>
      <c r="AL57" s="50">
        <f>IF(AN57=21,K57,0)</f>
      </c>
      <c r="AN57" s="50" t="n">
        <v>21</v>
      </c>
      <c r="AO57" s="50">
        <f>H57*0.018880143</f>
      </c>
      <c r="AP57" s="50">
        <f>H57*(1-0.018880143)</f>
      </c>
      <c r="AQ57" s="52" t="s">
        <v>57</v>
      </c>
      <c r="AV57" s="50">
        <f>ROUND(AW57+AX57,2)</f>
      </c>
      <c r="AW57" s="50">
        <f>ROUND(G57*AO57,2)</f>
      </c>
      <c r="AX57" s="50">
        <f>ROUND(G57*AP57,2)</f>
      </c>
      <c r="AY57" s="52" t="s">
        <v>188</v>
      </c>
      <c r="AZ57" s="52" t="s">
        <v>189</v>
      </c>
      <c r="BA57" s="28" t="s">
        <v>190</v>
      </c>
      <c r="BC57" s="50">
        <f>AW57+AX57</f>
      </c>
      <c r="BD57" s="50">
        <f>H57/(100-BE57)*100</f>
      </c>
      <c r="BE57" s="50" t="n">
        <v>0</v>
      </c>
      <c r="BF57" s="50">
        <f>57</f>
      </c>
      <c r="BH57" s="50">
        <f>G57*AO57</f>
      </c>
      <c r="BI57" s="50">
        <f>G57*AP57</f>
      </c>
      <c r="BJ57" s="50">
        <f>G57*H57</f>
      </c>
      <c r="BK57" s="52" t="s">
        <v>65</v>
      </c>
      <c r="BL57" s="50" t="n">
        <v>11</v>
      </c>
      <c r="BW57" s="50" t="n">
        <v>21</v>
      </c>
      <c r="BX57" s="14" t="s">
        <v>200</v>
      </c>
    </row>
    <row r="58">
      <c r="A58" s="9" t="s">
        <v>201</v>
      </c>
      <c r="B58" s="10" t="s">
        <v>182</v>
      </c>
      <c r="C58" s="10" t="s">
        <v>202</v>
      </c>
      <c r="D58" s="14" t="s">
        <v>203</v>
      </c>
      <c r="E58" s="10"/>
      <c r="F58" s="10" t="s">
        <v>197</v>
      </c>
      <c r="G58" s="50" t="n">
        <v>198</v>
      </c>
      <c r="H58" s="50" t="n">
        <v>0</v>
      </c>
      <c r="I58" s="50">
        <f>ROUND(G58*AO58,2)</f>
      </c>
      <c r="J58" s="50">
        <f>ROUND(G58*AP58,2)</f>
      </c>
      <c r="K58" s="50">
        <f>ROUND(G58*H58,2)</f>
      </c>
      <c r="L58" s="51" t="s">
        <v>61</v>
      </c>
      <c r="Z58" s="50">
        <f>ROUND(IF(AQ58="5",BJ58,0),2)</f>
      </c>
      <c r="AB58" s="50">
        <f>ROUND(IF(AQ58="1",BH58,0),2)</f>
      </c>
      <c r="AC58" s="50">
        <f>ROUND(IF(AQ58="1",BI58,0),2)</f>
      </c>
      <c r="AD58" s="50">
        <f>ROUND(IF(AQ58="7",BH58,0),2)</f>
      </c>
      <c r="AE58" s="50">
        <f>ROUND(IF(AQ58="7",BI58,0),2)</f>
      </c>
      <c r="AF58" s="50">
        <f>ROUND(IF(AQ58="2",BH58,0),2)</f>
      </c>
      <c r="AG58" s="50">
        <f>ROUND(IF(AQ58="2",BI58,0),2)</f>
      </c>
      <c r="AH58" s="50">
        <f>ROUND(IF(AQ58="0",BJ58,0),2)</f>
      </c>
      <c r="AI58" s="28" t="s">
        <v>182</v>
      </c>
      <c r="AJ58" s="50">
        <f>IF(AN58=0,K58,0)</f>
      </c>
      <c r="AK58" s="50">
        <f>IF(AN58=12,K58,0)</f>
      </c>
      <c r="AL58" s="50">
        <f>IF(AN58=21,K58,0)</f>
      </c>
      <c r="AN58" s="50" t="n">
        <v>21</v>
      </c>
      <c r="AO58" s="50">
        <f>H58*0.004820159</f>
      </c>
      <c r="AP58" s="50">
        <f>H58*(1-0.004820159)</f>
      </c>
      <c r="AQ58" s="52" t="s">
        <v>57</v>
      </c>
      <c r="AV58" s="50">
        <f>ROUND(AW58+AX58,2)</f>
      </c>
      <c r="AW58" s="50">
        <f>ROUND(G58*AO58,2)</f>
      </c>
      <c r="AX58" s="50">
        <f>ROUND(G58*AP58,2)</f>
      </c>
      <c r="AY58" s="52" t="s">
        <v>188</v>
      </c>
      <c r="AZ58" s="52" t="s">
        <v>189</v>
      </c>
      <c r="BA58" s="28" t="s">
        <v>190</v>
      </c>
      <c r="BC58" s="50">
        <f>AW58+AX58</f>
      </c>
      <c r="BD58" s="50">
        <f>H58/(100-BE58)*100</f>
      </c>
      <c r="BE58" s="50" t="n">
        <v>0</v>
      </c>
      <c r="BF58" s="50">
        <f>58</f>
      </c>
      <c r="BH58" s="50">
        <f>G58*AO58</f>
      </c>
      <c r="BI58" s="50">
        <f>G58*AP58</f>
      </c>
      <c r="BJ58" s="50">
        <f>G58*H58</f>
      </c>
      <c r="BK58" s="52" t="s">
        <v>65</v>
      </c>
      <c r="BL58" s="50" t="n">
        <v>11</v>
      </c>
      <c r="BW58" s="50" t="n">
        <v>21</v>
      </c>
      <c r="BX58" s="14" t="s">
        <v>203</v>
      </c>
    </row>
    <row r="59">
      <c r="A59" s="45" t="s">
        <v>52</v>
      </c>
      <c r="B59" s="46" t="s">
        <v>182</v>
      </c>
      <c r="C59" s="46" t="s">
        <v>112</v>
      </c>
      <c r="D59" s="47" t="s">
        <v>204</v>
      </c>
      <c r="E59" s="46"/>
      <c r="F59" s="48" t="s">
        <v>8</v>
      </c>
      <c r="G59" s="48" t="s">
        <v>8</v>
      </c>
      <c r="H59" s="48" t="s">
        <v>8</v>
      </c>
      <c r="I59" s="2">
        <f>SUM(I60:I60)</f>
      </c>
      <c r="J59" s="2">
        <f>SUM(J60:J60)</f>
      </c>
      <c r="K59" s="2">
        <f>SUM(K60:K60)</f>
      </c>
      <c r="L59" s="49" t="s">
        <v>52</v>
      </c>
      <c r="AI59" s="28" t="s">
        <v>182</v>
      </c>
      <c r="AS59" s="2">
        <f>SUM(AJ60:AJ60)</f>
      </c>
      <c r="AT59" s="2">
        <f>SUM(AK60:AK60)</f>
      </c>
      <c r="AU59" s="2">
        <f>SUM(AL60:AL60)</f>
      </c>
    </row>
    <row r="60">
      <c r="A60" s="9" t="s">
        <v>205</v>
      </c>
      <c r="B60" s="10" t="s">
        <v>182</v>
      </c>
      <c r="C60" s="10" t="s">
        <v>206</v>
      </c>
      <c r="D60" s="14" t="s">
        <v>207</v>
      </c>
      <c r="E60" s="10"/>
      <c r="F60" s="10" t="s">
        <v>60</v>
      </c>
      <c r="G60" s="50" t="n">
        <v>1305</v>
      </c>
      <c r="H60" s="50" t="n">
        <v>0</v>
      </c>
      <c r="I60" s="50">
        <f>ROUND(G60*AO60,2)</f>
      </c>
      <c r="J60" s="50">
        <f>ROUND(G60*AP60,2)</f>
      </c>
      <c r="K60" s="50">
        <f>ROUND(G60*H60,2)</f>
      </c>
      <c r="L60" s="51" t="s">
        <v>61</v>
      </c>
      <c r="Z60" s="50">
        <f>ROUND(IF(AQ60="5",BJ60,0),2)</f>
      </c>
      <c r="AB60" s="50">
        <f>ROUND(IF(AQ60="1",BH60,0),2)</f>
      </c>
      <c r="AC60" s="50">
        <f>ROUND(IF(AQ60="1",BI60,0),2)</f>
      </c>
      <c r="AD60" s="50">
        <f>ROUND(IF(AQ60="7",BH60,0),2)</f>
      </c>
      <c r="AE60" s="50">
        <f>ROUND(IF(AQ60="7",BI60,0),2)</f>
      </c>
      <c r="AF60" s="50">
        <f>ROUND(IF(AQ60="2",BH60,0),2)</f>
      </c>
      <c r="AG60" s="50">
        <f>ROUND(IF(AQ60="2",BI60,0),2)</f>
      </c>
      <c r="AH60" s="50">
        <f>ROUND(IF(AQ60="0",BJ60,0),2)</f>
      </c>
      <c r="AI60" s="28" t="s">
        <v>182</v>
      </c>
      <c r="AJ60" s="50">
        <f>IF(AN60=0,K60,0)</f>
      </c>
      <c r="AK60" s="50">
        <f>IF(AN60=12,K60,0)</f>
      </c>
      <c r="AL60" s="50">
        <f>IF(AN60=21,K60,0)</f>
      </c>
      <c r="AN60" s="50" t="n">
        <v>21</v>
      </c>
      <c r="AO60" s="50">
        <f>H60*0</f>
      </c>
      <c r="AP60" s="50">
        <f>H60*(1-0)</f>
      </c>
      <c r="AQ60" s="52" t="s">
        <v>57</v>
      </c>
      <c r="AV60" s="50">
        <f>ROUND(AW60+AX60,2)</f>
      </c>
      <c r="AW60" s="50">
        <f>ROUND(G60*AO60,2)</f>
      </c>
      <c r="AX60" s="50">
        <f>ROUND(G60*AP60,2)</f>
      </c>
      <c r="AY60" s="52" t="s">
        <v>208</v>
      </c>
      <c r="AZ60" s="52" t="s">
        <v>189</v>
      </c>
      <c r="BA60" s="28" t="s">
        <v>190</v>
      </c>
      <c r="BC60" s="50">
        <f>AW60+AX60</f>
      </c>
      <c r="BD60" s="50">
        <f>H60/(100-BE60)*100</f>
      </c>
      <c r="BE60" s="50" t="n">
        <v>0</v>
      </c>
      <c r="BF60" s="50">
        <f>60</f>
      </c>
      <c r="BH60" s="50">
        <f>G60*AO60</f>
      </c>
      <c r="BI60" s="50">
        <f>G60*AP60</f>
      </c>
      <c r="BJ60" s="50">
        <f>G60*H60</f>
      </c>
      <c r="BK60" s="52" t="s">
        <v>65</v>
      </c>
      <c r="BL60" s="50" t="n">
        <v>12</v>
      </c>
      <c r="BW60" s="50" t="n">
        <v>21</v>
      </c>
      <c r="BX60" s="14" t="s">
        <v>207</v>
      </c>
    </row>
    <row r="61">
      <c r="A61" s="45" t="s">
        <v>52</v>
      </c>
      <c r="B61" s="46" t="s">
        <v>182</v>
      </c>
      <c r="C61" s="46" t="s">
        <v>138</v>
      </c>
      <c r="D61" s="47" t="s">
        <v>209</v>
      </c>
      <c r="E61" s="46"/>
      <c r="F61" s="48" t="s">
        <v>8</v>
      </c>
      <c r="G61" s="48" t="s">
        <v>8</v>
      </c>
      <c r="H61" s="48" t="s">
        <v>8</v>
      </c>
      <c r="I61" s="2">
        <f>SUM(I62:I62)</f>
      </c>
      <c r="J61" s="2">
        <f>SUM(J62:J62)</f>
      </c>
      <c r="K61" s="2">
        <f>SUM(K62:K62)</f>
      </c>
      <c r="L61" s="49" t="s">
        <v>52</v>
      </c>
      <c r="AI61" s="28" t="s">
        <v>182</v>
      </c>
      <c r="AS61" s="2">
        <f>SUM(AJ62:AJ62)</f>
      </c>
      <c r="AT61" s="2">
        <f>SUM(AK62:AK62)</f>
      </c>
      <c r="AU61" s="2">
        <f>SUM(AL62:AL62)</f>
      </c>
    </row>
    <row r="62">
      <c r="A62" s="9" t="s">
        <v>210</v>
      </c>
      <c r="B62" s="10" t="s">
        <v>182</v>
      </c>
      <c r="C62" s="10" t="s">
        <v>211</v>
      </c>
      <c r="D62" s="14" t="s">
        <v>212</v>
      </c>
      <c r="E62" s="10"/>
      <c r="F62" s="10" t="s">
        <v>197</v>
      </c>
      <c r="G62" s="50" t="n">
        <v>1305</v>
      </c>
      <c r="H62" s="50" t="n">
        <v>0</v>
      </c>
      <c r="I62" s="50">
        <f>ROUND(G62*AO62,2)</f>
      </c>
      <c r="J62" s="50">
        <f>ROUND(G62*AP62,2)</f>
      </c>
      <c r="K62" s="50">
        <f>ROUND(G62*H62,2)</f>
      </c>
      <c r="L62" s="51" t="s">
        <v>61</v>
      </c>
      <c r="Z62" s="50">
        <f>ROUND(IF(AQ62="5",BJ62,0),2)</f>
      </c>
      <c r="AB62" s="50">
        <f>ROUND(IF(AQ62="1",BH62,0),2)</f>
      </c>
      <c r="AC62" s="50">
        <f>ROUND(IF(AQ62="1",BI62,0),2)</f>
      </c>
      <c r="AD62" s="50">
        <f>ROUND(IF(AQ62="7",BH62,0),2)</f>
      </c>
      <c r="AE62" s="50">
        <f>ROUND(IF(AQ62="7",BI62,0),2)</f>
      </c>
      <c r="AF62" s="50">
        <f>ROUND(IF(AQ62="2",BH62,0),2)</f>
      </c>
      <c r="AG62" s="50">
        <f>ROUND(IF(AQ62="2",BI62,0),2)</f>
      </c>
      <c r="AH62" s="50">
        <f>ROUND(IF(AQ62="0",BJ62,0),2)</f>
      </c>
      <c r="AI62" s="28" t="s">
        <v>182</v>
      </c>
      <c r="AJ62" s="50">
        <f>IF(AN62=0,K62,0)</f>
      </c>
      <c r="AK62" s="50">
        <f>IF(AN62=12,K62,0)</f>
      </c>
      <c r="AL62" s="50">
        <f>IF(AN62=21,K62,0)</f>
      </c>
      <c r="AN62" s="50" t="n">
        <v>21</v>
      </c>
      <c r="AO62" s="50">
        <f>H62*0</f>
      </c>
      <c r="AP62" s="50">
        <f>H62*(1-0)</f>
      </c>
      <c r="AQ62" s="52" t="s">
        <v>57</v>
      </c>
      <c r="AV62" s="50">
        <f>ROUND(AW62+AX62,2)</f>
      </c>
      <c r="AW62" s="50">
        <f>ROUND(G62*AO62,2)</f>
      </c>
      <c r="AX62" s="50">
        <f>ROUND(G62*AP62,2)</f>
      </c>
      <c r="AY62" s="52" t="s">
        <v>213</v>
      </c>
      <c r="AZ62" s="52" t="s">
        <v>189</v>
      </c>
      <c r="BA62" s="28" t="s">
        <v>190</v>
      </c>
      <c r="BC62" s="50">
        <f>AW62+AX62</f>
      </c>
      <c r="BD62" s="50">
        <f>H62/(100-BE62)*100</f>
      </c>
      <c r="BE62" s="50" t="n">
        <v>0</v>
      </c>
      <c r="BF62" s="50">
        <f>62</f>
      </c>
      <c r="BH62" s="50">
        <f>G62*AO62</f>
      </c>
      <c r="BI62" s="50">
        <f>G62*AP62</f>
      </c>
      <c r="BJ62" s="50">
        <f>G62*H62</f>
      </c>
      <c r="BK62" s="52" t="s">
        <v>65</v>
      </c>
      <c r="BL62" s="50" t="n">
        <v>18</v>
      </c>
      <c r="BW62" s="50" t="n">
        <v>21</v>
      </c>
      <c r="BX62" s="14" t="s">
        <v>212</v>
      </c>
    </row>
    <row r="63">
      <c r="A63" s="45" t="s">
        <v>52</v>
      </c>
      <c r="B63" s="46" t="s">
        <v>182</v>
      </c>
      <c r="C63" s="46" t="s">
        <v>147</v>
      </c>
      <c r="D63" s="47" t="s">
        <v>214</v>
      </c>
      <c r="E63" s="46"/>
      <c r="F63" s="48" t="s">
        <v>8</v>
      </c>
      <c r="G63" s="48" t="s">
        <v>8</v>
      </c>
      <c r="H63" s="48" t="s">
        <v>8</v>
      </c>
      <c r="I63" s="2">
        <f>SUM(I64:I64)</f>
      </c>
      <c r="J63" s="2">
        <f>SUM(J64:J64)</f>
      </c>
      <c r="K63" s="2">
        <f>SUM(K64:K64)</f>
      </c>
      <c r="L63" s="49" t="s">
        <v>52</v>
      </c>
      <c r="AI63" s="28" t="s">
        <v>182</v>
      </c>
      <c r="AS63" s="2">
        <f>SUM(AJ64:AJ64)</f>
      </c>
      <c r="AT63" s="2">
        <f>SUM(AK64:AK64)</f>
      </c>
      <c r="AU63" s="2">
        <f>SUM(AL64:AL64)</f>
      </c>
    </row>
    <row r="64">
      <c r="A64" s="9" t="s">
        <v>215</v>
      </c>
      <c r="B64" s="10" t="s">
        <v>182</v>
      </c>
      <c r="C64" s="10" t="s">
        <v>216</v>
      </c>
      <c r="D64" s="14" t="s">
        <v>217</v>
      </c>
      <c r="E64" s="10"/>
      <c r="F64" s="10" t="s">
        <v>101</v>
      </c>
      <c r="G64" s="50" t="n">
        <v>265</v>
      </c>
      <c r="H64" s="50" t="n">
        <v>0</v>
      </c>
      <c r="I64" s="50">
        <f>ROUND(G64*AO64,2)</f>
      </c>
      <c r="J64" s="50">
        <f>ROUND(G64*AP64,2)</f>
      </c>
      <c r="K64" s="50">
        <f>ROUND(G64*H64,2)</f>
      </c>
      <c r="L64" s="51" t="s">
        <v>61</v>
      </c>
      <c r="Z64" s="50">
        <f>ROUND(IF(AQ64="5",BJ64,0),2)</f>
      </c>
      <c r="AB64" s="50">
        <f>ROUND(IF(AQ64="1",BH64,0),2)</f>
      </c>
      <c r="AC64" s="50">
        <f>ROUND(IF(AQ64="1",BI64,0),2)</f>
      </c>
      <c r="AD64" s="50">
        <f>ROUND(IF(AQ64="7",BH64,0),2)</f>
      </c>
      <c r="AE64" s="50">
        <f>ROUND(IF(AQ64="7",BI64,0),2)</f>
      </c>
      <c r="AF64" s="50">
        <f>ROUND(IF(AQ64="2",BH64,0),2)</f>
      </c>
      <c r="AG64" s="50">
        <f>ROUND(IF(AQ64="2",BI64,0),2)</f>
      </c>
      <c r="AH64" s="50">
        <f>ROUND(IF(AQ64="0",BJ64,0),2)</f>
      </c>
      <c r="AI64" s="28" t="s">
        <v>182</v>
      </c>
      <c r="AJ64" s="50">
        <f>IF(AN64=0,K64,0)</f>
      </c>
      <c r="AK64" s="50">
        <f>IF(AN64=12,K64,0)</f>
      </c>
      <c r="AL64" s="50">
        <f>IF(AN64=21,K64,0)</f>
      </c>
      <c r="AN64" s="50" t="n">
        <v>21</v>
      </c>
      <c r="AO64" s="50">
        <f>H64*0.445958432</f>
      </c>
      <c r="AP64" s="50">
        <f>H64*(1-0.445958432)</f>
      </c>
      <c r="AQ64" s="52" t="s">
        <v>57</v>
      </c>
      <c r="AV64" s="50">
        <f>ROUND(AW64+AX64,2)</f>
      </c>
      <c r="AW64" s="50">
        <f>ROUND(G64*AO64,2)</f>
      </c>
      <c r="AX64" s="50">
        <f>ROUND(G64*AP64,2)</f>
      </c>
      <c r="AY64" s="52" t="s">
        <v>218</v>
      </c>
      <c r="AZ64" s="52" t="s">
        <v>219</v>
      </c>
      <c r="BA64" s="28" t="s">
        <v>190</v>
      </c>
      <c r="BC64" s="50">
        <f>AW64+AX64</f>
      </c>
      <c r="BD64" s="50">
        <f>H64/(100-BE64)*100</f>
      </c>
      <c r="BE64" s="50" t="n">
        <v>0</v>
      </c>
      <c r="BF64" s="50">
        <f>64</f>
      </c>
      <c r="BH64" s="50">
        <f>G64*AO64</f>
      </c>
      <c r="BI64" s="50">
        <f>G64*AP64</f>
      </c>
      <c r="BJ64" s="50">
        <f>G64*H64</f>
      </c>
      <c r="BK64" s="52" t="s">
        <v>65</v>
      </c>
      <c r="BL64" s="50" t="n">
        <v>21</v>
      </c>
      <c r="BW64" s="50" t="n">
        <v>21</v>
      </c>
      <c r="BX64" s="14" t="s">
        <v>217</v>
      </c>
    </row>
    <row r="65">
      <c r="A65" s="45" t="s">
        <v>52</v>
      </c>
      <c r="B65" s="46" t="s">
        <v>182</v>
      </c>
      <c r="C65" s="46" t="s">
        <v>220</v>
      </c>
      <c r="D65" s="47" t="s">
        <v>221</v>
      </c>
      <c r="E65" s="46"/>
      <c r="F65" s="48" t="s">
        <v>8</v>
      </c>
      <c r="G65" s="48" t="s">
        <v>8</v>
      </c>
      <c r="H65" s="48" t="s">
        <v>8</v>
      </c>
      <c r="I65" s="2">
        <f>SUM(I66:I67)</f>
      </c>
      <c r="J65" s="2">
        <f>SUM(J66:J67)</f>
      </c>
      <c r="K65" s="2">
        <f>SUM(K66:K67)</f>
      </c>
      <c r="L65" s="49" t="s">
        <v>52</v>
      </c>
      <c r="AI65" s="28" t="s">
        <v>182</v>
      </c>
      <c r="AS65" s="2">
        <f>SUM(AJ66:AJ67)</f>
      </c>
      <c r="AT65" s="2">
        <f>SUM(AK66:AK67)</f>
      </c>
      <c r="AU65" s="2">
        <f>SUM(AL66:AL67)</f>
      </c>
    </row>
    <row r="66">
      <c r="A66" s="9" t="s">
        <v>222</v>
      </c>
      <c r="B66" s="10" t="s">
        <v>182</v>
      </c>
      <c r="C66" s="10" t="s">
        <v>223</v>
      </c>
      <c r="D66" s="14" t="s">
        <v>224</v>
      </c>
      <c r="E66" s="10"/>
      <c r="F66" s="10" t="s">
        <v>197</v>
      </c>
      <c r="G66" s="50" t="n">
        <v>820</v>
      </c>
      <c r="H66" s="50" t="n">
        <v>0</v>
      </c>
      <c r="I66" s="50">
        <f>ROUND(G66*AO66,2)</f>
      </c>
      <c r="J66" s="50">
        <f>ROUND(G66*AP66,2)</f>
      </c>
      <c r="K66" s="50">
        <f>ROUND(G66*H66,2)</f>
      </c>
      <c r="L66" s="51" t="s">
        <v>61</v>
      </c>
      <c r="Z66" s="50">
        <f>ROUND(IF(AQ66="5",BJ66,0),2)</f>
      </c>
      <c r="AB66" s="50">
        <f>ROUND(IF(AQ66="1",BH66,0),2)</f>
      </c>
      <c r="AC66" s="50">
        <f>ROUND(IF(AQ66="1",BI66,0),2)</f>
      </c>
      <c r="AD66" s="50">
        <f>ROUND(IF(AQ66="7",BH66,0),2)</f>
      </c>
      <c r="AE66" s="50">
        <f>ROUND(IF(AQ66="7",BI66,0),2)</f>
      </c>
      <c r="AF66" s="50">
        <f>ROUND(IF(AQ66="2",BH66,0),2)</f>
      </c>
      <c r="AG66" s="50">
        <f>ROUND(IF(AQ66="2",BI66,0),2)</f>
      </c>
      <c r="AH66" s="50">
        <f>ROUND(IF(AQ66="0",BJ66,0),2)</f>
      </c>
      <c r="AI66" s="28" t="s">
        <v>182</v>
      </c>
      <c r="AJ66" s="50">
        <f>IF(AN66=0,K66,0)</f>
      </c>
      <c r="AK66" s="50">
        <f>IF(AN66=12,K66,0)</f>
      </c>
      <c r="AL66" s="50">
        <f>IF(AN66=21,K66,0)</f>
      </c>
      <c r="AN66" s="50" t="n">
        <v>21</v>
      </c>
      <c r="AO66" s="50">
        <f>H66*0.818686869</f>
      </c>
      <c r="AP66" s="50">
        <f>H66*(1-0.818686869)</f>
      </c>
      <c r="AQ66" s="52" t="s">
        <v>57</v>
      </c>
      <c r="AV66" s="50">
        <f>ROUND(AW66+AX66,2)</f>
      </c>
      <c r="AW66" s="50">
        <f>ROUND(G66*AO66,2)</f>
      </c>
      <c r="AX66" s="50">
        <f>ROUND(G66*AP66,2)</f>
      </c>
      <c r="AY66" s="52" t="s">
        <v>225</v>
      </c>
      <c r="AZ66" s="52" t="s">
        <v>226</v>
      </c>
      <c r="BA66" s="28" t="s">
        <v>190</v>
      </c>
      <c r="BC66" s="50">
        <f>AW66+AX66</f>
      </c>
      <c r="BD66" s="50">
        <f>H66/(100-BE66)*100</f>
      </c>
      <c r="BE66" s="50" t="n">
        <v>0</v>
      </c>
      <c r="BF66" s="50">
        <f>66</f>
      </c>
      <c r="BH66" s="50">
        <f>G66*AO66</f>
      </c>
      <c r="BI66" s="50">
        <f>G66*AP66</f>
      </c>
      <c r="BJ66" s="50">
        <f>G66*H66</f>
      </c>
      <c r="BK66" s="52" t="s">
        <v>65</v>
      </c>
      <c r="BL66" s="50" t="n">
        <v>56</v>
      </c>
      <c r="BW66" s="50" t="n">
        <v>21</v>
      </c>
      <c r="BX66" s="14" t="s">
        <v>224</v>
      </c>
    </row>
    <row r="67">
      <c r="A67" s="9" t="s">
        <v>227</v>
      </c>
      <c r="B67" s="10" t="s">
        <v>182</v>
      </c>
      <c r="C67" s="10" t="s">
        <v>223</v>
      </c>
      <c r="D67" s="14" t="s">
        <v>224</v>
      </c>
      <c r="E67" s="10"/>
      <c r="F67" s="10" t="s">
        <v>197</v>
      </c>
      <c r="G67" s="50" t="n">
        <v>820</v>
      </c>
      <c r="H67" s="50" t="n">
        <v>0</v>
      </c>
      <c r="I67" s="50">
        <f>ROUND(G67*AO67,2)</f>
      </c>
      <c r="J67" s="50">
        <f>ROUND(G67*AP67,2)</f>
      </c>
      <c r="K67" s="50">
        <f>ROUND(G67*H67,2)</f>
      </c>
      <c r="L67" s="51" t="s">
        <v>61</v>
      </c>
      <c r="Z67" s="50">
        <f>ROUND(IF(AQ67="5",BJ67,0),2)</f>
      </c>
      <c r="AB67" s="50">
        <f>ROUND(IF(AQ67="1",BH67,0),2)</f>
      </c>
      <c r="AC67" s="50">
        <f>ROUND(IF(AQ67="1",BI67,0),2)</f>
      </c>
      <c r="AD67" s="50">
        <f>ROUND(IF(AQ67="7",BH67,0),2)</f>
      </c>
      <c r="AE67" s="50">
        <f>ROUND(IF(AQ67="7",BI67,0),2)</f>
      </c>
      <c r="AF67" s="50">
        <f>ROUND(IF(AQ67="2",BH67,0),2)</f>
      </c>
      <c r="AG67" s="50">
        <f>ROUND(IF(AQ67="2",BI67,0),2)</f>
      </c>
      <c r="AH67" s="50">
        <f>ROUND(IF(AQ67="0",BJ67,0),2)</f>
      </c>
      <c r="AI67" s="28" t="s">
        <v>182</v>
      </c>
      <c r="AJ67" s="50">
        <f>IF(AN67=0,K67,0)</f>
      </c>
      <c r="AK67" s="50">
        <f>IF(AN67=12,K67,0)</f>
      </c>
      <c r="AL67" s="50">
        <f>IF(AN67=21,K67,0)</f>
      </c>
      <c r="AN67" s="50" t="n">
        <v>21</v>
      </c>
      <c r="AO67" s="50">
        <f>H67*0.818686869</f>
      </c>
      <c r="AP67" s="50">
        <f>H67*(1-0.818686869)</f>
      </c>
      <c r="AQ67" s="52" t="s">
        <v>57</v>
      </c>
      <c r="AV67" s="50">
        <f>ROUND(AW67+AX67,2)</f>
      </c>
      <c r="AW67" s="50">
        <f>ROUND(G67*AO67,2)</f>
      </c>
      <c r="AX67" s="50">
        <f>ROUND(G67*AP67,2)</f>
      </c>
      <c r="AY67" s="52" t="s">
        <v>225</v>
      </c>
      <c r="AZ67" s="52" t="s">
        <v>226</v>
      </c>
      <c r="BA67" s="28" t="s">
        <v>190</v>
      </c>
      <c r="BC67" s="50">
        <f>AW67+AX67</f>
      </c>
      <c r="BD67" s="50">
        <f>H67/(100-BE67)*100</f>
      </c>
      <c r="BE67" s="50" t="n">
        <v>0</v>
      </c>
      <c r="BF67" s="50">
        <f>67</f>
      </c>
      <c r="BH67" s="50">
        <f>G67*AO67</f>
      </c>
      <c r="BI67" s="50">
        <f>G67*AP67</f>
      </c>
      <c r="BJ67" s="50">
        <f>G67*H67</f>
      </c>
      <c r="BK67" s="52" t="s">
        <v>65</v>
      </c>
      <c r="BL67" s="50" t="n">
        <v>56</v>
      </c>
      <c r="BW67" s="50" t="n">
        <v>21</v>
      </c>
      <c r="BX67" s="14" t="s">
        <v>224</v>
      </c>
    </row>
    <row r="68">
      <c r="A68" s="45" t="s">
        <v>52</v>
      </c>
      <c r="B68" s="46" t="s">
        <v>182</v>
      </c>
      <c r="C68" s="46" t="s">
        <v>228</v>
      </c>
      <c r="D68" s="47" t="s">
        <v>229</v>
      </c>
      <c r="E68" s="46"/>
      <c r="F68" s="48" t="s">
        <v>8</v>
      </c>
      <c r="G68" s="48" t="s">
        <v>8</v>
      </c>
      <c r="H68" s="48" t="s">
        <v>8</v>
      </c>
      <c r="I68" s="2">
        <f>SUM(I69:I72)</f>
      </c>
      <c r="J68" s="2">
        <f>SUM(J69:J72)</f>
      </c>
      <c r="K68" s="2">
        <f>SUM(K69:K72)</f>
      </c>
      <c r="L68" s="49" t="s">
        <v>52</v>
      </c>
      <c r="AI68" s="28" t="s">
        <v>182</v>
      </c>
      <c r="AS68" s="2">
        <f>SUM(AJ69:AJ72)</f>
      </c>
      <c r="AT68" s="2">
        <f>SUM(AK69:AK72)</f>
      </c>
      <c r="AU68" s="2">
        <f>SUM(AL69:AL72)</f>
      </c>
    </row>
    <row r="69">
      <c r="A69" s="9" t="s">
        <v>230</v>
      </c>
      <c r="B69" s="10" t="s">
        <v>182</v>
      </c>
      <c r="C69" s="10" t="s">
        <v>231</v>
      </c>
      <c r="D69" s="14" t="s">
        <v>232</v>
      </c>
      <c r="E69" s="10"/>
      <c r="F69" s="10" t="s">
        <v>197</v>
      </c>
      <c r="G69" s="50" t="n">
        <v>680</v>
      </c>
      <c r="H69" s="50" t="n">
        <v>0</v>
      </c>
      <c r="I69" s="50">
        <f>ROUND(G69*AO69,2)</f>
      </c>
      <c r="J69" s="50">
        <f>ROUND(G69*AP69,2)</f>
      </c>
      <c r="K69" s="50">
        <f>ROUND(G69*H69,2)</f>
      </c>
      <c r="L69" s="51" t="s">
        <v>61</v>
      </c>
      <c r="Z69" s="50">
        <f>ROUND(IF(AQ69="5",BJ69,0),2)</f>
      </c>
      <c r="AB69" s="50">
        <f>ROUND(IF(AQ69="1",BH69,0),2)</f>
      </c>
      <c r="AC69" s="50">
        <f>ROUND(IF(AQ69="1",BI69,0),2)</f>
      </c>
      <c r="AD69" s="50">
        <f>ROUND(IF(AQ69="7",BH69,0),2)</f>
      </c>
      <c r="AE69" s="50">
        <f>ROUND(IF(AQ69="7",BI69,0),2)</f>
      </c>
      <c r="AF69" s="50">
        <f>ROUND(IF(AQ69="2",BH69,0),2)</f>
      </c>
      <c r="AG69" s="50">
        <f>ROUND(IF(AQ69="2",BI69,0),2)</f>
      </c>
      <c r="AH69" s="50">
        <f>ROUND(IF(AQ69="0",BJ69,0),2)</f>
      </c>
      <c r="AI69" s="28" t="s">
        <v>182</v>
      </c>
      <c r="AJ69" s="50">
        <f>IF(AN69=0,K69,0)</f>
      </c>
      <c r="AK69" s="50">
        <f>IF(AN69=12,K69,0)</f>
      </c>
      <c r="AL69" s="50">
        <f>IF(AN69=21,K69,0)</f>
      </c>
      <c r="AN69" s="50" t="n">
        <v>21</v>
      </c>
      <c r="AO69" s="50">
        <f>H69*0.635192744</f>
      </c>
      <c r="AP69" s="50">
        <f>H69*(1-0.635192744)</f>
      </c>
      <c r="AQ69" s="52" t="s">
        <v>57</v>
      </c>
      <c r="AV69" s="50">
        <f>ROUND(AW69+AX69,2)</f>
      </c>
      <c r="AW69" s="50">
        <f>ROUND(G69*AO69,2)</f>
      </c>
      <c r="AX69" s="50">
        <f>ROUND(G69*AP69,2)</f>
      </c>
      <c r="AY69" s="52" t="s">
        <v>233</v>
      </c>
      <c r="AZ69" s="52" t="s">
        <v>226</v>
      </c>
      <c r="BA69" s="28" t="s">
        <v>190</v>
      </c>
      <c r="BC69" s="50">
        <f>AW69+AX69</f>
      </c>
      <c r="BD69" s="50">
        <f>H69/(100-BE69)*100</f>
      </c>
      <c r="BE69" s="50" t="n">
        <v>0</v>
      </c>
      <c r="BF69" s="50">
        <f>69</f>
      </c>
      <c r="BH69" s="50">
        <f>G69*AO69</f>
      </c>
      <c r="BI69" s="50">
        <f>G69*AP69</f>
      </c>
      <c r="BJ69" s="50">
        <f>G69*H69</f>
      </c>
      <c r="BK69" s="52" t="s">
        <v>65</v>
      </c>
      <c r="BL69" s="50" t="n">
        <v>57</v>
      </c>
      <c r="BW69" s="50" t="n">
        <v>21</v>
      </c>
      <c r="BX69" s="14" t="s">
        <v>232</v>
      </c>
    </row>
    <row r="70">
      <c r="A70" s="9" t="s">
        <v>234</v>
      </c>
      <c r="B70" s="10" t="s">
        <v>182</v>
      </c>
      <c r="C70" s="10" t="s">
        <v>235</v>
      </c>
      <c r="D70" s="14" t="s">
        <v>236</v>
      </c>
      <c r="E70" s="10"/>
      <c r="F70" s="10" t="s">
        <v>197</v>
      </c>
      <c r="G70" s="50" t="n">
        <v>680</v>
      </c>
      <c r="H70" s="50" t="n">
        <v>0</v>
      </c>
      <c r="I70" s="50">
        <f>ROUND(G70*AO70,2)</f>
      </c>
      <c r="J70" s="50">
        <f>ROUND(G70*AP70,2)</f>
      </c>
      <c r="K70" s="50">
        <f>ROUND(G70*H70,2)</f>
      </c>
      <c r="L70" s="51" t="s">
        <v>61</v>
      </c>
      <c r="Z70" s="50">
        <f>ROUND(IF(AQ70="5",BJ70,0),2)</f>
      </c>
      <c r="AB70" s="50">
        <f>ROUND(IF(AQ70="1",BH70,0),2)</f>
      </c>
      <c r="AC70" s="50">
        <f>ROUND(IF(AQ70="1",BI70,0),2)</f>
      </c>
      <c r="AD70" s="50">
        <f>ROUND(IF(AQ70="7",BH70,0),2)</f>
      </c>
      <c r="AE70" s="50">
        <f>ROUND(IF(AQ70="7",BI70,0),2)</f>
      </c>
      <c r="AF70" s="50">
        <f>ROUND(IF(AQ70="2",BH70,0),2)</f>
      </c>
      <c r="AG70" s="50">
        <f>ROUND(IF(AQ70="2",BI70,0),2)</f>
      </c>
      <c r="AH70" s="50">
        <f>ROUND(IF(AQ70="0",BJ70,0),2)</f>
      </c>
      <c r="AI70" s="28" t="s">
        <v>182</v>
      </c>
      <c r="AJ70" s="50">
        <f>IF(AN70=0,K70,0)</f>
      </c>
      <c r="AK70" s="50">
        <f>IF(AN70=12,K70,0)</f>
      </c>
      <c r="AL70" s="50">
        <f>IF(AN70=21,K70,0)</f>
      </c>
      <c r="AN70" s="50" t="n">
        <v>21</v>
      </c>
      <c r="AO70" s="50">
        <f>H70*0.688265896</f>
      </c>
      <c r="AP70" s="50">
        <f>H70*(1-0.688265896)</f>
      </c>
      <c r="AQ70" s="52" t="s">
        <v>57</v>
      </c>
      <c r="AV70" s="50">
        <f>ROUND(AW70+AX70,2)</f>
      </c>
      <c r="AW70" s="50">
        <f>ROUND(G70*AO70,2)</f>
      </c>
      <c r="AX70" s="50">
        <f>ROUND(G70*AP70,2)</f>
      </c>
      <c r="AY70" s="52" t="s">
        <v>233</v>
      </c>
      <c r="AZ70" s="52" t="s">
        <v>226</v>
      </c>
      <c r="BA70" s="28" t="s">
        <v>190</v>
      </c>
      <c r="BC70" s="50">
        <f>AW70+AX70</f>
      </c>
      <c r="BD70" s="50">
        <f>H70/(100-BE70)*100</f>
      </c>
      <c r="BE70" s="50" t="n">
        <v>0</v>
      </c>
      <c r="BF70" s="50">
        <f>70</f>
      </c>
      <c r="BH70" s="50">
        <f>G70*AO70</f>
      </c>
      <c r="BI70" s="50">
        <f>G70*AP70</f>
      </c>
      <c r="BJ70" s="50">
        <f>G70*H70</f>
      </c>
      <c r="BK70" s="52" t="s">
        <v>65</v>
      </c>
      <c r="BL70" s="50" t="n">
        <v>57</v>
      </c>
      <c r="BW70" s="50" t="n">
        <v>21</v>
      </c>
      <c r="BX70" s="14" t="s">
        <v>236</v>
      </c>
    </row>
    <row r="71">
      <c r="A71" s="9" t="s">
        <v>237</v>
      </c>
      <c r="B71" s="10" t="s">
        <v>182</v>
      </c>
      <c r="C71" s="10" t="s">
        <v>238</v>
      </c>
      <c r="D71" s="14" t="s">
        <v>239</v>
      </c>
      <c r="E71" s="10"/>
      <c r="F71" s="10" t="s">
        <v>197</v>
      </c>
      <c r="G71" s="50" t="n">
        <v>680</v>
      </c>
      <c r="H71" s="50" t="n">
        <v>0</v>
      </c>
      <c r="I71" s="50">
        <f>ROUND(G71*AO71,2)</f>
      </c>
      <c r="J71" s="50">
        <f>ROUND(G71*AP71,2)</f>
      </c>
      <c r="K71" s="50">
        <f>ROUND(G71*H71,2)</f>
      </c>
      <c r="L71" s="51" t="s">
        <v>61</v>
      </c>
      <c r="Z71" s="50">
        <f>ROUND(IF(AQ71="5",BJ71,0),2)</f>
      </c>
      <c r="AB71" s="50">
        <f>ROUND(IF(AQ71="1",BH71,0),2)</f>
      </c>
      <c r="AC71" s="50">
        <f>ROUND(IF(AQ71="1",BI71,0),2)</f>
      </c>
      <c r="AD71" s="50">
        <f>ROUND(IF(AQ71="7",BH71,0),2)</f>
      </c>
      <c r="AE71" s="50">
        <f>ROUND(IF(AQ71="7",BI71,0),2)</f>
      </c>
      <c r="AF71" s="50">
        <f>ROUND(IF(AQ71="2",BH71,0),2)</f>
      </c>
      <c r="AG71" s="50">
        <f>ROUND(IF(AQ71="2",BI71,0),2)</f>
      </c>
      <c r="AH71" s="50">
        <f>ROUND(IF(AQ71="0",BJ71,0),2)</f>
      </c>
      <c r="AI71" s="28" t="s">
        <v>182</v>
      </c>
      <c r="AJ71" s="50">
        <f>IF(AN71=0,K71,0)</f>
      </c>
      <c r="AK71" s="50">
        <f>IF(AN71=12,K71,0)</f>
      </c>
      <c r="AL71" s="50">
        <f>IF(AN71=21,K71,0)</f>
      </c>
      <c r="AN71" s="50" t="n">
        <v>21</v>
      </c>
      <c r="AO71" s="50">
        <f>H71*0.907001603</f>
      </c>
      <c r="AP71" s="50">
        <f>H71*(1-0.907001603)</f>
      </c>
      <c r="AQ71" s="52" t="s">
        <v>57</v>
      </c>
      <c r="AV71" s="50">
        <f>ROUND(AW71+AX71,2)</f>
      </c>
      <c r="AW71" s="50">
        <f>ROUND(G71*AO71,2)</f>
      </c>
      <c r="AX71" s="50">
        <f>ROUND(G71*AP71,2)</f>
      </c>
      <c r="AY71" s="52" t="s">
        <v>233</v>
      </c>
      <c r="AZ71" s="52" t="s">
        <v>226</v>
      </c>
      <c r="BA71" s="28" t="s">
        <v>190</v>
      </c>
      <c r="BC71" s="50">
        <f>AW71+AX71</f>
      </c>
      <c r="BD71" s="50">
        <f>H71/(100-BE71)*100</f>
      </c>
      <c r="BE71" s="50" t="n">
        <v>0</v>
      </c>
      <c r="BF71" s="50">
        <f>71</f>
      </c>
      <c r="BH71" s="50">
        <f>G71*AO71</f>
      </c>
      <c r="BI71" s="50">
        <f>G71*AP71</f>
      </c>
      <c r="BJ71" s="50">
        <f>G71*H71</f>
      </c>
      <c r="BK71" s="52" t="s">
        <v>65</v>
      </c>
      <c r="BL71" s="50" t="n">
        <v>57</v>
      </c>
      <c r="BW71" s="50" t="n">
        <v>21</v>
      </c>
      <c r="BX71" s="14" t="s">
        <v>239</v>
      </c>
    </row>
    <row r="72">
      <c r="A72" s="9" t="s">
        <v>240</v>
      </c>
      <c r="B72" s="10" t="s">
        <v>182</v>
      </c>
      <c r="C72" s="10" t="s">
        <v>241</v>
      </c>
      <c r="D72" s="14" t="s">
        <v>242</v>
      </c>
      <c r="E72" s="10"/>
      <c r="F72" s="10" t="s">
        <v>197</v>
      </c>
      <c r="G72" s="50" t="n">
        <v>680</v>
      </c>
      <c r="H72" s="50" t="n">
        <v>0</v>
      </c>
      <c r="I72" s="50">
        <f>ROUND(G72*AO72,2)</f>
      </c>
      <c r="J72" s="50">
        <f>ROUND(G72*AP72,2)</f>
      </c>
      <c r="K72" s="50">
        <f>ROUND(G72*H72,2)</f>
      </c>
      <c r="L72" s="51" t="s">
        <v>61</v>
      </c>
      <c r="Z72" s="50">
        <f>ROUND(IF(AQ72="5",BJ72,0),2)</f>
      </c>
      <c r="AB72" s="50">
        <f>ROUND(IF(AQ72="1",BH72,0),2)</f>
      </c>
      <c r="AC72" s="50">
        <f>ROUND(IF(AQ72="1",BI72,0),2)</f>
      </c>
      <c r="AD72" s="50">
        <f>ROUND(IF(AQ72="7",BH72,0),2)</f>
      </c>
      <c r="AE72" s="50">
        <f>ROUND(IF(AQ72="7",BI72,0),2)</f>
      </c>
      <c r="AF72" s="50">
        <f>ROUND(IF(AQ72="2",BH72,0),2)</f>
      </c>
      <c r="AG72" s="50">
        <f>ROUND(IF(AQ72="2",BI72,0),2)</f>
      </c>
      <c r="AH72" s="50">
        <f>ROUND(IF(AQ72="0",BJ72,0),2)</f>
      </c>
      <c r="AI72" s="28" t="s">
        <v>182</v>
      </c>
      <c r="AJ72" s="50">
        <f>IF(AN72=0,K72,0)</f>
      </c>
      <c r="AK72" s="50">
        <f>IF(AN72=12,K72,0)</f>
      </c>
      <c r="AL72" s="50">
        <f>IF(AN72=21,K72,0)</f>
      </c>
      <c r="AN72" s="50" t="n">
        <v>21</v>
      </c>
      <c r="AO72" s="50">
        <f>H72*0.964504465</f>
      </c>
      <c r="AP72" s="50">
        <f>H72*(1-0.964504465)</f>
      </c>
      <c r="AQ72" s="52" t="s">
        <v>57</v>
      </c>
      <c r="AV72" s="50">
        <f>ROUND(AW72+AX72,2)</f>
      </c>
      <c r="AW72" s="50">
        <f>ROUND(G72*AO72,2)</f>
      </c>
      <c r="AX72" s="50">
        <f>ROUND(G72*AP72,2)</f>
      </c>
      <c r="AY72" s="52" t="s">
        <v>233</v>
      </c>
      <c r="AZ72" s="52" t="s">
        <v>226</v>
      </c>
      <c r="BA72" s="28" t="s">
        <v>190</v>
      </c>
      <c r="BC72" s="50">
        <f>AW72+AX72</f>
      </c>
      <c r="BD72" s="50">
        <f>H72/(100-BE72)*100</f>
      </c>
      <c r="BE72" s="50" t="n">
        <v>0</v>
      </c>
      <c r="BF72" s="50">
        <f>72</f>
      </c>
      <c r="BH72" s="50">
        <f>G72*AO72</f>
      </c>
      <c r="BI72" s="50">
        <f>G72*AP72</f>
      </c>
      <c r="BJ72" s="50">
        <f>G72*H72</f>
      </c>
      <c r="BK72" s="52" t="s">
        <v>65</v>
      </c>
      <c r="BL72" s="50" t="n">
        <v>57</v>
      </c>
      <c r="BW72" s="50" t="n">
        <v>21</v>
      </c>
      <c r="BX72" s="14" t="s">
        <v>242</v>
      </c>
    </row>
    <row r="73">
      <c r="A73" s="45" t="s">
        <v>52</v>
      </c>
      <c r="B73" s="46" t="s">
        <v>182</v>
      </c>
      <c r="C73" s="46" t="s">
        <v>243</v>
      </c>
      <c r="D73" s="47" t="s">
        <v>244</v>
      </c>
      <c r="E73" s="46"/>
      <c r="F73" s="48" t="s">
        <v>8</v>
      </c>
      <c r="G73" s="48" t="s">
        <v>8</v>
      </c>
      <c r="H73" s="48" t="s">
        <v>8</v>
      </c>
      <c r="I73" s="2">
        <f>SUM(I74:I77)</f>
      </c>
      <c r="J73" s="2">
        <f>SUM(J74:J77)</f>
      </c>
      <c r="K73" s="2">
        <f>SUM(K74:K77)</f>
      </c>
      <c r="L73" s="49" t="s">
        <v>52</v>
      </c>
      <c r="AI73" s="28" t="s">
        <v>182</v>
      </c>
      <c r="AS73" s="2">
        <f>SUM(AJ74:AJ77)</f>
      </c>
      <c r="AT73" s="2">
        <f>SUM(AK74:AK77)</f>
      </c>
      <c r="AU73" s="2">
        <f>SUM(AL74:AL77)</f>
      </c>
    </row>
    <row r="74">
      <c r="A74" s="9" t="s">
        <v>245</v>
      </c>
      <c r="B74" s="10" t="s">
        <v>182</v>
      </c>
      <c r="C74" s="10" t="s">
        <v>246</v>
      </c>
      <c r="D74" s="14" t="s">
        <v>247</v>
      </c>
      <c r="E74" s="10"/>
      <c r="F74" s="10" t="s">
        <v>197</v>
      </c>
      <c r="G74" s="50" t="n">
        <v>542</v>
      </c>
      <c r="H74" s="50" t="n">
        <v>0</v>
      </c>
      <c r="I74" s="50">
        <f>ROUND(G74*AO74,2)</f>
      </c>
      <c r="J74" s="50">
        <f>ROUND(G74*AP74,2)</f>
      </c>
      <c r="K74" s="50">
        <f>ROUND(G74*H74,2)</f>
      </c>
      <c r="L74" s="51" t="s">
        <v>61</v>
      </c>
      <c r="Z74" s="50">
        <f>ROUND(IF(AQ74="5",BJ74,0),2)</f>
      </c>
      <c r="AB74" s="50">
        <f>ROUND(IF(AQ74="1",BH74,0),2)</f>
      </c>
      <c r="AC74" s="50">
        <f>ROUND(IF(AQ74="1",BI74,0),2)</f>
      </c>
      <c r="AD74" s="50">
        <f>ROUND(IF(AQ74="7",BH74,0),2)</f>
      </c>
      <c r="AE74" s="50">
        <f>ROUND(IF(AQ74="7",BI74,0),2)</f>
      </c>
      <c r="AF74" s="50">
        <f>ROUND(IF(AQ74="2",BH74,0),2)</f>
      </c>
      <c r="AG74" s="50">
        <f>ROUND(IF(AQ74="2",BI74,0),2)</f>
      </c>
      <c r="AH74" s="50">
        <f>ROUND(IF(AQ74="0",BJ74,0),2)</f>
      </c>
      <c r="AI74" s="28" t="s">
        <v>182</v>
      </c>
      <c r="AJ74" s="50">
        <f>IF(AN74=0,K74,0)</f>
      </c>
      <c r="AK74" s="50">
        <f>IF(AN74=12,K74,0)</f>
      </c>
      <c r="AL74" s="50">
        <f>IF(AN74=21,K74,0)</f>
      </c>
      <c r="AN74" s="50" t="n">
        <v>21</v>
      </c>
      <c r="AO74" s="50">
        <f>H74*0.47352943</f>
      </c>
      <c r="AP74" s="50">
        <f>H74*(1-0.47352943)</f>
      </c>
      <c r="AQ74" s="52" t="s">
        <v>57</v>
      </c>
      <c r="AV74" s="50">
        <f>ROUND(AW74+AX74,2)</f>
      </c>
      <c r="AW74" s="50">
        <f>ROUND(G74*AO74,2)</f>
      </c>
      <c r="AX74" s="50">
        <f>ROUND(G74*AP74,2)</f>
      </c>
      <c r="AY74" s="52" t="s">
        <v>248</v>
      </c>
      <c r="AZ74" s="52" t="s">
        <v>226</v>
      </c>
      <c r="BA74" s="28" t="s">
        <v>190</v>
      </c>
      <c r="BC74" s="50">
        <f>AW74+AX74</f>
      </c>
      <c r="BD74" s="50">
        <f>H74/(100-BE74)*100</f>
      </c>
      <c r="BE74" s="50" t="n">
        <v>0</v>
      </c>
      <c r="BF74" s="50">
        <f>74</f>
      </c>
      <c r="BH74" s="50">
        <f>G74*AO74</f>
      </c>
      <c r="BI74" s="50">
        <f>G74*AP74</f>
      </c>
      <c r="BJ74" s="50">
        <f>G74*H74</f>
      </c>
      <c r="BK74" s="52" t="s">
        <v>65</v>
      </c>
      <c r="BL74" s="50" t="n">
        <v>59</v>
      </c>
      <c r="BW74" s="50" t="n">
        <v>21</v>
      </c>
      <c r="BX74" s="14" t="s">
        <v>247</v>
      </c>
    </row>
    <row r="75">
      <c r="A75" s="9" t="s">
        <v>249</v>
      </c>
      <c r="B75" s="10" t="s">
        <v>182</v>
      </c>
      <c r="C75" s="10" t="s">
        <v>250</v>
      </c>
      <c r="D75" s="14" t="s">
        <v>251</v>
      </c>
      <c r="E75" s="10"/>
      <c r="F75" s="10" t="s">
        <v>197</v>
      </c>
      <c r="G75" s="50" t="n">
        <v>585</v>
      </c>
      <c r="H75" s="50" t="n">
        <v>0</v>
      </c>
      <c r="I75" s="50">
        <f>ROUND(G75*AO75,2)</f>
      </c>
      <c r="J75" s="50">
        <f>ROUND(G75*AP75,2)</f>
      </c>
      <c r="K75" s="50">
        <f>ROUND(G75*H75,2)</f>
      </c>
      <c r="L75" s="51" t="s">
        <v>61</v>
      </c>
      <c r="Z75" s="50">
        <f>ROUND(IF(AQ75="5",BJ75,0),2)</f>
      </c>
      <c r="AB75" s="50">
        <f>ROUND(IF(AQ75="1",BH75,0),2)</f>
      </c>
      <c r="AC75" s="50">
        <f>ROUND(IF(AQ75="1",BI75,0),2)</f>
      </c>
      <c r="AD75" s="50">
        <f>ROUND(IF(AQ75="7",BH75,0),2)</f>
      </c>
      <c r="AE75" s="50">
        <f>ROUND(IF(AQ75="7",BI75,0),2)</f>
      </c>
      <c r="AF75" s="50">
        <f>ROUND(IF(AQ75="2",BH75,0),2)</f>
      </c>
      <c r="AG75" s="50">
        <f>ROUND(IF(AQ75="2",BI75,0),2)</f>
      </c>
      <c r="AH75" s="50">
        <f>ROUND(IF(AQ75="0",BJ75,0),2)</f>
      </c>
      <c r="AI75" s="28" t="s">
        <v>182</v>
      </c>
      <c r="AJ75" s="50">
        <f>IF(AN75=0,K75,0)</f>
      </c>
      <c r="AK75" s="50">
        <f>IF(AN75=12,K75,0)</f>
      </c>
      <c r="AL75" s="50">
        <f>IF(AN75=21,K75,0)</f>
      </c>
      <c r="AN75" s="50" t="n">
        <v>21</v>
      </c>
      <c r="AO75" s="50">
        <f>H75*0.467231726</f>
      </c>
      <c r="AP75" s="50">
        <f>H75*(1-0.467231726)</f>
      </c>
      <c r="AQ75" s="52" t="s">
        <v>57</v>
      </c>
      <c r="AV75" s="50">
        <f>ROUND(AW75+AX75,2)</f>
      </c>
      <c r="AW75" s="50">
        <f>ROUND(G75*AO75,2)</f>
      </c>
      <c r="AX75" s="50">
        <f>ROUND(G75*AP75,2)</f>
      </c>
      <c r="AY75" s="52" t="s">
        <v>248</v>
      </c>
      <c r="AZ75" s="52" t="s">
        <v>226</v>
      </c>
      <c r="BA75" s="28" t="s">
        <v>190</v>
      </c>
      <c r="BC75" s="50">
        <f>AW75+AX75</f>
      </c>
      <c r="BD75" s="50">
        <f>H75/(100-BE75)*100</f>
      </c>
      <c r="BE75" s="50" t="n">
        <v>0</v>
      </c>
      <c r="BF75" s="50">
        <f>75</f>
      </c>
      <c r="BH75" s="50">
        <f>G75*AO75</f>
      </c>
      <c r="BI75" s="50">
        <f>G75*AP75</f>
      </c>
      <c r="BJ75" s="50">
        <f>G75*H75</f>
      </c>
      <c r="BK75" s="52" t="s">
        <v>65</v>
      </c>
      <c r="BL75" s="50" t="n">
        <v>59</v>
      </c>
      <c r="BW75" s="50" t="n">
        <v>21</v>
      </c>
      <c r="BX75" s="14" t="s">
        <v>251</v>
      </c>
    </row>
    <row r="76">
      <c r="A76" s="9" t="s">
        <v>252</v>
      </c>
      <c r="B76" s="10" t="s">
        <v>182</v>
      </c>
      <c r="C76" s="10" t="s">
        <v>253</v>
      </c>
      <c r="D76" s="14" t="s">
        <v>254</v>
      </c>
      <c r="E76" s="10"/>
      <c r="F76" s="10" t="s">
        <v>197</v>
      </c>
      <c r="G76" s="50" t="n">
        <v>115</v>
      </c>
      <c r="H76" s="50" t="n">
        <v>0</v>
      </c>
      <c r="I76" s="50">
        <f>ROUND(G76*AO76,2)</f>
      </c>
      <c r="J76" s="50">
        <f>ROUND(G76*AP76,2)</f>
      </c>
      <c r="K76" s="50">
        <f>ROUND(G76*H76,2)</f>
      </c>
      <c r="L76" s="51" t="s">
        <v>61</v>
      </c>
      <c r="Z76" s="50">
        <f>ROUND(IF(AQ76="5",BJ76,0),2)</f>
      </c>
      <c r="AB76" s="50">
        <f>ROUND(IF(AQ76="1",BH76,0),2)</f>
      </c>
      <c r="AC76" s="50">
        <f>ROUND(IF(AQ76="1",BI76,0),2)</f>
      </c>
      <c r="AD76" s="50">
        <f>ROUND(IF(AQ76="7",BH76,0),2)</f>
      </c>
      <c r="AE76" s="50">
        <f>ROUND(IF(AQ76="7",BI76,0),2)</f>
      </c>
      <c r="AF76" s="50">
        <f>ROUND(IF(AQ76="2",BH76,0),2)</f>
      </c>
      <c r="AG76" s="50">
        <f>ROUND(IF(AQ76="2",BI76,0),2)</f>
      </c>
      <c r="AH76" s="50">
        <f>ROUND(IF(AQ76="0",BJ76,0),2)</f>
      </c>
      <c r="AI76" s="28" t="s">
        <v>182</v>
      </c>
      <c r="AJ76" s="50">
        <f>IF(AN76=0,K76,0)</f>
      </c>
      <c r="AK76" s="50">
        <f>IF(AN76=12,K76,0)</f>
      </c>
      <c r="AL76" s="50">
        <f>IF(AN76=21,K76,0)</f>
      </c>
      <c r="AN76" s="50" t="n">
        <v>21</v>
      </c>
      <c r="AO76" s="50">
        <f>H76*0.604372456</f>
      </c>
      <c r="AP76" s="50">
        <f>H76*(1-0.604372456)</f>
      </c>
      <c r="AQ76" s="52" t="s">
        <v>57</v>
      </c>
      <c r="AV76" s="50">
        <f>ROUND(AW76+AX76,2)</f>
      </c>
      <c r="AW76" s="50">
        <f>ROUND(G76*AO76,2)</f>
      </c>
      <c r="AX76" s="50">
        <f>ROUND(G76*AP76,2)</f>
      </c>
      <c r="AY76" s="52" t="s">
        <v>248</v>
      </c>
      <c r="AZ76" s="52" t="s">
        <v>226</v>
      </c>
      <c r="BA76" s="28" t="s">
        <v>190</v>
      </c>
      <c r="BC76" s="50">
        <f>AW76+AX76</f>
      </c>
      <c r="BD76" s="50">
        <f>H76/(100-BE76)*100</f>
      </c>
      <c r="BE76" s="50" t="n">
        <v>0</v>
      </c>
      <c r="BF76" s="50">
        <f>76</f>
      </c>
      <c r="BH76" s="50">
        <f>G76*AO76</f>
      </c>
      <c r="BI76" s="50">
        <f>G76*AP76</f>
      </c>
      <c r="BJ76" s="50">
        <f>G76*H76</f>
      </c>
      <c r="BK76" s="52" t="s">
        <v>65</v>
      </c>
      <c r="BL76" s="50" t="n">
        <v>59</v>
      </c>
      <c r="BW76" s="50" t="n">
        <v>21</v>
      </c>
      <c r="BX76" s="14" t="s">
        <v>254</v>
      </c>
    </row>
    <row r="77">
      <c r="A77" s="9" t="s">
        <v>255</v>
      </c>
      <c r="B77" s="10" t="s">
        <v>182</v>
      </c>
      <c r="C77" s="10" t="s">
        <v>256</v>
      </c>
      <c r="D77" s="14" t="s">
        <v>257</v>
      </c>
      <c r="E77" s="10"/>
      <c r="F77" s="10" t="s">
        <v>197</v>
      </c>
      <c r="G77" s="50" t="n">
        <v>115</v>
      </c>
      <c r="H77" s="50" t="n">
        <v>0</v>
      </c>
      <c r="I77" s="50">
        <f>ROUND(G77*AO77,2)</f>
      </c>
      <c r="J77" s="50">
        <f>ROUND(G77*AP77,2)</f>
      </c>
      <c r="K77" s="50">
        <f>ROUND(G77*H77,2)</f>
      </c>
      <c r="L77" s="51" t="s">
        <v>61</v>
      </c>
      <c r="Z77" s="50">
        <f>ROUND(IF(AQ77="5",BJ77,0),2)</f>
      </c>
      <c r="AB77" s="50">
        <f>ROUND(IF(AQ77="1",BH77,0),2)</f>
      </c>
      <c r="AC77" s="50">
        <f>ROUND(IF(AQ77="1",BI77,0),2)</f>
      </c>
      <c r="AD77" s="50">
        <f>ROUND(IF(AQ77="7",BH77,0),2)</f>
      </c>
      <c r="AE77" s="50">
        <f>ROUND(IF(AQ77="7",BI77,0),2)</f>
      </c>
      <c r="AF77" s="50">
        <f>ROUND(IF(AQ77="2",BH77,0),2)</f>
      </c>
      <c r="AG77" s="50">
        <f>ROUND(IF(AQ77="2",BI77,0),2)</f>
      </c>
      <c r="AH77" s="50">
        <f>ROUND(IF(AQ77="0",BJ77,0),2)</f>
      </c>
      <c r="AI77" s="28" t="s">
        <v>182</v>
      </c>
      <c r="AJ77" s="50">
        <f>IF(AN77=0,K77,0)</f>
      </c>
      <c r="AK77" s="50">
        <f>IF(AN77=12,K77,0)</f>
      </c>
      <c r="AL77" s="50">
        <f>IF(AN77=21,K77,0)</f>
      </c>
      <c r="AN77" s="50" t="n">
        <v>21</v>
      </c>
      <c r="AO77" s="50">
        <f>H77*0.072804726</f>
      </c>
      <c r="AP77" s="50">
        <f>H77*(1-0.072804726)</f>
      </c>
      <c r="AQ77" s="52" t="s">
        <v>57</v>
      </c>
      <c r="AV77" s="50">
        <f>ROUND(AW77+AX77,2)</f>
      </c>
      <c r="AW77" s="50">
        <f>ROUND(G77*AO77,2)</f>
      </c>
      <c r="AX77" s="50">
        <f>ROUND(G77*AP77,2)</f>
      </c>
      <c r="AY77" s="52" t="s">
        <v>248</v>
      </c>
      <c r="AZ77" s="52" t="s">
        <v>226</v>
      </c>
      <c r="BA77" s="28" t="s">
        <v>190</v>
      </c>
      <c r="BC77" s="50">
        <f>AW77+AX77</f>
      </c>
      <c r="BD77" s="50">
        <f>H77/(100-BE77)*100</f>
      </c>
      <c r="BE77" s="50" t="n">
        <v>0</v>
      </c>
      <c r="BF77" s="50">
        <f>77</f>
      </c>
      <c r="BH77" s="50">
        <f>G77*AO77</f>
      </c>
      <c r="BI77" s="50">
        <f>G77*AP77</f>
      </c>
      <c r="BJ77" s="50">
        <f>G77*H77</f>
      </c>
      <c r="BK77" s="52" t="s">
        <v>65</v>
      </c>
      <c r="BL77" s="50" t="n">
        <v>59</v>
      </c>
      <c r="BW77" s="50" t="n">
        <v>21</v>
      </c>
      <c r="BX77" s="14" t="s">
        <v>257</v>
      </c>
    </row>
    <row r="78">
      <c r="A78" s="45" t="s">
        <v>52</v>
      </c>
      <c r="B78" s="46" t="s">
        <v>182</v>
      </c>
      <c r="C78" s="46" t="s">
        <v>258</v>
      </c>
      <c r="D78" s="47" t="s">
        <v>259</v>
      </c>
      <c r="E78" s="46"/>
      <c r="F78" s="48" t="s">
        <v>8</v>
      </c>
      <c r="G78" s="48" t="s">
        <v>8</v>
      </c>
      <c r="H78" s="48" t="s">
        <v>8</v>
      </c>
      <c r="I78" s="2">
        <f>SUM(I79:I86)</f>
      </c>
      <c r="J78" s="2">
        <f>SUM(J79:J86)</f>
      </c>
      <c r="K78" s="2">
        <f>SUM(K79:K86)</f>
      </c>
      <c r="L78" s="49" t="s">
        <v>52</v>
      </c>
      <c r="AI78" s="28" t="s">
        <v>182</v>
      </c>
      <c r="AS78" s="2">
        <f>SUM(AJ79:AJ86)</f>
      </c>
      <c r="AT78" s="2">
        <f>SUM(AK79:AK86)</f>
      </c>
      <c r="AU78" s="2">
        <f>SUM(AL79:AL86)</f>
      </c>
    </row>
    <row r="79">
      <c r="A79" s="9" t="s">
        <v>260</v>
      </c>
      <c r="B79" s="10" t="s">
        <v>182</v>
      </c>
      <c r="C79" s="10" t="s">
        <v>261</v>
      </c>
      <c r="D79" s="14" t="s">
        <v>262</v>
      </c>
      <c r="E79" s="10"/>
      <c r="F79" s="10" t="s">
        <v>101</v>
      </c>
      <c r="G79" s="50" t="n">
        <v>367</v>
      </c>
      <c r="H79" s="50" t="n">
        <v>0</v>
      </c>
      <c r="I79" s="50">
        <f>ROUND(G79*AO79,2)</f>
      </c>
      <c r="J79" s="50">
        <f>ROUND(G79*AP79,2)</f>
      </c>
      <c r="K79" s="50">
        <f>ROUND(G79*H79,2)</f>
      </c>
      <c r="L79" s="51" t="s">
        <v>61</v>
      </c>
      <c r="Z79" s="50">
        <f>ROUND(IF(AQ79="5",BJ79,0),2)</f>
      </c>
      <c r="AB79" s="50">
        <f>ROUND(IF(AQ79="1",BH79,0),2)</f>
      </c>
      <c r="AC79" s="50">
        <f>ROUND(IF(AQ79="1",BI79,0),2)</f>
      </c>
      <c r="AD79" s="50">
        <f>ROUND(IF(AQ79="7",BH79,0),2)</f>
      </c>
      <c r="AE79" s="50">
        <f>ROUND(IF(AQ79="7",BI79,0),2)</f>
      </c>
      <c r="AF79" s="50">
        <f>ROUND(IF(AQ79="2",BH79,0),2)</f>
      </c>
      <c r="AG79" s="50">
        <f>ROUND(IF(AQ79="2",BI79,0),2)</f>
      </c>
      <c r="AH79" s="50">
        <f>ROUND(IF(AQ79="0",BJ79,0),2)</f>
      </c>
      <c r="AI79" s="28" t="s">
        <v>182</v>
      </c>
      <c r="AJ79" s="50">
        <f>IF(AN79=0,K79,0)</f>
      </c>
      <c r="AK79" s="50">
        <f>IF(AN79=12,K79,0)</f>
      </c>
      <c r="AL79" s="50">
        <f>IF(AN79=21,K79,0)</f>
      </c>
      <c r="AN79" s="50" t="n">
        <v>21</v>
      </c>
      <c r="AO79" s="50">
        <f>H79*0.74353658</f>
      </c>
      <c r="AP79" s="50">
        <f>H79*(1-0.74353658)</f>
      </c>
      <c r="AQ79" s="52" t="s">
        <v>57</v>
      </c>
      <c r="AV79" s="50">
        <f>ROUND(AW79+AX79,2)</f>
      </c>
      <c r="AW79" s="50">
        <f>ROUND(G79*AO79,2)</f>
      </c>
      <c r="AX79" s="50">
        <f>ROUND(G79*AP79,2)</f>
      </c>
      <c r="AY79" s="52" t="s">
        <v>263</v>
      </c>
      <c r="AZ79" s="52" t="s">
        <v>264</v>
      </c>
      <c r="BA79" s="28" t="s">
        <v>190</v>
      </c>
      <c r="BC79" s="50">
        <f>AW79+AX79</f>
      </c>
      <c r="BD79" s="50">
        <f>H79/(100-BE79)*100</f>
      </c>
      <c r="BE79" s="50" t="n">
        <v>0</v>
      </c>
      <c r="BF79" s="50">
        <f>79</f>
      </c>
      <c r="BH79" s="50">
        <f>G79*AO79</f>
      </c>
      <c r="BI79" s="50">
        <f>G79*AP79</f>
      </c>
      <c r="BJ79" s="50">
        <f>G79*H79</f>
      </c>
      <c r="BK79" s="52" t="s">
        <v>65</v>
      </c>
      <c r="BL79" s="50" t="n">
        <v>91</v>
      </c>
      <c r="BW79" s="50" t="n">
        <v>21</v>
      </c>
      <c r="BX79" s="14" t="s">
        <v>262</v>
      </c>
    </row>
    <row r="80">
      <c r="A80" s="9" t="s">
        <v>265</v>
      </c>
      <c r="B80" s="10" t="s">
        <v>182</v>
      </c>
      <c r="C80" s="10" t="s">
        <v>266</v>
      </c>
      <c r="D80" s="14" t="s">
        <v>262</v>
      </c>
      <c r="E80" s="10"/>
      <c r="F80" s="10" t="s">
        <v>101</v>
      </c>
      <c r="G80" s="50" t="n">
        <v>438</v>
      </c>
      <c r="H80" s="50" t="n">
        <v>0</v>
      </c>
      <c r="I80" s="50">
        <f>ROUND(G80*AO80,2)</f>
      </c>
      <c r="J80" s="50">
        <f>ROUND(G80*AP80,2)</f>
      </c>
      <c r="K80" s="50">
        <f>ROUND(G80*H80,2)</f>
      </c>
      <c r="L80" s="51" t="s">
        <v>61</v>
      </c>
      <c r="Z80" s="50">
        <f>ROUND(IF(AQ80="5",BJ80,0),2)</f>
      </c>
      <c r="AB80" s="50">
        <f>ROUND(IF(AQ80="1",BH80,0),2)</f>
      </c>
      <c r="AC80" s="50">
        <f>ROUND(IF(AQ80="1",BI80,0),2)</f>
      </c>
      <c r="AD80" s="50">
        <f>ROUND(IF(AQ80="7",BH80,0),2)</f>
      </c>
      <c r="AE80" s="50">
        <f>ROUND(IF(AQ80="7",BI80,0),2)</f>
      </c>
      <c r="AF80" s="50">
        <f>ROUND(IF(AQ80="2",BH80,0),2)</f>
      </c>
      <c r="AG80" s="50">
        <f>ROUND(IF(AQ80="2",BI80,0),2)</f>
      </c>
      <c r="AH80" s="50">
        <f>ROUND(IF(AQ80="0",BJ80,0),2)</f>
      </c>
      <c r="AI80" s="28" t="s">
        <v>182</v>
      </c>
      <c r="AJ80" s="50">
        <f>IF(AN80=0,K80,0)</f>
      </c>
      <c r="AK80" s="50">
        <f>IF(AN80=12,K80,0)</f>
      </c>
      <c r="AL80" s="50">
        <f>IF(AN80=21,K80,0)</f>
      </c>
      <c r="AN80" s="50" t="n">
        <v>21</v>
      </c>
      <c r="AO80" s="50">
        <f>H80*0.679306513</f>
      </c>
      <c r="AP80" s="50">
        <f>H80*(1-0.679306513)</f>
      </c>
      <c r="AQ80" s="52" t="s">
        <v>57</v>
      </c>
      <c r="AV80" s="50">
        <f>ROUND(AW80+AX80,2)</f>
      </c>
      <c r="AW80" s="50">
        <f>ROUND(G80*AO80,2)</f>
      </c>
      <c r="AX80" s="50">
        <f>ROUND(G80*AP80,2)</f>
      </c>
      <c r="AY80" s="52" t="s">
        <v>263</v>
      </c>
      <c r="AZ80" s="52" t="s">
        <v>264</v>
      </c>
      <c r="BA80" s="28" t="s">
        <v>190</v>
      </c>
      <c r="BC80" s="50">
        <f>AW80+AX80</f>
      </c>
      <c r="BD80" s="50">
        <f>H80/(100-BE80)*100</f>
      </c>
      <c r="BE80" s="50" t="n">
        <v>0</v>
      </c>
      <c r="BF80" s="50">
        <f>80</f>
      </c>
      <c r="BH80" s="50">
        <f>G80*AO80</f>
      </c>
      <c r="BI80" s="50">
        <f>G80*AP80</f>
      </c>
      <c r="BJ80" s="50">
        <f>G80*H80</f>
      </c>
      <c r="BK80" s="52" t="s">
        <v>65</v>
      </c>
      <c r="BL80" s="50" t="n">
        <v>91</v>
      </c>
      <c r="BW80" s="50" t="n">
        <v>21</v>
      </c>
      <c r="BX80" s="14" t="s">
        <v>262</v>
      </c>
    </row>
    <row r="81">
      <c r="A81" s="9" t="s">
        <v>267</v>
      </c>
      <c r="B81" s="10" t="s">
        <v>182</v>
      </c>
      <c r="C81" s="10" t="s">
        <v>268</v>
      </c>
      <c r="D81" s="14" t="s">
        <v>269</v>
      </c>
      <c r="E81" s="10"/>
      <c r="F81" s="10" t="s">
        <v>270</v>
      </c>
      <c r="G81" s="50" t="n">
        <v>4</v>
      </c>
      <c r="H81" s="50" t="n">
        <v>0</v>
      </c>
      <c r="I81" s="50">
        <f>ROUND(G81*AO81,2)</f>
      </c>
      <c r="J81" s="50">
        <f>ROUND(G81*AP81,2)</f>
      </c>
      <c r="K81" s="50">
        <f>ROUND(G81*H81,2)</f>
      </c>
      <c r="L81" s="51" t="s">
        <v>61</v>
      </c>
      <c r="Z81" s="50">
        <f>ROUND(IF(AQ81="5",BJ81,0),2)</f>
      </c>
      <c r="AB81" s="50">
        <f>ROUND(IF(AQ81="1",BH81,0),2)</f>
      </c>
      <c r="AC81" s="50">
        <f>ROUND(IF(AQ81="1",BI81,0),2)</f>
      </c>
      <c r="AD81" s="50">
        <f>ROUND(IF(AQ81="7",BH81,0),2)</f>
      </c>
      <c r="AE81" s="50">
        <f>ROUND(IF(AQ81="7",BI81,0),2)</f>
      </c>
      <c r="AF81" s="50">
        <f>ROUND(IF(AQ81="2",BH81,0),2)</f>
      </c>
      <c r="AG81" s="50">
        <f>ROUND(IF(AQ81="2",BI81,0),2)</f>
      </c>
      <c r="AH81" s="50">
        <f>ROUND(IF(AQ81="0",BJ81,0),2)</f>
      </c>
      <c r="AI81" s="28" t="s">
        <v>182</v>
      </c>
      <c r="AJ81" s="50">
        <f>IF(AN81=0,K81,0)</f>
      </c>
      <c r="AK81" s="50">
        <f>IF(AN81=12,K81,0)</f>
      </c>
      <c r="AL81" s="50">
        <f>IF(AN81=21,K81,0)</f>
      </c>
      <c r="AN81" s="50" t="n">
        <v>21</v>
      </c>
      <c r="AO81" s="50">
        <f>H81*0.917135572</f>
      </c>
      <c r="AP81" s="50">
        <f>H81*(1-0.917135572)</f>
      </c>
      <c r="AQ81" s="52" t="s">
        <v>57</v>
      </c>
      <c r="AV81" s="50">
        <f>ROUND(AW81+AX81,2)</f>
      </c>
      <c r="AW81" s="50">
        <f>ROUND(G81*AO81,2)</f>
      </c>
      <c r="AX81" s="50">
        <f>ROUND(G81*AP81,2)</f>
      </c>
      <c r="AY81" s="52" t="s">
        <v>263</v>
      </c>
      <c r="AZ81" s="52" t="s">
        <v>264</v>
      </c>
      <c r="BA81" s="28" t="s">
        <v>190</v>
      </c>
      <c r="BC81" s="50">
        <f>AW81+AX81</f>
      </c>
      <c r="BD81" s="50">
        <f>H81/(100-BE81)*100</f>
      </c>
      <c r="BE81" s="50" t="n">
        <v>0</v>
      </c>
      <c r="BF81" s="50">
        <f>81</f>
      </c>
      <c r="BH81" s="50">
        <f>G81*AO81</f>
      </c>
      <c r="BI81" s="50">
        <f>G81*AP81</f>
      </c>
      <c r="BJ81" s="50">
        <f>G81*H81</f>
      </c>
      <c r="BK81" s="52" t="s">
        <v>65</v>
      </c>
      <c r="BL81" s="50" t="n">
        <v>91</v>
      </c>
      <c r="BW81" s="50" t="n">
        <v>21</v>
      </c>
      <c r="BX81" s="14" t="s">
        <v>269</v>
      </c>
    </row>
    <row r="82">
      <c r="A82" s="9" t="s">
        <v>271</v>
      </c>
      <c r="B82" s="10" t="s">
        <v>182</v>
      </c>
      <c r="C82" s="10" t="s">
        <v>272</v>
      </c>
      <c r="D82" s="14" t="s">
        <v>273</v>
      </c>
      <c r="E82" s="10"/>
      <c r="F82" s="10" t="s">
        <v>80</v>
      </c>
      <c r="G82" s="50" t="n">
        <v>24</v>
      </c>
      <c r="H82" s="50" t="n">
        <v>0</v>
      </c>
      <c r="I82" s="50">
        <f>ROUND(G82*AO82,2)</f>
      </c>
      <c r="J82" s="50">
        <f>ROUND(G82*AP82,2)</f>
      </c>
      <c r="K82" s="50">
        <f>ROUND(G82*H82,2)</f>
      </c>
      <c r="L82" s="51" t="s">
        <v>61</v>
      </c>
      <c r="Z82" s="50">
        <f>ROUND(IF(AQ82="5",BJ82,0),2)</f>
      </c>
      <c r="AB82" s="50">
        <f>ROUND(IF(AQ82="1",BH82,0),2)</f>
      </c>
      <c r="AC82" s="50">
        <f>ROUND(IF(AQ82="1",BI82,0),2)</f>
      </c>
      <c r="AD82" s="50">
        <f>ROUND(IF(AQ82="7",BH82,0),2)</f>
      </c>
      <c r="AE82" s="50">
        <f>ROUND(IF(AQ82="7",BI82,0),2)</f>
      </c>
      <c r="AF82" s="50">
        <f>ROUND(IF(AQ82="2",BH82,0),2)</f>
      </c>
      <c r="AG82" s="50">
        <f>ROUND(IF(AQ82="2",BI82,0),2)</f>
      </c>
      <c r="AH82" s="50">
        <f>ROUND(IF(AQ82="0",BJ82,0),2)</f>
      </c>
      <c r="AI82" s="28" t="s">
        <v>182</v>
      </c>
      <c r="AJ82" s="50">
        <f>IF(AN82=0,K82,0)</f>
      </c>
      <c r="AK82" s="50">
        <f>IF(AN82=12,K82,0)</f>
      </c>
      <c r="AL82" s="50">
        <f>IF(AN82=21,K82,0)</f>
      </c>
      <c r="AN82" s="50" t="n">
        <v>21</v>
      </c>
      <c r="AO82" s="50">
        <f>H82*0.92455991</f>
      </c>
      <c r="AP82" s="50">
        <f>H82*(1-0.92455991)</f>
      </c>
      <c r="AQ82" s="52" t="s">
        <v>57</v>
      </c>
      <c r="AV82" s="50">
        <f>ROUND(AW82+AX82,2)</f>
      </c>
      <c r="AW82" s="50">
        <f>ROUND(G82*AO82,2)</f>
      </c>
      <c r="AX82" s="50">
        <f>ROUND(G82*AP82,2)</f>
      </c>
      <c r="AY82" s="52" t="s">
        <v>263</v>
      </c>
      <c r="AZ82" s="52" t="s">
        <v>264</v>
      </c>
      <c r="BA82" s="28" t="s">
        <v>190</v>
      </c>
      <c r="BC82" s="50">
        <f>AW82+AX82</f>
      </c>
      <c r="BD82" s="50">
        <f>H82/(100-BE82)*100</f>
      </c>
      <c r="BE82" s="50" t="n">
        <v>0</v>
      </c>
      <c r="BF82" s="50">
        <f>82</f>
      </c>
      <c r="BH82" s="50">
        <f>G82*AO82</f>
      </c>
      <c r="BI82" s="50">
        <f>G82*AP82</f>
      </c>
      <c r="BJ82" s="50">
        <f>G82*H82</f>
      </c>
      <c r="BK82" s="52" t="s">
        <v>65</v>
      </c>
      <c r="BL82" s="50" t="n">
        <v>91</v>
      </c>
      <c r="BW82" s="50" t="n">
        <v>21</v>
      </c>
      <c r="BX82" s="14" t="s">
        <v>273</v>
      </c>
    </row>
    <row r="83">
      <c r="A83" s="9" t="s">
        <v>274</v>
      </c>
      <c r="B83" s="10" t="s">
        <v>182</v>
      </c>
      <c r="C83" s="10" t="s">
        <v>275</v>
      </c>
      <c r="D83" s="14" t="s">
        <v>276</v>
      </c>
      <c r="E83" s="10"/>
      <c r="F83" s="10" t="s">
        <v>101</v>
      </c>
      <c r="G83" s="50" t="n">
        <v>25</v>
      </c>
      <c r="H83" s="50" t="n">
        <v>0</v>
      </c>
      <c r="I83" s="50">
        <f>ROUND(G83*AO83,2)</f>
      </c>
      <c r="J83" s="50">
        <f>ROUND(G83*AP83,2)</f>
      </c>
      <c r="K83" s="50">
        <f>ROUND(G83*H83,2)</f>
      </c>
      <c r="L83" s="51" t="s">
        <v>61</v>
      </c>
      <c r="Z83" s="50">
        <f>ROUND(IF(AQ83="5",BJ83,0),2)</f>
      </c>
      <c r="AB83" s="50">
        <f>ROUND(IF(AQ83="1",BH83,0),2)</f>
      </c>
      <c r="AC83" s="50">
        <f>ROUND(IF(AQ83="1",BI83,0),2)</f>
      </c>
      <c r="AD83" s="50">
        <f>ROUND(IF(AQ83="7",BH83,0),2)</f>
      </c>
      <c r="AE83" s="50">
        <f>ROUND(IF(AQ83="7",BI83,0),2)</f>
      </c>
      <c r="AF83" s="50">
        <f>ROUND(IF(AQ83="2",BH83,0),2)</f>
      </c>
      <c r="AG83" s="50">
        <f>ROUND(IF(AQ83="2",BI83,0),2)</f>
      </c>
      <c r="AH83" s="50">
        <f>ROUND(IF(AQ83="0",BJ83,0),2)</f>
      </c>
      <c r="AI83" s="28" t="s">
        <v>182</v>
      </c>
      <c r="AJ83" s="50">
        <f>IF(AN83=0,K83,0)</f>
      </c>
      <c r="AK83" s="50">
        <f>IF(AN83=12,K83,0)</f>
      </c>
      <c r="AL83" s="50">
        <f>IF(AN83=21,K83,0)</f>
      </c>
      <c r="AN83" s="50" t="n">
        <v>21</v>
      </c>
      <c r="AO83" s="50">
        <f>H83*0.287229386</f>
      </c>
      <c r="AP83" s="50">
        <f>H83*(1-0.287229386)</f>
      </c>
      <c r="AQ83" s="52" t="s">
        <v>57</v>
      </c>
      <c r="AV83" s="50">
        <f>ROUND(AW83+AX83,2)</f>
      </c>
      <c r="AW83" s="50">
        <f>ROUND(G83*AO83,2)</f>
      </c>
      <c r="AX83" s="50">
        <f>ROUND(G83*AP83,2)</f>
      </c>
      <c r="AY83" s="52" t="s">
        <v>263</v>
      </c>
      <c r="AZ83" s="52" t="s">
        <v>264</v>
      </c>
      <c r="BA83" s="28" t="s">
        <v>190</v>
      </c>
      <c r="BC83" s="50">
        <f>AW83+AX83</f>
      </c>
      <c r="BD83" s="50">
        <f>H83/(100-BE83)*100</f>
      </c>
      <c r="BE83" s="50" t="n">
        <v>0</v>
      </c>
      <c r="BF83" s="50">
        <f>83</f>
      </c>
      <c r="BH83" s="50">
        <f>G83*AO83</f>
      </c>
      <c r="BI83" s="50">
        <f>G83*AP83</f>
      </c>
      <c r="BJ83" s="50">
        <f>G83*H83</f>
      </c>
      <c r="BK83" s="52" t="s">
        <v>65</v>
      </c>
      <c r="BL83" s="50" t="n">
        <v>91</v>
      </c>
      <c r="BW83" s="50" t="n">
        <v>21</v>
      </c>
      <c r="BX83" s="14" t="s">
        <v>276</v>
      </c>
    </row>
    <row r="84">
      <c r="A84" s="9" t="s">
        <v>277</v>
      </c>
      <c r="B84" s="10" t="s">
        <v>182</v>
      </c>
      <c r="C84" s="10" t="s">
        <v>278</v>
      </c>
      <c r="D84" s="14" t="s">
        <v>279</v>
      </c>
      <c r="E84" s="10"/>
      <c r="F84" s="10" t="s">
        <v>101</v>
      </c>
      <c r="G84" s="50" t="n">
        <v>25</v>
      </c>
      <c r="H84" s="50" t="n">
        <v>0</v>
      </c>
      <c r="I84" s="50">
        <f>ROUND(G84*AO84,2)</f>
      </c>
      <c r="J84" s="50">
        <f>ROUND(G84*AP84,2)</f>
      </c>
      <c r="K84" s="50">
        <f>ROUND(G84*H84,2)</f>
      </c>
      <c r="L84" s="51" t="s">
        <v>61</v>
      </c>
      <c r="Z84" s="50">
        <f>ROUND(IF(AQ84="5",BJ84,0),2)</f>
      </c>
      <c r="AB84" s="50">
        <f>ROUND(IF(AQ84="1",BH84,0),2)</f>
      </c>
      <c r="AC84" s="50">
        <f>ROUND(IF(AQ84="1",BI84,0),2)</f>
      </c>
      <c r="AD84" s="50">
        <f>ROUND(IF(AQ84="7",BH84,0),2)</f>
      </c>
      <c r="AE84" s="50">
        <f>ROUND(IF(AQ84="7",BI84,0),2)</f>
      </c>
      <c r="AF84" s="50">
        <f>ROUND(IF(AQ84="2",BH84,0),2)</f>
      </c>
      <c r="AG84" s="50">
        <f>ROUND(IF(AQ84="2",BI84,0),2)</f>
      </c>
      <c r="AH84" s="50">
        <f>ROUND(IF(AQ84="0",BJ84,0),2)</f>
      </c>
      <c r="AI84" s="28" t="s">
        <v>182</v>
      </c>
      <c r="AJ84" s="50">
        <f>IF(AN84=0,K84,0)</f>
      </c>
      <c r="AK84" s="50">
        <f>IF(AN84=12,K84,0)</f>
      </c>
      <c r="AL84" s="50">
        <f>IF(AN84=21,K84,0)</f>
      </c>
      <c r="AN84" s="50" t="n">
        <v>21</v>
      </c>
      <c r="AO84" s="50">
        <f>H84*0.511687764</f>
      </c>
      <c r="AP84" s="50">
        <f>H84*(1-0.511687764)</f>
      </c>
      <c r="AQ84" s="52" t="s">
        <v>57</v>
      </c>
      <c r="AV84" s="50">
        <f>ROUND(AW84+AX84,2)</f>
      </c>
      <c r="AW84" s="50">
        <f>ROUND(G84*AO84,2)</f>
      </c>
      <c r="AX84" s="50">
        <f>ROUND(G84*AP84,2)</f>
      </c>
      <c r="AY84" s="52" t="s">
        <v>263</v>
      </c>
      <c r="AZ84" s="52" t="s">
        <v>264</v>
      </c>
      <c r="BA84" s="28" t="s">
        <v>190</v>
      </c>
      <c r="BC84" s="50">
        <f>AW84+AX84</f>
      </c>
      <c r="BD84" s="50">
        <f>H84/(100-BE84)*100</f>
      </c>
      <c r="BE84" s="50" t="n">
        <v>0</v>
      </c>
      <c r="BF84" s="50">
        <f>84</f>
      </c>
      <c r="BH84" s="50">
        <f>G84*AO84</f>
      </c>
      <c r="BI84" s="50">
        <f>G84*AP84</f>
      </c>
      <c r="BJ84" s="50">
        <f>G84*H84</f>
      </c>
      <c r="BK84" s="52" t="s">
        <v>65</v>
      </c>
      <c r="BL84" s="50" t="n">
        <v>91</v>
      </c>
      <c r="BW84" s="50" t="n">
        <v>21</v>
      </c>
      <c r="BX84" s="14" t="s">
        <v>279</v>
      </c>
    </row>
    <row r="85" ht="24.75">
      <c r="A85" s="9" t="s">
        <v>280</v>
      </c>
      <c r="B85" s="10" t="s">
        <v>182</v>
      </c>
      <c r="C85" s="10" t="s">
        <v>281</v>
      </c>
      <c r="D85" s="14" t="s">
        <v>282</v>
      </c>
      <c r="E85" s="10"/>
      <c r="F85" s="10" t="s">
        <v>80</v>
      </c>
      <c r="G85" s="50" t="n">
        <v>7</v>
      </c>
      <c r="H85" s="50" t="n">
        <v>0</v>
      </c>
      <c r="I85" s="50">
        <f>ROUND(G85*AO85,2)</f>
      </c>
      <c r="J85" s="50">
        <f>ROUND(G85*AP85,2)</f>
      </c>
      <c r="K85" s="50">
        <f>ROUND(G85*H85,2)</f>
      </c>
      <c r="L85" s="51" t="s">
        <v>61</v>
      </c>
      <c r="Z85" s="50">
        <f>ROUND(IF(AQ85="5",BJ85,0),2)</f>
      </c>
      <c r="AB85" s="50">
        <f>ROUND(IF(AQ85="1",BH85,0),2)</f>
      </c>
      <c r="AC85" s="50">
        <f>ROUND(IF(AQ85="1",BI85,0),2)</f>
      </c>
      <c r="AD85" s="50">
        <f>ROUND(IF(AQ85="7",BH85,0),2)</f>
      </c>
      <c r="AE85" s="50">
        <f>ROUND(IF(AQ85="7",BI85,0),2)</f>
      </c>
      <c r="AF85" s="50">
        <f>ROUND(IF(AQ85="2",BH85,0),2)</f>
      </c>
      <c r="AG85" s="50">
        <f>ROUND(IF(AQ85="2",BI85,0),2)</f>
      </c>
      <c r="AH85" s="50">
        <f>ROUND(IF(AQ85="0",BJ85,0),2)</f>
      </c>
      <c r="AI85" s="28" t="s">
        <v>182</v>
      </c>
      <c r="AJ85" s="50">
        <f>IF(AN85=0,K85,0)</f>
      </c>
      <c r="AK85" s="50">
        <f>IF(AN85=12,K85,0)</f>
      </c>
      <c r="AL85" s="50">
        <f>IF(AN85=21,K85,0)</f>
      </c>
      <c r="AN85" s="50" t="n">
        <v>21</v>
      </c>
      <c r="AO85" s="50">
        <f>H85*0.803406632</f>
      </c>
      <c r="AP85" s="50">
        <f>H85*(1-0.803406632)</f>
      </c>
      <c r="AQ85" s="52" t="s">
        <v>57</v>
      </c>
      <c r="AV85" s="50">
        <f>ROUND(AW85+AX85,2)</f>
      </c>
      <c r="AW85" s="50">
        <f>ROUND(G85*AO85,2)</f>
      </c>
      <c r="AX85" s="50">
        <f>ROUND(G85*AP85,2)</f>
      </c>
      <c r="AY85" s="52" t="s">
        <v>263</v>
      </c>
      <c r="AZ85" s="52" t="s">
        <v>264</v>
      </c>
      <c r="BA85" s="28" t="s">
        <v>190</v>
      </c>
      <c r="BC85" s="50">
        <f>AW85+AX85</f>
      </c>
      <c r="BD85" s="50">
        <f>H85/(100-BE85)*100</f>
      </c>
      <c r="BE85" s="50" t="n">
        <v>0</v>
      </c>
      <c r="BF85" s="50">
        <f>85</f>
      </c>
      <c r="BH85" s="50">
        <f>G85*AO85</f>
      </c>
      <c r="BI85" s="50">
        <f>G85*AP85</f>
      </c>
      <c r="BJ85" s="50">
        <f>G85*H85</f>
      </c>
      <c r="BK85" s="52" t="s">
        <v>65</v>
      </c>
      <c r="BL85" s="50" t="n">
        <v>91</v>
      </c>
      <c r="BW85" s="50" t="n">
        <v>21</v>
      </c>
      <c r="BX85" s="14" t="s">
        <v>282</v>
      </c>
    </row>
    <row r="86">
      <c r="A86" s="9" t="s">
        <v>283</v>
      </c>
      <c r="B86" s="10" t="s">
        <v>182</v>
      </c>
      <c r="C86" s="10" t="s">
        <v>284</v>
      </c>
      <c r="D86" s="14" t="s">
        <v>285</v>
      </c>
      <c r="E86" s="10"/>
      <c r="F86" s="10" t="s">
        <v>197</v>
      </c>
      <c r="G86" s="50" t="n">
        <v>35</v>
      </c>
      <c r="H86" s="50" t="n">
        <v>0</v>
      </c>
      <c r="I86" s="50">
        <f>ROUND(G86*AO86,2)</f>
      </c>
      <c r="J86" s="50">
        <f>ROUND(G86*AP86,2)</f>
      </c>
      <c r="K86" s="50">
        <f>ROUND(G86*H86,2)</f>
      </c>
      <c r="L86" s="51" t="s">
        <v>61</v>
      </c>
      <c r="Z86" s="50">
        <f>ROUND(IF(AQ86="5",BJ86,0),2)</f>
      </c>
      <c r="AB86" s="50">
        <f>ROUND(IF(AQ86="1",BH86,0),2)</f>
      </c>
      <c r="AC86" s="50">
        <f>ROUND(IF(AQ86="1",BI86,0),2)</f>
      </c>
      <c r="AD86" s="50">
        <f>ROUND(IF(AQ86="7",BH86,0),2)</f>
      </c>
      <c r="AE86" s="50">
        <f>ROUND(IF(AQ86="7",BI86,0),2)</f>
      </c>
      <c r="AF86" s="50">
        <f>ROUND(IF(AQ86="2",BH86,0),2)</f>
      </c>
      <c r="AG86" s="50">
        <f>ROUND(IF(AQ86="2",BI86,0),2)</f>
      </c>
      <c r="AH86" s="50">
        <f>ROUND(IF(AQ86="0",BJ86,0),2)</f>
      </c>
      <c r="AI86" s="28" t="s">
        <v>182</v>
      </c>
      <c r="AJ86" s="50">
        <f>IF(AN86=0,K86,0)</f>
      </c>
      <c r="AK86" s="50">
        <f>IF(AN86=12,K86,0)</f>
      </c>
      <c r="AL86" s="50">
        <f>IF(AN86=21,K86,0)</f>
      </c>
      <c r="AN86" s="50" t="n">
        <v>21</v>
      </c>
      <c r="AO86" s="50">
        <f>H86*0.410345423</f>
      </c>
      <c r="AP86" s="50">
        <f>H86*(1-0.410345423)</f>
      </c>
      <c r="AQ86" s="52" t="s">
        <v>57</v>
      </c>
      <c r="AV86" s="50">
        <f>ROUND(AW86+AX86,2)</f>
      </c>
      <c r="AW86" s="50">
        <f>ROUND(G86*AO86,2)</f>
      </c>
      <c r="AX86" s="50">
        <f>ROUND(G86*AP86,2)</f>
      </c>
      <c r="AY86" s="52" t="s">
        <v>263</v>
      </c>
      <c r="AZ86" s="52" t="s">
        <v>264</v>
      </c>
      <c r="BA86" s="28" t="s">
        <v>190</v>
      </c>
      <c r="BC86" s="50">
        <f>AW86+AX86</f>
      </c>
      <c r="BD86" s="50">
        <f>H86/(100-BE86)*100</f>
      </c>
      <c r="BE86" s="50" t="n">
        <v>0</v>
      </c>
      <c r="BF86" s="50">
        <f>86</f>
      </c>
      <c r="BH86" s="50">
        <f>G86*AO86</f>
      </c>
      <c r="BI86" s="50">
        <f>G86*AP86</f>
      </c>
      <c r="BJ86" s="50">
        <f>G86*H86</f>
      </c>
      <c r="BK86" s="52" t="s">
        <v>65</v>
      </c>
      <c r="BL86" s="50" t="n">
        <v>91</v>
      </c>
      <c r="BW86" s="50" t="n">
        <v>21</v>
      </c>
      <c r="BX86" s="14" t="s">
        <v>285</v>
      </c>
    </row>
    <row r="87">
      <c r="A87" s="45" t="s">
        <v>52</v>
      </c>
      <c r="B87" s="46" t="s">
        <v>182</v>
      </c>
      <c r="C87" s="46" t="s">
        <v>286</v>
      </c>
      <c r="D87" s="47" t="s">
        <v>287</v>
      </c>
      <c r="E87" s="46"/>
      <c r="F87" s="48" t="s">
        <v>8</v>
      </c>
      <c r="G87" s="48" t="s">
        <v>8</v>
      </c>
      <c r="H87" s="48" t="s">
        <v>8</v>
      </c>
      <c r="I87" s="2">
        <f>SUM(I88:I88)</f>
      </c>
      <c r="J87" s="2">
        <f>SUM(J88:J88)</f>
      </c>
      <c r="K87" s="2">
        <f>SUM(K88:K88)</f>
      </c>
      <c r="L87" s="49" t="s">
        <v>52</v>
      </c>
      <c r="AI87" s="28" t="s">
        <v>182</v>
      </c>
      <c r="AS87" s="2">
        <f>SUM(AJ88:AJ88)</f>
      </c>
      <c r="AT87" s="2">
        <f>SUM(AK88:AK88)</f>
      </c>
      <c r="AU87" s="2">
        <f>SUM(AL88:AL88)</f>
      </c>
    </row>
    <row r="88">
      <c r="A88" s="9" t="s">
        <v>288</v>
      </c>
      <c r="B88" s="10" t="s">
        <v>182</v>
      </c>
      <c r="C88" s="10" t="s">
        <v>289</v>
      </c>
      <c r="D88" s="14" t="s">
        <v>290</v>
      </c>
      <c r="E88" s="10"/>
      <c r="F88" s="10" t="s">
        <v>80</v>
      </c>
      <c r="G88" s="50" t="n">
        <v>2</v>
      </c>
      <c r="H88" s="50" t="n">
        <v>0</v>
      </c>
      <c r="I88" s="50">
        <f>ROUND(G88*AO88,2)</f>
      </c>
      <c r="J88" s="50">
        <f>ROUND(G88*AP88,2)</f>
      </c>
      <c r="K88" s="50">
        <f>ROUND(G88*H88,2)</f>
      </c>
      <c r="L88" s="51" t="s">
        <v>61</v>
      </c>
      <c r="Z88" s="50">
        <f>ROUND(IF(AQ88="5",BJ88,0),2)</f>
      </c>
      <c r="AB88" s="50">
        <f>ROUND(IF(AQ88="1",BH88,0),2)</f>
      </c>
      <c r="AC88" s="50">
        <f>ROUND(IF(AQ88="1",BI88,0),2)</f>
      </c>
      <c r="AD88" s="50">
        <f>ROUND(IF(AQ88="7",BH88,0),2)</f>
      </c>
      <c r="AE88" s="50">
        <f>ROUND(IF(AQ88="7",BI88,0),2)</f>
      </c>
      <c r="AF88" s="50">
        <f>ROUND(IF(AQ88="2",BH88,0),2)</f>
      </c>
      <c r="AG88" s="50">
        <f>ROUND(IF(AQ88="2",BI88,0),2)</f>
      </c>
      <c r="AH88" s="50">
        <f>ROUND(IF(AQ88="0",BJ88,0),2)</f>
      </c>
      <c r="AI88" s="28" t="s">
        <v>182</v>
      </c>
      <c r="AJ88" s="50">
        <f>IF(AN88=0,K88,0)</f>
      </c>
      <c r="AK88" s="50">
        <f>IF(AN88=12,K88,0)</f>
      </c>
      <c r="AL88" s="50">
        <f>IF(AN88=21,K88,0)</f>
      </c>
      <c r="AN88" s="50" t="n">
        <v>21</v>
      </c>
      <c r="AO88" s="50">
        <f>H88*0.538975095</f>
      </c>
      <c r="AP88" s="50">
        <f>H88*(1-0.538975095)</f>
      </c>
      <c r="AQ88" s="52" t="s">
        <v>57</v>
      </c>
      <c r="AV88" s="50">
        <f>ROUND(AW88+AX88,2)</f>
      </c>
      <c r="AW88" s="50">
        <f>ROUND(G88*AO88,2)</f>
      </c>
      <c r="AX88" s="50">
        <f>ROUND(G88*AP88,2)</f>
      </c>
      <c r="AY88" s="52" t="s">
        <v>291</v>
      </c>
      <c r="AZ88" s="52" t="s">
        <v>264</v>
      </c>
      <c r="BA88" s="28" t="s">
        <v>190</v>
      </c>
      <c r="BC88" s="50">
        <f>AW88+AX88</f>
      </c>
      <c r="BD88" s="50">
        <f>H88/(100-BE88)*100</f>
      </c>
      <c r="BE88" s="50" t="n">
        <v>0</v>
      </c>
      <c r="BF88" s="50">
        <f>88</f>
      </c>
      <c r="BH88" s="50">
        <f>G88*AO88</f>
      </c>
      <c r="BI88" s="50">
        <f>G88*AP88</f>
      </c>
      <c r="BJ88" s="50">
        <f>G88*H88</f>
      </c>
      <c r="BK88" s="52" t="s">
        <v>65</v>
      </c>
      <c r="BL88" s="50" t="n">
        <v>92</v>
      </c>
      <c r="BW88" s="50" t="n">
        <v>21</v>
      </c>
      <c r="BX88" s="14" t="s">
        <v>290</v>
      </c>
    </row>
    <row r="89">
      <c r="A89" s="45" t="s">
        <v>52</v>
      </c>
      <c r="B89" s="46" t="s">
        <v>182</v>
      </c>
      <c r="C89" s="46" t="s">
        <v>292</v>
      </c>
      <c r="D89" s="47" t="s">
        <v>293</v>
      </c>
      <c r="E89" s="46"/>
      <c r="F89" s="48" t="s">
        <v>8</v>
      </c>
      <c r="G89" s="48" t="s">
        <v>8</v>
      </c>
      <c r="H89" s="48" t="s">
        <v>8</v>
      </c>
      <c r="I89" s="2">
        <f>SUM(I90:I90)</f>
      </c>
      <c r="J89" s="2">
        <f>SUM(J90:J90)</f>
      </c>
      <c r="K89" s="2">
        <f>SUM(K90:K90)</f>
      </c>
      <c r="L89" s="49" t="s">
        <v>52</v>
      </c>
      <c r="AI89" s="28" t="s">
        <v>182</v>
      </c>
      <c r="AS89" s="2">
        <f>SUM(AJ90:AJ90)</f>
      </c>
      <c r="AT89" s="2">
        <f>SUM(AK90:AK90)</f>
      </c>
      <c r="AU89" s="2">
        <f>SUM(AL90:AL90)</f>
      </c>
    </row>
    <row r="90">
      <c r="A90" s="9" t="s">
        <v>294</v>
      </c>
      <c r="B90" s="10" t="s">
        <v>182</v>
      </c>
      <c r="C90" s="10" t="s">
        <v>295</v>
      </c>
      <c r="D90" s="14" t="s">
        <v>296</v>
      </c>
      <c r="E90" s="10"/>
      <c r="F90" s="10" t="s">
        <v>80</v>
      </c>
      <c r="G90" s="50" t="n">
        <v>5</v>
      </c>
      <c r="H90" s="50" t="n">
        <v>0</v>
      </c>
      <c r="I90" s="50">
        <f>ROUND(G90*AO90,2)</f>
      </c>
      <c r="J90" s="50">
        <f>ROUND(G90*AP90,2)</f>
      </c>
      <c r="K90" s="50">
        <f>ROUND(G90*H90,2)</f>
      </c>
      <c r="L90" s="51" t="s">
        <v>61</v>
      </c>
      <c r="Z90" s="50">
        <f>ROUND(IF(AQ90="5",BJ90,0),2)</f>
      </c>
      <c r="AB90" s="50">
        <f>ROUND(IF(AQ90="1",BH90,0),2)</f>
      </c>
      <c r="AC90" s="50">
        <f>ROUND(IF(AQ90="1",BI90,0),2)</f>
      </c>
      <c r="AD90" s="50">
        <f>ROUND(IF(AQ90="7",BH90,0),2)</f>
      </c>
      <c r="AE90" s="50">
        <f>ROUND(IF(AQ90="7",BI90,0),2)</f>
      </c>
      <c r="AF90" s="50">
        <f>ROUND(IF(AQ90="2",BH90,0),2)</f>
      </c>
      <c r="AG90" s="50">
        <f>ROUND(IF(AQ90="2",BI90,0),2)</f>
      </c>
      <c r="AH90" s="50">
        <f>ROUND(IF(AQ90="0",BJ90,0),2)</f>
      </c>
      <c r="AI90" s="28" t="s">
        <v>182</v>
      </c>
      <c r="AJ90" s="50">
        <f>IF(AN90=0,K90,0)</f>
      </c>
      <c r="AK90" s="50">
        <f>IF(AN90=12,K90,0)</f>
      </c>
      <c r="AL90" s="50">
        <f>IF(AN90=21,K90,0)</f>
      </c>
      <c r="AN90" s="50" t="n">
        <v>21</v>
      </c>
      <c r="AO90" s="50">
        <f>H90*0</f>
      </c>
      <c r="AP90" s="50">
        <f>H90*(1-0)</f>
      </c>
      <c r="AQ90" s="52" t="s">
        <v>57</v>
      </c>
      <c r="AV90" s="50">
        <f>ROUND(AW90+AX90,2)</f>
      </c>
      <c r="AW90" s="50">
        <f>ROUND(G90*AO90,2)</f>
      </c>
      <c r="AX90" s="50">
        <f>ROUND(G90*AP90,2)</f>
      </c>
      <c r="AY90" s="52" t="s">
        <v>297</v>
      </c>
      <c r="AZ90" s="52" t="s">
        <v>264</v>
      </c>
      <c r="BA90" s="28" t="s">
        <v>190</v>
      </c>
      <c r="BC90" s="50">
        <f>AW90+AX90</f>
      </c>
      <c r="BD90" s="50">
        <f>H90/(100-BE90)*100</f>
      </c>
      <c r="BE90" s="50" t="n">
        <v>0</v>
      </c>
      <c r="BF90" s="50">
        <f>90</f>
      </c>
      <c r="BH90" s="50">
        <f>G90*AO90</f>
      </c>
      <c r="BI90" s="50">
        <f>G90*AP90</f>
      </c>
      <c r="BJ90" s="50">
        <f>G90*H90</f>
      </c>
      <c r="BK90" s="52" t="s">
        <v>65</v>
      </c>
      <c r="BL90" s="50" t="n">
        <v>96</v>
      </c>
      <c r="BW90" s="50" t="n">
        <v>21</v>
      </c>
      <c r="BX90" s="14" t="s">
        <v>296</v>
      </c>
    </row>
    <row r="91">
      <c r="A91" s="45" t="s">
        <v>52</v>
      </c>
      <c r="B91" s="46" t="s">
        <v>182</v>
      </c>
      <c r="C91" s="46" t="s">
        <v>298</v>
      </c>
      <c r="D91" s="47" t="s">
        <v>299</v>
      </c>
      <c r="E91" s="46"/>
      <c r="F91" s="48" t="s">
        <v>8</v>
      </c>
      <c r="G91" s="48" t="s">
        <v>8</v>
      </c>
      <c r="H91" s="48" t="s">
        <v>8</v>
      </c>
      <c r="I91" s="2">
        <f>SUM(I92:I92)</f>
      </c>
      <c r="J91" s="2">
        <f>SUM(J92:J92)</f>
      </c>
      <c r="K91" s="2">
        <f>SUM(K92:K92)</f>
      </c>
      <c r="L91" s="49" t="s">
        <v>52</v>
      </c>
      <c r="AI91" s="28" t="s">
        <v>182</v>
      </c>
      <c r="AS91" s="2">
        <f>SUM(AJ92:AJ92)</f>
      </c>
      <c r="AT91" s="2">
        <f>SUM(AK92:AK92)</f>
      </c>
      <c r="AU91" s="2">
        <f>SUM(AL92:AL92)</f>
      </c>
    </row>
    <row r="92">
      <c r="A92" s="9" t="s">
        <v>220</v>
      </c>
      <c r="B92" s="10" t="s">
        <v>182</v>
      </c>
      <c r="C92" s="10" t="s">
        <v>300</v>
      </c>
      <c r="D92" s="14" t="s">
        <v>301</v>
      </c>
      <c r="E92" s="10"/>
      <c r="F92" s="10" t="s">
        <v>71</v>
      </c>
      <c r="G92" s="50" t="n">
        <v>2753</v>
      </c>
      <c r="H92" s="50" t="n">
        <v>0</v>
      </c>
      <c r="I92" s="50">
        <f>ROUND(G92*AO92,2)</f>
      </c>
      <c r="J92" s="50">
        <f>ROUND(G92*AP92,2)</f>
      </c>
      <c r="K92" s="50">
        <f>ROUND(G92*H92,2)</f>
      </c>
      <c r="L92" s="51" t="s">
        <v>61</v>
      </c>
      <c r="Z92" s="50">
        <f>ROUND(IF(AQ92="5",BJ92,0),2)</f>
      </c>
      <c r="AB92" s="50">
        <f>ROUND(IF(AQ92="1",BH92,0),2)</f>
      </c>
      <c r="AC92" s="50">
        <f>ROUND(IF(AQ92="1",BI92,0),2)</f>
      </c>
      <c r="AD92" s="50">
        <f>ROUND(IF(AQ92="7",BH92,0),2)</f>
      </c>
      <c r="AE92" s="50">
        <f>ROUND(IF(AQ92="7",BI92,0),2)</f>
      </c>
      <c r="AF92" s="50">
        <f>ROUND(IF(AQ92="2",BH92,0),2)</f>
      </c>
      <c r="AG92" s="50">
        <f>ROUND(IF(AQ92="2",BI92,0),2)</f>
      </c>
      <c r="AH92" s="50">
        <f>ROUND(IF(AQ92="0",BJ92,0),2)</f>
      </c>
      <c r="AI92" s="28" t="s">
        <v>182</v>
      </c>
      <c r="AJ92" s="50">
        <f>IF(AN92=0,K92,0)</f>
      </c>
      <c r="AK92" s="50">
        <f>IF(AN92=12,K92,0)</f>
      </c>
      <c r="AL92" s="50">
        <f>IF(AN92=21,K92,0)</f>
      </c>
      <c r="AN92" s="50" t="n">
        <v>21</v>
      </c>
      <c r="AO92" s="50">
        <f>H92*0</f>
      </c>
      <c r="AP92" s="50">
        <f>H92*(1-0)</f>
      </c>
      <c r="AQ92" s="52" t="s">
        <v>72</v>
      </c>
      <c r="AV92" s="50">
        <f>ROUND(AW92+AX92,2)</f>
      </c>
      <c r="AW92" s="50">
        <f>ROUND(G92*AO92,2)</f>
      </c>
      <c r="AX92" s="50">
        <f>ROUND(G92*AP92,2)</f>
      </c>
      <c r="AY92" s="52" t="s">
        <v>302</v>
      </c>
      <c r="AZ92" s="52" t="s">
        <v>264</v>
      </c>
      <c r="BA92" s="28" t="s">
        <v>190</v>
      </c>
      <c r="BC92" s="50">
        <f>AW92+AX92</f>
      </c>
      <c r="BD92" s="50">
        <f>H92/(100-BE92)*100</f>
      </c>
      <c r="BE92" s="50" t="n">
        <v>0</v>
      </c>
      <c r="BF92" s="50">
        <f>92</f>
      </c>
      <c r="BH92" s="50">
        <f>G92*AO92</f>
      </c>
      <c r="BI92" s="50">
        <f>G92*AP92</f>
      </c>
      <c r="BJ92" s="50">
        <f>G92*H92</f>
      </c>
      <c r="BK92" s="52" t="s">
        <v>65</v>
      </c>
      <c r="BL92" s="50"/>
      <c r="BW92" s="50" t="n">
        <v>21</v>
      </c>
      <c r="BX92" s="14" t="s">
        <v>301</v>
      </c>
    </row>
    <row r="93">
      <c r="A93" s="45" t="s">
        <v>52</v>
      </c>
      <c r="B93" s="46" t="s">
        <v>182</v>
      </c>
      <c r="C93" s="46" t="s">
        <v>96</v>
      </c>
      <c r="D93" s="47" t="s">
        <v>97</v>
      </c>
      <c r="E93" s="46"/>
      <c r="F93" s="48" t="s">
        <v>8</v>
      </c>
      <c r="G93" s="48" t="s">
        <v>8</v>
      </c>
      <c r="H93" s="48" t="s">
        <v>8</v>
      </c>
      <c r="I93" s="2">
        <f>SUM(I94:I94)</f>
      </c>
      <c r="J93" s="2">
        <f>SUM(J94:J94)</f>
      </c>
      <c r="K93" s="2">
        <f>SUM(K94:K94)</f>
      </c>
      <c r="L93" s="49" t="s">
        <v>52</v>
      </c>
      <c r="AI93" s="28" t="s">
        <v>182</v>
      </c>
      <c r="AS93" s="2">
        <f>SUM(AJ94:AJ94)</f>
      </c>
      <c r="AT93" s="2">
        <f>SUM(AK94:AK94)</f>
      </c>
      <c r="AU93" s="2">
        <f>SUM(AL94:AL94)</f>
      </c>
    </row>
    <row r="94">
      <c r="A94" s="9" t="s">
        <v>228</v>
      </c>
      <c r="B94" s="10" t="s">
        <v>182</v>
      </c>
      <c r="C94" s="10" t="s">
        <v>303</v>
      </c>
      <c r="D94" s="14" t="s">
        <v>304</v>
      </c>
      <c r="E94" s="10"/>
      <c r="F94" s="10" t="s">
        <v>197</v>
      </c>
      <c r="G94" s="50" t="n">
        <v>115</v>
      </c>
      <c r="H94" s="50" t="n">
        <v>0</v>
      </c>
      <c r="I94" s="50">
        <f>ROUND(G94*AO94,2)</f>
      </c>
      <c r="J94" s="50">
        <f>ROUND(G94*AP94,2)</f>
      </c>
      <c r="K94" s="50">
        <f>ROUND(G94*H94,2)</f>
      </c>
      <c r="L94" s="51" t="s">
        <v>61</v>
      </c>
      <c r="Z94" s="50">
        <f>ROUND(IF(AQ94="5",BJ94,0),2)</f>
      </c>
      <c r="AB94" s="50">
        <f>ROUND(IF(AQ94="1",BH94,0),2)</f>
      </c>
      <c r="AC94" s="50">
        <f>ROUND(IF(AQ94="1",BI94,0),2)</f>
      </c>
      <c r="AD94" s="50">
        <f>ROUND(IF(AQ94="7",BH94,0),2)</f>
      </c>
      <c r="AE94" s="50">
        <f>ROUND(IF(AQ94="7",BI94,0),2)</f>
      </c>
      <c r="AF94" s="50">
        <f>ROUND(IF(AQ94="2",BH94,0),2)</f>
      </c>
      <c r="AG94" s="50">
        <f>ROUND(IF(AQ94="2",BI94,0),2)</f>
      </c>
      <c r="AH94" s="50">
        <f>ROUND(IF(AQ94="0",BJ94,0),2)</f>
      </c>
      <c r="AI94" s="28" t="s">
        <v>182</v>
      </c>
      <c r="AJ94" s="50">
        <f>IF(AN94=0,K94,0)</f>
      </c>
      <c r="AK94" s="50">
        <f>IF(AN94=12,K94,0)</f>
      </c>
      <c r="AL94" s="50">
        <f>IF(AN94=21,K94,0)</f>
      </c>
      <c r="AN94" s="50" t="n">
        <v>21</v>
      </c>
      <c r="AO94" s="50">
        <f>H94*0.638604651</f>
      </c>
      <c r="AP94" s="50">
        <f>H94*(1-0.638604651)</f>
      </c>
      <c r="AQ94" s="52" t="s">
        <v>68</v>
      </c>
      <c r="AV94" s="50">
        <f>ROUND(AW94+AX94,2)</f>
      </c>
      <c r="AW94" s="50">
        <f>ROUND(G94*AO94,2)</f>
      </c>
      <c r="AX94" s="50">
        <f>ROUND(G94*AP94,2)</f>
      </c>
      <c r="AY94" s="52" t="s">
        <v>102</v>
      </c>
      <c r="AZ94" s="52" t="s">
        <v>264</v>
      </c>
      <c r="BA94" s="28" t="s">
        <v>190</v>
      </c>
      <c r="BC94" s="50">
        <f>AW94+AX94</f>
      </c>
      <c r="BD94" s="50">
        <f>H94/(100-BE94)*100</f>
      </c>
      <c r="BE94" s="50" t="n">
        <v>0</v>
      </c>
      <c r="BF94" s="50">
        <f>94</f>
      </c>
      <c r="BH94" s="50">
        <f>G94*AO94</f>
      </c>
      <c r="BI94" s="50">
        <f>G94*AP94</f>
      </c>
      <c r="BJ94" s="50">
        <f>G94*H94</f>
      </c>
      <c r="BK94" s="52" t="s">
        <v>65</v>
      </c>
      <c r="BL94" s="50"/>
      <c r="BW94" s="50" t="n">
        <v>21</v>
      </c>
      <c r="BX94" s="14" t="s">
        <v>304</v>
      </c>
    </row>
    <row r="95">
      <c r="A95" s="45" t="s">
        <v>52</v>
      </c>
      <c r="B95" s="46" t="s">
        <v>182</v>
      </c>
      <c r="C95" s="46" t="s">
        <v>305</v>
      </c>
      <c r="D95" s="47" t="s">
        <v>306</v>
      </c>
      <c r="E95" s="46"/>
      <c r="F95" s="48" t="s">
        <v>8</v>
      </c>
      <c r="G95" s="48" t="s">
        <v>8</v>
      </c>
      <c r="H95" s="48" t="s">
        <v>8</v>
      </c>
      <c r="I95" s="2">
        <f>SUM(I96:I98)</f>
      </c>
      <c r="J95" s="2">
        <f>SUM(J96:J98)</f>
      </c>
      <c r="K95" s="2">
        <f>SUM(K96:K98)</f>
      </c>
      <c r="L95" s="49" t="s">
        <v>52</v>
      </c>
      <c r="AI95" s="28" t="s">
        <v>182</v>
      </c>
      <c r="AS95" s="2">
        <f>SUM(AJ96:AJ98)</f>
      </c>
      <c r="AT95" s="2">
        <f>SUM(AK96:AK98)</f>
      </c>
      <c r="AU95" s="2">
        <f>SUM(AL96:AL98)</f>
      </c>
    </row>
    <row r="96">
      <c r="A96" s="9" t="s">
        <v>307</v>
      </c>
      <c r="B96" s="10" t="s">
        <v>182</v>
      </c>
      <c r="C96" s="10" t="s">
        <v>308</v>
      </c>
      <c r="D96" s="14" t="s">
        <v>309</v>
      </c>
      <c r="E96" s="10"/>
      <c r="F96" s="10" t="s">
        <v>71</v>
      </c>
      <c r="G96" s="50" t="n">
        <v>235</v>
      </c>
      <c r="H96" s="50" t="n">
        <v>0</v>
      </c>
      <c r="I96" s="50">
        <f>ROUND(G96*AO96,2)</f>
      </c>
      <c r="J96" s="50">
        <f>ROUND(G96*AP96,2)</f>
      </c>
      <c r="K96" s="50">
        <f>ROUND(G96*H96,2)</f>
      </c>
      <c r="L96" s="51" t="s">
        <v>61</v>
      </c>
      <c r="Z96" s="50">
        <f>ROUND(IF(AQ96="5",BJ96,0),2)</f>
      </c>
      <c r="AB96" s="50">
        <f>ROUND(IF(AQ96="1",BH96,0),2)</f>
      </c>
      <c r="AC96" s="50">
        <f>ROUND(IF(AQ96="1",BI96,0),2)</f>
      </c>
      <c r="AD96" s="50">
        <f>ROUND(IF(AQ96="7",BH96,0),2)</f>
      </c>
      <c r="AE96" s="50">
        <f>ROUND(IF(AQ96="7",BI96,0),2)</f>
      </c>
      <c r="AF96" s="50">
        <f>ROUND(IF(AQ96="2",BH96,0),2)</f>
      </c>
      <c r="AG96" s="50">
        <f>ROUND(IF(AQ96="2",BI96,0),2)</f>
      </c>
      <c r="AH96" s="50">
        <f>ROUND(IF(AQ96="0",BJ96,0),2)</f>
      </c>
      <c r="AI96" s="28" t="s">
        <v>182</v>
      </c>
      <c r="AJ96" s="50">
        <f>IF(AN96=0,K96,0)</f>
      </c>
      <c r="AK96" s="50">
        <f>IF(AN96=12,K96,0)</f>
      </c>
      <c r="AL96" s="50">
        <f>IF(AN96=21,K96,0)</f>
      </c>
      <c r="AN96" s="50" t="n">
        <v>21</v>
      </c>
      <c r="AO96" s="50">
        <f>H96*0</f>
      </c>
      <c r="AP96" s="50">
        <f>H96*(1-0)</f>
      </c>
      <c r="AQ96" s="52" t="s">
        <v>72</v>
      </c>
      <c r="AV96" s="50">
        <f>ROUND(AW96+AX96,2)</f>
      </c>
      <c r="AW96" s="50">
        <f>ROUND(G96*AO96,2)</f>
      </c>
      <c r="AX96" s="50">
        <f>ROUND(G96*AP96,2)</f>
      </c>
      <c r="AY96" s="52" t="s">
        <v>310</v>
      </c>
      <c r="AZ96" s="52" t="s">
        <v>264</v>
      </c>
      <c r="BA96" s="28" t="s">
        <v>190</v>
      </c>
      <c r="BC96" s="50">
        <f>AW96+AX96</f>
      </c>
      <c r="BD96" s="50">
        <f>H96/(100-BE96)*100</f>
      </c>
      <c r="BE96" s="50" t="n">
        <v>0</v>
      </c>
      <c r="BF96" s="50">
        <f>96</f>
      </c>
      <c r="BH96" s="50">
        <f>G96*AO96</f>
      </c>
      <c r="BI96" s="50">
        <f>G96*AP96</f>
      </c>
      <c r="BJ96" s="50">
        <f>G96*H96</f>
      </c>
      <c r="BK96" s="52" t="s">
        <v>65</v>
      </c>
      <c r="BL96" s="50"/>
      <c r="BW96" s="50" t="n">
        <v>21</v>
      </c>
      <c r="BX96" s="14" t="s">
        <v>309</v>
      </c>
    </row>
    <row r="97">
      <c r="A97" s="9" t="s">
        <v>243</v>
      </c>
      <c r="B97" s="10" t="s">
        <v>182</v>
      </c>
      <c r="C97" s="10" t="s">
        <v>311</v>
      </c>
      <c r="D97" s="14" t="s">
        <v>312</v>
      </c>
      <c r="E97" s="10"/>
      <c r="F97" s="10" t="s">
        <v>71</v>
      </c>
      <c r="G97" s="50" t="n">
        <v>145</v>
      </c>
      <c r="H97" s="50" t="n">
        <v>0</v>
      </c>
      <c r="I97" s="50">
        <f>ROUND(G97*AO97,2)</f>
      </c>
      <c r="J97" s="50">
        <f>ROUND(G97*AP97,2)</f>
      </c>
      <c r="K97" s="50">
        <f>ROUND(G97*H97,2)</f>
      </c>
      <c r="L97" s="51" t="s">
        <v>61</v>
      </c>
      <c r="Z97" s="50">
        <f>ROUND(IF(AQ97="5",BJ97,0),2)</f>
      </c>
      <c r="AB97" s="50">
        <f>ROUND(IF(AQ97="1",BH97,0),2)</f>
      </c>
      <c r="AC97" s="50">
        <f>ROUND(IF(AQ97="1",BI97,0),2)</f>
      </c>
      <c r="AD97" s="50">
        <f>ROUND(IF(AQ97="7",BH97,0),2)</f>
      </c>
      <c r="AE97" s="50">
        <f>ROUND(IF(AQ97="7",BI97,0),2)</f>
      </c>
      <c r="AF97" s="50">
        <f>ROUND(IF(AQ97="2",BH97,0),2)</f>
      </c>
      <c r="AG97" s="50">
        <f>ROUND(IF(AQ97="2",BI97,0),2)</f>
      </c>
      <c r="AH97" s="50">
        <f>ROUND(IF(AQ97="0",BJ97,0),2)</f>
      </c>
      <c r="AI97" s="28" t="s">
        <v>182</v>
      </c>
      <c r="AJ97" s="50">
        <f>IF(AN97=0,K97,0)</f>
      </c>
      <c r="AK97" s="50">
        <f>IF(AN97=12,K97,0)</f>
      </c>
      <c r="AL97" s="50">
        <f>IF(AN97=21,K97,0)</f>
      </c>
      <c r="AN97" s="50" t="n">
        <v>21</v>
      </c>
      <c r="AO97" s="50">
        <f>H97*0</f>
      </c>
      <c r="AP97" s="50">
        <f>H97*(1-0)</f>
      </c>
      <c r="AQ97" s="52" t="s">
        <v>72</v>
      </c>
      <c r="AV97" s="50">
        <f>ROUND(AW97+AX97,2)</f>
      </c>
      <c r="AW97" s="50">
        <f>ROUND(G97*AO97,2)</f>
      </c>
      <c r="AX97" s="50">
        <f>ROUND(G97*AP97,2)</f>
      </c>
      <c r="AY97" s="52" t="s">
        <v>310</v>
      </c>
      <c r="AZ97" s="52" t="s">
        <v>264</v>
      </c>
      <c r="BA97" s="28" t="s">
        <v>190</v>
      </c>
      <c r="BC97" s="50">
        <f>AW97+AX97</f>
      </c>
      <c r="BD97" s="50">
        <f>H97/(100-BE97)*100</f>
      </c>
      <c r="BE97" s="50" t="n">
        <v>0</v>
      </c>
      <c r="BF97" s="50">
        <f>97</f>
      </c>
      <c r="BH97" s="50">
        <f>G97*AO97</f>
      </c>
      <c r="BI97" s="50">
        <f>G97*AP97</f>
      </c>
      <c r="BJ97" s="50">
        <f>G97*H97</f>
      </c>
      <c r="BK97" s="52" t="s">
        <v>65</v>
      </c>
      <c r="BL97" s="50"/>
      <c r="BW97" s="50" t="n">
        <v>21</v>
      </c>
      <c r="BX97" s="14" t="s">
        <v>312</v>
      </c>
    </row>
    <row r="98">
      <c r="A98" s="9" t="s">
        <v>313</v>
      </c>
      <c r="B98" s="10" t="s">
        <v>182</v>
      </c>
      <c r="C98" s="10" t="s">
        <v>314</v>
      </c>
      <c r="D98" s="14" t="s">
        <v>315</v>
      </c>
      <c r="E98" s="10"/>
      <c r="F98" s="10" t="s">
        <v>71</v>
      </c>
      <c r="G98" s="50" t="n">
        <v>260</v>
      </c>
      <c r="H98" s="50" t="n">
        <v>0</v>
      </c>
      <c r="I98" s="50">
        <f>ROUND(G98*AO98,2)</f>
      </c>
      <c r="J98" s="50">
        <f>ROUND(G98*AP98,2)</f>
      </c>
      <c r="K98" s="50">
        <f>ROUND(G98*H98,2)</f>
      </c>
      <c r="L98" s="51" t="s">
        <v>61</v>
      </c>
      <c r="Z98" s="50">
        <f>ROUND(IF(AQ98="5",BJ98,0),2)</f>
      </c>
      <c r="AB98" s="50">
        <f>ROUND(IF(AQ98="1",BH98,0),2)</f>
      </c>
      <c r="AC98" s="50">
        <f>ROUND(IF(AQ98="1",BI98,0),2)</f>
      </c>
      <c r="AD98" s="50">
        <f>ROUND(IF(AQ98="7",BH98,0),2)</f>
      </c>
      <c r="AE98" s="50">
        <f>ROUND(IF(AQ98="7",BI98,0),2)</f>
      </c>
      <c r="AF98" s="50">
        <f>ROUND(IF(AQ98="2",BH98,0),2)</f>
      </c>
      <c r="AG98" s="50">
        <f>ROUND(IF(AQ98="2",BI98,0),2)</f>
      </c>
      <c r="AH98" s="50">
        <f>ROUND(IF(AQ98="0",BJ98,0),2)</f>
      </c>
      <c r="AI98" s="28" t="s">
        <v>182</v>
      </c>
      <c r="AJ98" s="50">
        <f>IF(AN98=0,K98,0)</f>
      </c>
      <c r="AK98" s="50">
        <f>IF(AN98=12,K98,0)</f>
      </c>
      <c r="AL98" s="50">
        <f>IF(AN98=21,K98,0)</f>
      </c>
      <c r="AN98" s="50" t="n">
        <v>21</v>
      </c>
      <c r="AO98" s="50">
        <f>H98*0</f>
      </c>
      <c r="AP98" s="50">
        <f>H98*(1-0)</f>
      </c>
      <c r="AQ98" s="52" t="s">
        <v>72</v>
      </c>
      <c r="AV98" s="50">
        <f>ROUND(AW98+AX98,2)</f>
      </c>
      <c r="AW98" s="50">
        <f>ROUND(G98*AO98,2)</f>
      </c>
      <c r="AX98" s="50">
        <f>ROUND(G98*AP98,2)</f>
      </c>
      <c r="AY98" s="52" t="s">
        <v>310</v>
      </c>
      <c r="AZ98" s="52" t="s">
        <v>264</v>
      </c>
      <c r="BA98" s="28" t="s">
        <v>190</v>
      </c>
      <c r="BC98" s="50">
        <f>AW98+AX98</f>
      </c>
      <c r="BD98" s="50">
        <f>H98/(100-BE98)*100</f>
      </c>
      <c r="BE98" s="50" t="n">
        <v>0</v>
      </c>
      <c r="BF98" s="50">
        <f>98</f>
      </c>
      <c r="BH98" s="50">
        <f>G98*AO98</f>
      </c>
      <c r="BI98" s="50">
        <f>G98*AP98</f>
      </c>
      <c r="BJ98" s="50">
        <f>G98*H98</f>
      </c>
      <c r="BK98" s="52" t="s">
        <v>65</v>
      </c>
      <c r="BL98" s="50"/>
      <c r="BW98" s="50" t="n">
        <v>21</v>
      </c>
      <c r="BX98" s="14" t="s">
        <v>315</v>
      </c>
    </row>
    <row r="99">
      <c r="A99" s="45" t="s">
        <v>52</v>
      </c>
      <c r="B99" s="46" t="s">
        <v>182</v>
      </c>
      <c r="C99" s="46" t="s">
        <v>130</v>
      </c>
      <c r="D99" s="47" t="s">
        <v>131</v>
      </c>
      <c r="E99" s="46"/>
      <c r="F99" s="48" t="s">
        <v>8</v>
      </c>
      <c r="G99" s="48" t="s">
        <v>8</v>
      </c>
      <c r="H99" s="48" t="s">
        <v>8</v>
      </c>
      <c r="I99" s="2">
        <f>SUM(I100:I103)</f>
      </c>
      <c r="J99" s="2">
        <f>SUM(J100:J103)</f>
      </c>
      <c r="K99" s="2">
        <f>SUM(K100:K103)</f>
      </c>
      <c r="L99" s="49" t="s">
        <v>52</v>
      </c>
      <c r="AI99" s="28" t="s">
        <v>182</v>
      </c>
      <c r="AS99" s="2">
        <f>SUM(AJ100:AJ103)</f>
      </c>
      <c r="AT99" s="2">
        <f>SUM(AK100:AK103)</f>
      </c>
      <c r="AU99" s="2">
        <f>SUM(AL100:AL103)</f>
      </c>
    </row>
    <row r="100">
      <c r="A100" s="9" t="s">
        <v>316</v>
      </c>
      <c r="B100" s="10" t="s">
        <v>182</v>
      </c>
      <c r="C100" s="10" t="s">
        <v>317</v>
      </c>
      <c r="D100" s="14" t="s">
        <v>318</v>
      </c>
      <c r="E100" s="10"/>
      <c r="F100" s="10" t="s">
        <v>80</v>
      </c>
      <c r="G100" s="50" t="n">
        <v>2</v>
      </c>
      <c r="H100" s="50" t="n">
        <v>0</v>
      </c>
      <c r="I100" s="50">
        <f>ROUND(G100*AO100,2)</f>
      </c>
      <c r="J100" s="50">
        <f>ROUND(G100*AP100,2)</f>
      </c>
      <c r="K100" s="50">
        <f>ROUND(G100*H100,2)</f>
      </c>
      <c r="L100" s="51" t="s">
        <v>61</v>
      </c>
      <c r="Z100" s="50">
        <f>ROUND(IF(AQ100="5",BJ100,0),2)</f>
      </c>
      <c r="AB100" s="50">
        <f>ROUND(IF(AQ100="1",BH100,0),2)</f>
      </c>
      <c r="AC100" s="50">
        <f>ROUND(IF(AQ100="1",BI100,0),2)</f>
      </c>
      <c r="AD100" s="50">
        <f>ROUND(IF(AQ100="7",BH100,0),2)</f>
      </c>
      <c r="AE100" s="50">
        <f>ROUND(IF(AQ100="7",BI100,0),2)</f>
      </c>
      <c r="AF100" s="50">
        <f>ROUND(IF(AQ100="2",BH100,0),2)</f>
      </c>
      <c r="AG100" s="50">
        <f>ROUND(IF(AQ100="2",BI100,0),2)</f>
      </c>
      <c r="AH100" s="50">
        <f>ROUND(IF(AQ100="0",BJ100,0),2)</f>
      </c>
      <c r="AI100" s="28" t="s">
        <v>182</v>
      </c>
      <c r="AJ100" s="50">
        <f>IF(AN100=0,K100,0)</f>
      </c>
      <c r="AK100" s="50">
        <f>IF(AN100=12,K100,0)</f>
      </c>
      <c r="AL100" s="50">
        <f>IF(AN100=21,K100,0)</f>
      </c>
      <c r="AN100" s="50" t="n">
        <v>21</v>
      </c>
      <c r="AO100" s="50">
        <f>H100*1</f>
      </c>
      <c r="AP100" s="50">
        <f>H100*(1-1)</f>
      </c>
      <c r="AQ100" s="52" t="s">
        <v>135</v>
      </c>
      <c r="AV100" s="50">
        <f>ROUND(AW100+AX100,2)</f>
      </c>
      <c r="AW100" s="50">
        <f>ROUND(G100*AO100,2)</f>
      </c>
      <c r="AX100" s="50">
        <f>ROUND(G100*AP100,2)</f>
      </c>
      <c r="AY100" s="52" t="s">
        <v>136</v>
      </c>
      <c r="AZ100" s="52" t="s">
        <v>319</v>
      </c>
      <c r="BA100" s="28" t="s">
        <v>190</v>
      </c>
      <c r="BC100" s="50">
        <f>AW100+AX100</f>
      </c>
      <c r="BD100" s="50">
        <f>H100/(100-BE100)*100</f>
      </c>
      <c r="BE100" s="50" t="n">
        <v>0</v>
      </c>
      <c r="BF100" s="50">
        <f>100</f>
      </c>
      <c r="BH100" s="50">
        <f>G100*AO100</f>
      </c>
      <c r="BI100" s="50">
        <f>G100*AP100</f>
      </c>
      <c r="BJ100" s="50">
        <f>G100*H100</f>
      </c>
      <c r="BK100" s="52" t="s">
        <v>130</v>
      </c>
      <c r="BL100" s="50"/>
      <c r="BW100" s="50" t="n">
        <v>21</v>
      </c>
      <c r="BX100" s="14" t="s">
        <v>318</v>
      </c>
    </row>
    <row r="101">
      <c r="A101" s="9" t="s">
        <v>320</v>
      </c>
      <c r="B101" s="10" t="s">
        <v>182</v>
      </c>
      <c r="C101" s="10" t="s">
        <v>321</v>
      </c>
      <c r="D101" s="14" t="s">
        <v>322</v>
      </c>
      <c r="E101" s="10"/>
      <c r="F101" s="10" t="s">
        <v>197</v>
      </c>
      <c r="G101" s="50" t="n">
        <v>552</v>
      </c>
      <c r="H101" s="50" t="n">
        <v>0</v>
      </c>
      <c r="I101" s="50">
        <f>ROUND(G101*AO101,2)</f>
      </c>
      <c r="J101" s="50">
        <f>ROUND(G101*AP101,2)</f>
      </c>
      <c r="K101" s="50">
        <f>ROUND(G101*H101,2)</f>
      </c>
      <c r="L101" s="51" t="s">
        <v>61</v>
      </c>
      <c r="Z101" s="50">
        <f>ROUND(IF(AQ101="5",BJ101,0),2)</f>
      </c>
      <c r="AB101" s="50">
        <f>ROUND(IF(AQ101="1",BH101,0),2)</f>
      </c>
      <c r="AC101" s="50">
        <f>ROUND(IF(AQ101="1",BI101,0),2)</f>
      </c>
      <c r="AD101" s="50">
        <f>ROUND(IF(AQ101="7",BH101,0),2)</f>
      </c>
      <c r="AE101" s="50">
        <f>ROUND(IF(AQ101="7",BI101,0),2)</f>
      </c>
      <c r="AF101" s="50">
        <f>ROUND(IF(AQ101="2",BH101,0),2)</f>
      </c>
      <c r="AG101" s="50">
        <f>ROUND(IF(AQ101="2",BI101,0),2)</f>
      </c>
      <c r="AH101" s="50">
        <f>ROUND(IF(AQ101="0",BJ101,0),2)</f>
      </c>
      <c r="AI101" s="28" t="s">
        <v>182</v>
      </c>
      <c r="AJ101" s="50">
        <f>IF(AN101=0,K101,0)</f>
      </c>
      <c r="AK101" s="50">
        <f>IF(AN101=12,K101,0)</f>
      </c>
      <c r="AL101" s="50">
        <f>IF(AN101=21,K101,0)</f>
      </c>
      <c r="AN101" s="50" t="n">
        <v>21</v>
      </c>
      <c r="AO101" s="50">
        <f>H101*1</f>
      </c>
      <c r="AP101" s="50">
        <f>H101*(1-1)</f>
      </c>
      <c r="AQ101" s="52" t="s">
        <v>135</v>
      </c>
      <c r="AV101" s="50">
        <f>ROUND(AW101+AX101,2)</f>
      </c>
      <c r="AW101" s="50">
        <f>ROUND(G101*AO101,2)</f>
      </c>
      <c r="AX101" s="50">
        <f>ROUND(G101*AP101,2)</f>
      </c>
      <c r="AY101" s="52" t="s">
        <v>136</v>
      </c>
      <c r="AZ101" s="52" t="s">
        <v>319</v>
      </c>
      <c r="BA101" s="28" t="s">
        <v>190</v>
      </c>
      <c r="BC101" s="50">
        <f>AW101+AX101</f>
      </c>
      <c r="BD101" s="50">
        <f>H101/(100-BE101)*100</f>
      </c>
      <c r="BE101" s="50" t="n">
        <v>0</v>
      </c>
      <c r="BF101" s="50">
        <f>101</f>
      </c>
      <c r="BH101" s="50">
        <f>G101*AO101</f>
      </c>
      <c r="BI101" s="50">
        <f>G101*AP101</f>
      </c>
      <c r="BJ101" s="50">
        <f>G101*H101</f>
      </c>
      <c r="BK101" s="52" t="s">
        <v>130</v>
      </c>
      <c r="BL101" s="50"/>
      <c r="BW101" s="50" t="n">
        <v>21</v>
      </c>
      <c r="BX101" s="14" t="s">
        <v>322</v>
      </c>
    </row>
    <row r="102" customHeight="true" ht="13.5">
      <c r="A102" s="53"/>
      <c r="C102" s="54" t="s">
        <v>191</v>
      </c>
      <c r="D102" s="55" t="s">
        <v>323</v>
      </c>
      <c r="E102" s="56"/>
      <c r="F102" s="56"/>
      <c r="G102" s="56"/>
      <c r="H102" s="56"/>
      <c r="I102" s="56"/>
      <c r="J102" s="56"/>
      <c r="K102" s="56"/>
      <c r="L102" s="57"/>
    </row>
    <row r="103">
      <c r="A103" s="9" t="s">
        <v>324</v>
      </c>
      <c r="B103" s="10" t="s">
        <v>182</v>
      </c>
      <c r="C103" s="10" t="s">
        <v>325</v>
      </c>
      <c r="D103" s="14" t="s">
        <v>326</v>
      </c>
      <c r="E103" s="10"/>
      <c r="F103" s="10" t="s">
        <v>197</v>
      </c>
      <c r="G103" s="50" t="n">
        <v>445</v>
      </c>
      <c r="H103" s="50" t="n">
        <v>0</v>
      </c>
      <c r="I103" s="50">
        <f>ROUND(G103*AO103,2)</f>
      </c>
      <c r="J103" s="50">
        <f>ROUND(G103*AP103,2)</f>
      </c>
      <c r="K103" s="50">
        <f>ROUND(G103*H103,2)</f>
      </c>
      <c r="L103" s="51" t="s">
        <v>134</v>
      </c>
      <c r="Z103" s="50">
        <f>ROUND(IF(AQ103="5",BJ103,0),2)</f>
      </c>
      <c r="AB103" s="50">
        <f>ROUND(IF(AQ103="1",BH103,0),2)</f>
      </c>
      <c r="AC103" s="50">
        <f>ROUND(IF(AQ103="1",BI103,0),2)</f>
      </c>
      <c r="AD103" s="50">
        <f>ROUND(IF(AQ103="7",BH103,0),2)</f>
      </c>
      <c r="AE103" s="50">
        <f>ROUND(IF(AQ103="7",BI103,0),2)</f>
      </c>
      <c r="AF103" s="50">
        <f>ROUND(IF(AQ103="2",BH103,0),2)</f>
      </c>
      <c r="AG103" s="50">
        <f>ROUND(IF(AQ103="2",BI103,0),2)</f>
      </c>
      <c r="AH103" s="50">
        <f>ROUND(IF(AQ103="0",BJ103,0),2)</f>
      </c>
      <c r="AI103" s="28" t="s">
        <v>182</v>
      </c>
      <c r="AJ103" s="50">
        <f>IF(AN103=0,K103,0)</f>
      </c>
      <c r="AK103" s="50">
        <f>IF(AN103=12,K103,0)</f>
      </c>
      <c r="AL103" s="50">
        <f>IF(AN103=21,K103,0)</f>
      </c>
      <c r="AN103" s="50" t="n">
        <v>21</v>
      </c>
      <c r="AO103" s="50">
        <f>H103*1</f>
      </c>
      <c r="AP103" s="50">
        <f>H103*(1-1)</f>
      </c>
      <c r="AQ103" s="52" t="s">
        <v>135</v>
      </c>
      <c r="AV103" s="50">
        <f>ROUND(AW103+AX103,2)</f>
      </c>
      <c r="AW103" s="50">
        <f>ROUND(G103*AO103,2)</f>
      </c>
      <c r="AX103" s="50">
        <f>ROUND(G103*AP103,2)</f>
      </c>
      <c r="AY103" s="52" t="s">
        <v>136</v>
      </c>
      <c r="AZ103" s="52" t="s">
        <v>319</v>
      </c>
      <c r="BA103" s="28" t="s">
        <v>190</v>
      </c>
      <c r="BC103" s="50">
        <f>AW103+AX103</f>
      </c>
      <c r="BD103" s="50">
        <f>H103/(100-BE103)*100</f>
      </c>
      <c r="BE103" s="50" t="n">
        <v>0</v>
      </c>
      <c r="BF103" s="50">
        <f>103</f>
      </c>
      <c r="BH103" s="50">
        <f>G103*AO103</f>
      </c>
      <c r="BI103" s="50">
        <f>G103*AP103</f>
      </c>
      <c r="BJ103" s="50">
        <f>G103*H103</f>
      </c>
      <c r="BK103" s="52" t="s">
        <v>130</v>
      </c>
      <c r="BL103" s="50"/>
      <c r="BW103" s="50" t="n">
        <v>21</v>
      </c>
      <c r="BX103" s="14" t="s">
        <v>326</v>
      </c>
    </row>
    <row r="104">
      <c r="A104" s="45" t="s">
        <v>52</v>
      </c>
      <c r="B104" s="46" t="s">
        <v>182</v>
      </c>
      <c r="C104" s="46" t="s">
        <v>160</v>
      </c>
      <c r="D104" s="47" t="s">
        <v>161</v>
      </c>
      <c r="E104" s="46"/>
      <c r="F104" s="48" t="s">
        <v>8</v>
      </c>
      <c r="G104" s="48" t="s">
        <v>8</v>
      </c>
      <c r="H104" s="48" t="s">
        <v>8</v>
      </c>
      <c r="I104" s="2">
        <f>I105+I112+I114</f>
      </c>
      <c r="J104" s="2">
        <f>J105+J112+J114</f>
      </c>
      <c r="K104" s="2">
        <f>K105+K112+K114</f>
      </c>
      <c r="L104" s="49" t="s">
        <v>52</v>
      </c>
      <c r="AI104" s="28" t="s">
        <v>182</v>
      </c>
    </row>
    <row r="105">
      <c r="A105" s="45" t="s">
        <v>52</v>
      </c>
      <c r="B105" s="46" t="s">
        <v>182</v>
      </c>
      <c r="C105" s="46" t="s">
        <v>327</v>
      </c>
      <c r="D105" s="47" t="s">
        <v>328</v>
      </c>
      <c r="E105" s="46"/>
      <c r="F105" s="48" t="s">
        <v>8</v>
      </c>
      <c r="G105" s="48" t="s">
        <v>8</v>
      </c>
      <c r="H105" s="48" t="s">
        <v>8</v>
      </c>
      <c r="I105" s="2">
        <f>SUM(I106:I111)</f>
      </c>
      <c r="J105" s="2">
        <f>SUM(J106:J111)</f>
      </c>
      <c r="K105" s="2">
        <f>SUM(K106:K111)</f>
      </c>
      <c r="L105" s="49" t="s">
        <v>52</v>
      </c>
      <c r="AI105" s="28" t="s">
        <v>182</v>
      </c>
      <c r="AS105" s="2">
        <f>SUM(AJ106:AJ111)</f>
      </c>
      <c r="AT105" s="2">
        <f>SUM(AK106:AK111)</f>
      </c>
      <c r="AU105" s="2">
        <f>SUM(AL106:AL111)</f>
      </c>
    </row>
    <row r="106">
      <c r="A106" s="9" t="s">
        <v>329</v>
      </c>
      <c r="B106" s="10" t="s">
        <v>182</v>
      </c>
      <c r="C106" s="10" t="s">
        <v>57</v>
      </c>
      <c r="D106" s="14" t="s">
        <v>330</v>
      </c>
      <c r="E106" s="10"/>
      <c r="F106" s="10" t="s">
        <v>166</v>
      </c>
      <c r="G106" s="50" t="n">
        <v>2</v>
      </c>
      <c r="H106" s="50" t="n">
        <v>0</v>
      </c>
      <c r="I106" s="50">
        <f>ROUND(G106*AO106,2)</f>
      </c>
      <c r="J106" s="50">
        <f>ROUND(G106*AP106,2)</f>
      </c>
      <c r="K106" s="50">
        <f>ROUND(G106*H106,2)</f>
      </c>
      <c r="L106" s="51" t="s">
        <v>52</v>
      </c>
      <c r="Z106" s="50">
        <f>ROUND(IF(AQ106="5",BJ106,0),2)</f>
      </c>
      <c r="AB106" s="50">
        <f>ROUND(IF(AQ106="1",BH106,0),2)</f>
      </c>
      <c r="AC106" s="50">
        <f>ROUND(IF(AQ106="1",BI106,0),2)</f>
      </c>
      <c r="AD106" s="50">
        <f>ROUND(IF(AQ106="7",BH106,0),2)</f>
      </c>
      <c r="AE106" s="50">
        <f>ROUND(IF(AQ106="7",BI106,0),2)</f>
      </c>
      <c r="AF106" s="50">
        <f>ROUND(IF(AQ106="2",BH106,0),2)</f>
      </c>
      <c r="AG106" s="50">
        <f>ROUND(IF(AQ106="2",BI106,0),2)</f>
      </c>
      <c r="AH106" s="50">
        <f>ROUND(IF(AQ106="0",BJ106,0),2)</f>
      </c>
      <c r="AI106" s="28" t="s">
        <v>182</v>
      </c>
      <c r="AJ106" s="50">
        <f>IF(AN106=0,K106,0)</f>
      </c>
      <c r="AK106" s="50">
        <f>IF(AN106=12,K106,0)</f>
      </c>
      <c r="AL106" s="50">
        <f>IF(AN106=21,K106,0)</f>
      </c>
      <c r="AN106" s="50" t="n">
        <v>21</v>
      </c>
      <c r="AO106" s="50">
        <f>H106*0</f>
      </c>
      <c r="AP106" s="50">
        <f>H106*(1-0)</f>
      </c>
      <c r="AQ106" s="52" t="s">
        <v>167</v>
      </c>
      <c r="AV106" s="50">
        <f>ROUND(AW106+AX106,2)</f>
      </c>
      <c r="AW106" s="50">
        <f>ROUND(G106*AO106,2)</f>
      </c>
      <c r="AX106" s="50">
        <f>ROUND(G106*AP106,2)</f>
      </c>
      <c r="AY106" s="52" t="s">
        <v>331</v>
      </c>
      <c r="AZ106" s="52" t="s">
        <v>332</v>
      </c>
      <c r="BA106" s="28" t="s">
        <v>190</v>
      </c>
      <c r="BC106" s="50">
        <f>AW106+AX106</f>
      </c>
      <c r="BD106" s="50">
        <f>H106/(100-BE106)*100</f>
      </c>
      <c r="BE106" s="50" t="n">
        <v>0</v>
      </c>
      <c r="BF106" s="50">
        <f>106</f>
      </c>
      <c r="BH106" s="50">
        <f>G106*AO106</f>
      </c>
      <c r="BI106" s="50">
        <f>G106*AP106</f>
      </c>
      <c r="BJ106" s="50">
        <f>G106*H106</f>
      </c>
      <c r="BK106" s="52" t="s">
        <v>65</v>
      </c>
      <c r="BL106" s="50"/>
      <c r="BM106" s="50">
        <f>G106*H106</f>
      </c>
      <c r="BW106" s="50" t="n">
        <v>21</v>
      </c>
      <c r="BX106" s="14" t="s">
        <v>330</v>
      </c>
    </row>
    <row r="107">
      <c r="A107" s="9" t="s">
        <v>333</v>
      </c>
      <c r="B107" s="10" t="s">
        <v>182</v>
      </c>
      <c r="C107" s="10" t="s">
        <v>334</v>
      </c>
      <c r="D107" s="14" t="s">
        <v>335</v>
      </c>
      <c r="E107" s="10"/>
      <c r="F107" s="10" t="s">
        <v>166</v>
      </c>
      <c r="G107" s="50" t="n">
        <v>1</v>
      </c>
      <c r="H107" s="50" t="n">
        <v>0</v>
      </c>
      <c r="I107" s="50">
        <f>ROUND(G107*AO107,2)</f>
      </c>
      <c r="J107" s="50">
        <f>ROUND(G107*AP107,2)</f>
      </c>
      <c r="K107" s="50">
        <f>ROUND(G107*H107,2)</f>
      </c>
      <c r="L107" s="51" t="s">
        <v>61</v>
      </c>
      <c r="Z107" s="50">
        <f>ROUND(IF(AQ107="5",BJ107,0),2)</f>
      </c>
      <c r="AB107" s="50">
        <f>ROUND(IF(AQ107="1",BH107,0),2)</f>
      </c>
      <c r="AC107" s="50">
        <f>ROUND(IF(AQ107="1",BI107,0),2)</f>
      </c>
      <c r="AD107" s="50">
        <f>ROUND(IF(AQ107="7",BH107,0),2)</f>
      </c>
      <c r="AE107" s="50">
        <f>ROUND(IF(AQ107="7",BI107,0),2)</f>
      </c>
      <c r="AF107" s="50">
        <f>ROUND(IF(AQ107="2",BH107,0),2)</f>
      </c>
      <c r="AG107" s="50">
        <f>ROUND(IF(AQ107="2",BI107,0),2)</f>
      </c>
      <c r="AH107" s="50">
        <f>ROUND(IF(AQ107="0",BJ107,0),2)</f>
      </c>
      <c r="AI107" s="28" t="s">
        <v>182</v>
      </c>
      <c r="AJ107" s="50">
        <f>IF(AN107=0,K107,0)</f>
      </c>
      <c r="AK107" s="50">
        <f>IF(AN107=12,K107,0)</f>
      </c>
      <c r="AL107" s="50">
        <f>IF(AN107=21,K107,0)</f>
      </c>
      <c r="AN107" s="50" t="n">
        <v>21</v>
      </c>
      <c r="AO107" s="50">
        <f>H107*0</f>
      </c>
      <c r="AP107" s="50">
        <f>H107*(1-0)</f>
      </c>
      <c r="AQ107" s="52" t="s">
        <v>167</v>
      </c>
      <c r="AV107" s="50">
        <f>ROUND(AW107+AX107,2)</f>
      </c>
      <c r="AW107" s="50">
        <f>ROUND(G107*AO107,2)</f>
      </c>
      <c r="AX107" s="50">
        <f>ROUND(G107*AP107,2)</f>
      </c>
      <c r="AY107" s="52" t="s">
        <v>331</v>
      </c>
      <c r="AZ107" s="52" t="s">
        <v>332</v>
      </c>
      <c r="BA107" s="28" t="s">
        <v>190</v>
      </c>
      <c r="BC107" s="50">
        <f>AW107+AX107</f>
      </c>
      <c r="BD107" s="50">
        <f>H107/(100-BE107)*100</f>
      </c>
      <c r="BE107" s="50" t="n">
        <v>0</v>
      </c>
      <c r="BF107" s="50">
        <f>107</f>
      </c>
      <c r="BH107" s="50">
        <f>G107*AO107</f>
      </c>
      <c r="BI107" s="50">
        <f>G107*AP107</f>
      </c>
      <c r="BJ107" s="50">
        <f>G107*H107</f>
      </c>
      <c r="BK107" s="52" t="s">
        <v>65</v>
      </c>
      <c r="BL107" s="50"/>
      <c r="BM107" s="50">
        <f>G107*H107</f>
      </c>
      <c r="BW107" s="50" t="n">
        <v>21</v>
      </c>
      <c r="BX107" s="14" t="s">
        <v>335</v>
      </c>
    </row>
    <row r="108">
      <c r="A108" s="9" t="s">
        <v>336</v>
      </c>
      <c r="B108" s="10" t="s">
        <v>182</v>
      </c>
      <c r="C108" s="10" t="s">
        <v>337</v>
      </c>
      <c r="D108" s="14" t="s">
        <v>338</v>
      </c>
      <c r="E108" s="10"/>
      <c r="F108" s="10" t="s">
        <v>166</v>
      </c>
      <c r="G108" s="50" t="n">
        <v>1</v>
      </c>
      <c r="H108" s="50" t="n">
        <v>0</v>
      </c>
      <c r="I108" s="50">
        <f>ROUND(G108*AO108,2)</f>
      </c>
      <c r="J108" s="50">
        <f>ROUND(G108*AP108,2)</f>
      </c>
      <c r="K108" s="50">
        <f>ROUND(G108*H108,2)</f>
      </c>
      <c r="L108" s="51" t="s">
        <v>61</v>
      </c>
      <c r="Z108" s="50">
        <f>ROUND(IF(AQ108="5",BJ108,0),2)</f>
      </c>
      <c r="AB108" s="50">
        <f>ROUND(IF(AQ108="1",BH108,0),2)</f>
      </c>
      <c r="AC108" s="50">
        <f>ROUND(IF(AQ108="1",BI108,0),2)</f>
      </c>
      <c r="AD108" s="50">
        <f>ROUND(IF(AQ108="7",BH108,0),2)</f>
      </c>
      <c r="AE108" s="50">
        <f>ROUND(IF(AQ108="7",BI108,0),2)</f>
      </c>
      <c r="AF108" s="50">
        <f>ROUND(IF(AQ108="2",BH108,0),2)</f>
      </c>
      <c r="AG108" s="50">
        <f>ROUND(IF(AQ108="2",BI108,0),2)</f>
      </c>
      <c r="AH108" s="50">
        <f>ROUND(IF(AQ108="0",BJ108,0),2)</f>
      </c>
      <c r="AI108" s="28" t="s">
        <v>182</v>
      </c>
      <c r="AJ108" s="50">
        <f>IF(AN108=0,K108,0)</f>
      </c>
      <c r="AK108" s="50">
        <f>IF(AN108=12,K108,0)</f>
      </c>
      <c r="AL108" s="50">
        <f>IF(AN108=21,K108,0)</f>
      </c>
      <c r="AN108" s="50" t="n">
        <v>21</v>
      </c>
      <c r="AO108" s="50">
        <f>H108*0</f>
      </c>
      <c r="AP108" s="50">
        <f>H108*(1-0)</f>
      </c>
      <c r="AQ108" s="52" t="s">
        <v>167</v>
      </c>
      <c r="AV108" s="50">
        <f>ROUND(AW108+AX108,2)</f>
      </c>
      <c r="AW108" s="50">
        <f>ROUND(G108*AO108,2)</f>
      </c>
      <c r="AX108" s="50">
        <f>ROUND(G108*AP108,2)</f>
      </c>
      <c r="AY108" s="52" t="s">
        <v>331</v>
      </c>
      <c r="AZ108" s="52" t="s">
        <v>332</v>
      </c>
      <c r="BA108" s="28" t="s">
        <v>190</v>
      </c>
      <c r="BC108" s="50">
        <f>AW108+AX108</f>
      </c>
      <c r="BD108" s="50">
        <f>H108/(100-BE108)*100</f>
      </c>
      <c r="BE108" s="50" t="n">
        <v>0</v>
      </c>
      <c r="BF108" s="50">
        <f>108</f>
      </c>
      <c r="BH108" s="50">
        <f>G108*AO108</f>
      </c>
      <c r="BI108" s="50">
        <f>G108*AP108</f>
      </c>
      <c r="BJ108" s="50">
        <f>G108*H108</f>
      </c>
      <c r="BK108" s="52" t="s">
        <v>65</v>
      </c>
      <c r="BL108" s="50"/>
      <c r="BM108" s="50">
        <f>G108*H108</f>
      </c>
      <c r="BW108" s="50" t="n">
        <v>21</v>
      </c>
      <c r="BX108" s="14" t="s">
        <v>338</v>
      </c>
    </row>
    <row r="109">
      <c r="A109" s="9" t="s">
        <v>339</v>
      </c>
      <c r="B109" s="10" t="s">
        <v>182</v>
      </c>
      <c r="C109" s="10" t="s">
        <v>337</v>
      </c>
      <c r="D109" s="14" t="s">
        <v>340</v>
      </c>
      <c r="E109" s="10"/>
      <c r="F109" s="10" t="s">
        <v>166</v>
      </c>
      <c r="G109" s="50" t="n">
        <v>8</v>
      </c>
      <c r="H109" s="50" t="n">
        <v>0</v>
      </c>
      <c r="I109" s="50">
        <f>ROUND(G109*AO109,2)</f>
      </c>
      <c r="J109" s="50">
        <f>ROUND(G109*AP109,2)</f>
      </c>
      <c r="K109" s="50">
        <f>ROUND(G109*H109,2)</f>
      </c>
      <c r="L109" s="51" t="s">
        <v>61</v>
      </c>
      <c r="Z109" s="50">
        <f>ROUND(IF(AQ109="5",BJ109,0),2)</f>
      </c>
      <c r="AB109" s="50">
        <f>ROUND(IF(AQ109="1",BH109,0),2)</f>
      </c>
      <c r="AC109" s="50">
        <f>ROUND(IF(AQ109="1",BI109,0),2)</f>
      </c>
      <c r="AD109" s="50">
        <f>ROUND(IF(AQ109="7",BH109,0),2)</f>
      </c>
      <c r="AE109" s="50">
        <f>ROUND(IF(AQ109="7",BI109,0),2)</f>
      </c>
      <c r="AF109" s="50">
        <f>ROUND(IF(AQ109="2",BH109,0),2)</f>
      </c>
      <c r="AG109" s="50">
        <f>ROUND(IF(AQ109="2",BI109,0),2)</f>
      </c>
      <c r="AH109" s="50">
        <f>ROUND(IF(AQ109="0",BJ109,0),2)</f>
      </c>
      <c r="AI109" s="28" t="s">
        <v>182</v>
      </c>
      <c r="AJ109" s="50">
        <f>IF(AN109=0,K109,0)</f>
      </c>
      <c r="AK109" s="50">
        <f>IF(AN109=12,K109,0)</f>
      </c>
      <c r="AL109" s="50">
        <f>IF(AN109=21,K109,0)</f>
      </c>
      <c r="AN109" s="50" t="n">
        <v>21</v>
      </c>
      <c r="AO109" s="50">
        <f>H109*0</f>
      </c>
      <c r="AP109" s="50">
        <f>H109*(1-0)</f>
      </c>
      <c r="AQ109" s="52" t="s">
        <v>167</v>
      </c>
      <c r="AV109" s="50">
        <f>ROUND(AW109+AX109,2)</f>
      </c>
      <c r="AW109" s="50">
        <f>ROUND(G109*AO109,2)</f>
      </c>
      <c r="AX109" s="50">
        <f>ROUND(G109*AP109,2)</f>
      </c>
      <c r="AY109" s="52" t="s">
        <v>331</v>
      </c>
      <c r="AZ109" s="52" t="s">
        <v>332</v>
      </c>
      <c r="BA109" s="28" t="s">
        <v>190</v>
      </c>
      <c r="BC109" s="50">
        <f>AW109+AX109</f>
      </c>
      <c r="BD109" s="50">
        <f>H109/(100-BE109)*100</f>
      </c>
      <c r="BE109" s="50" t="n">
        <v>0</v>
      </c>
      <c r="BF109" s="50">
        <f>109</f>
      </c>
      <c r="BH109" s="50">
        <f>G109*AO109</f>
      </c>
      <c r="BI109" s="50">
        <f>G109*AP109</f>
      </c>
      <c r="BJ109" s="50">
        <f>G109*H109</f>
      </c>
      <c r="BK109" s="52" t="s">
        <v>65</v>
      </c>
      <c r="BL109" s="50"/>
      <c r="BM109" s="50">
        <f>G109*H109</f>
      </c>
      <c r="BW109" s="50" t="n">
        <v>21</v>
      </c>
      <c r="BX109" s="14" t="s">
        <v>340</v>
      </c>
    </row>
    <row r="110" customHeight="true" ht="13.5">
      <c r="A110" s="53"/>
      <c r="C110" s="54" t="s">
        <v>191</v>
      </c>
      <c r="D110" s="55" t="s">
        <v>341</v>
      </c>
      <c r="E110" s="56"/>
      <c r="F110" s="56"/>
      <c r="G110" s="56"/>
      <c r="H110" s="56"/>
      <c r="I110" s="56"/>
      <c r="J110" s="56"/>
      <c r="K110" s="56"/>
      <c r="L110" s="57"/>
    </row>
    <row r="111">
      <c r="A111" s="9" t="s">
        <v>342</v>
      </c>
      <c r="B111" s="10" t="s">
        <v>182</v>
      </c>
      <c r="C111" s="10" t="s">
        <v>337</v>
      </c>
      <c r="D111" s="14" t="s">
        <v>343</v>
      </c>
      <c r="E111" s="10"/>
      <c r="F111" s="10" t="s">
        <v>166</v>
      </c>
      <c r="G111" s="50" t="n">
        <v>1</v>
      </c>
      <c r="H111" s="50" t="n">
        <v>0</v>
      </c>
      <c r="I111" s="50">
        <f>ROUND(G111*AO111,2)</f>
      </c>
      <c r="J111" s="50">
        <f>ROUND(G111*AP111,2)</f>
      </c>
      <c r="K111" s="50">
        <f>ROUND(G111*H111,2)</f>
      </c>
      <c r="L111" s="51" t="s">
        <v>61</v>
      </c>
      <c r="Z111" s="50">
        <f>ROUND(IF(AQ111="5",BJ111,0),2)</f>
      </c>
      <c r="AB111" s="50">
        <f>ROUND(IF(AQ111="1",BH111,0),2)</f>
      </c>
      <c r="AC111" s="50">
        <f>ROUND(IF(AQ111="1",BI111,0),2)</f>
      </c>
      <c r="AD111" s="50">
        <f>ROUND(IF(AQ111="7",BH111,0),2)</f>
      </c>
      <c r="AE111" s="50">
        <f>ROUND(IF(AQ111="7",BI111,0),2)</f>
      </c>
      <c r="AF111" s="50">
        <f>ROUND(IF(AQ111="2",BH111,0),2)</f>
      </c>
      <c r="AG111" s="50">
        <f>ROUND(IF(AQ111="2",BI111,0),2)</f>
      </c>
      <c r="AH111" s="50">
        <f>ROUND(IF(AQ111="0",BJ111,0),2)</f>
      </c>
      <c r="AI111" s="28" t="s">
        <v>182</v>
      </c>
      <c r="AJ111" s="50">
        <f>IF(AN111=0,K111,0)</f>
      </c>
      <c r="AK111" s="50">
        <f>IF(AN111=12,K111,0)</f>
      </c>
      <c r="AL111" s="50">
        <f>IF(AN111=21,K111,0)</f>
      </c>
      <c r="AN111" s="50" t="n">
        <v>21</v>
      </c>
      <c r="AO111" s="50">
        <f>H111*0</f>
      </c>
      <c r="AP111" s="50">
        <f>H111*(1-0)</f>
      </c>
      <c r="AQ111" s="52" t="s">
        <v>167</v>
      </c>
      <c r="AV111" s="50">
        <f>ROUND(AW111+AX111,2)</f>
      </c>
      <c r="AW111" s="50">
        <f>ROUND(G111*AO111,2)</f>
      </c>
      <c r="AX111" s="50">
        <f>ROUND(G111*AP111,2)</f>
      </c>
      <c r="AY111" s="52" t="s">
        <v>331</v>
      </c>
      <c r="AZ111" s="52" t="s">
        <v>332</v>
      </c>
      <c r="BA111" s="28" t="s">
        <v>190</v>
      </c>
      <c r="BC111" s="50">
        <f>AW111+AX111</f>
      </c>
      <c r="BD111" s="50">
        <f>H111/(100-BE111)*100</f>
      </c>
      <c r="BE111" s="50" t="n">
        <v>0</v>
      </c>
      <c r="BF111" s="50">
        <f>111</f>
      </c>
      <c r="BH111" s="50">
        <f>G111*AO111</f>
      </c>
      <c r="BI111" s="50">
        <f>G111*AP111</f>
      </c>
      <c r="BJ111" s="50">
        <f>G111*H111</f>
      </c>
      <c r="BK111" s="52" t="s">
        <v>65</v>
      </c>
      <c r="BL111" s="50"/>
      <c r="BM111" s="50">
        <f>G111*H111</f>
      </c>
      <c r="BW111" s="50" t="n">
        <v>21</v>
      </c>
      <c r="BX111" s="14" t="s">
        <v>343</v>
      </c>
    </row>
    <row r="112">
      <c r="A112" s="45" t="s">
        <v>52</v>
      </c>
      <c r="B112" s="46" t="s">
        <v>182</v>
      </c>
      <c r="C112" s="46" t="s">
        <v>170</v>
      </c>
      <c r="D112" s="47" t="s">
        <v>171</v>
      </c>
      <c r="E112" s="46"/>
      <c r="F112" s="48" t="s">
        <v>8</v>
      </c>
      <c r="G112" s="48" t="s">
        <v>8</v>
      </c>
      <c r="H112" s="48" t="s">
        <v>8</v>
      </c>
      <c r="I112" s="2">
        <f>SUM(I113:I113)</f>
      </c>
      <c r="J112" s="2">
        <f>SUM(J113:J113)</f>
      </c>
      <c r="K112" s="2">
        <f>SUM(K113:K113)</f>
      </c>
      <c r="L112" s="49" t="s">
        <v>52</v>
      </c>
      <c r="AI112" s="28" t="s">
        <v>182</v>
      </c>
      <c r="AS112" s="2">
        <f>SUM(AJ113:AJ113)</f>
      </c>
      <c r="AT112" s="2">
        <f>SUM(AK113:AK113)</f>
      </c>
      <c r="AU112" s="2">
        <f>SUM(AL113:AL113)</f>
      </c>
    </row>
    <row r="113">
      <c r="A113" s="9" t="s">
        <v>344</v>
      </c>
      <c r="B113" s="10" t="s">
        <v>182</v>
      </c>
      <c r="C113" s="10" t="s">
        <v>345</v>
      </c>
      <c r="D113" s="14" t="s">
        <v>346</v>
      </c>
      <c r="E113" s="10"/>
      <c r="F113" s="10" t="s">
        <v>166</v>
      </c>
      <c r="G113" s="50" t="n">
        <v>2</v>
      </c>
      <c r="H113" s="50" t="n">
        <v>0</v>
      </c>
      <c r="I113" s="50">
        <f>ROUND(G113*AO113,2)</f>
      </c>
      <c r="J113" s="50">
        <f>ROUND(G113*AP113,2)</f>
      </c>
      <c r="K113" s="50">
        <f>ROUND(G113*H113,2)</f>
      </c>
      <c r="L113" s="51" t="s">
        <v>61</v>
      </c>
      <c r="Z113" s="50">
        <f>ROUND(IF(AQ113="5",BJ113,0),2)</f>
      </c>
      <c r="AB113" s="50">
        <f>ROUND(IF(AQ113="1",BH113,0),2)</f>
      </c>
      <c r="AC113" s="50">
        <f>ROUND(IF(AQ113="1",BI113,0),2)</f>
      </c>
      <c r="AD113" s="50">
        <f>ROUND(IF(AQ113="7",BH113,0),2)</f>
      </c>
      <c r="AE113" s="50">
        <f>ROUND(IF(AQ113="7",BI113,0),2)</f>
      </c>
      <c r="AF113" s="50">
        <f>ROUND(IF(AQ113="2",BH113,0),2)</f>
      </c>
      <c r="AG113" s="50">
        <f>ROUND(IF(AQ113="2",BI113,0),2)</f>
      </c>
      <c r="AH113" s="50">
        <f>ROUND(IF(AQ113="0",BJ113,0),2)</f>
      </c>
      <c r="AI113" s="28" t="s">
        <v>182</v>
      </c>
      <c r="AJ113" s="50">
        <f>IF(AN113=0,K113,0)</f>
      </c>
      <c r="AK113" s="50">
        <f>IF(AN113=12,K113,0)</f>
      </c>
      <c r="AL113" s="50">
        <f>IF(AN113=21,K113,0)</f>
      </c>
      <c r="AN113" s="50" t="n">
        <v>21</v>
      </c>
      <c r="AO113" s="50">
        <f>H113*0</f>
      </c>
      <c r="AP113" s="50">
        <f>H113*(1-0)</f>
      </c>
      <c r="AQ113" s="52" t="s">
        <v>167</v>
      </c>
      <c r="AV113" s="50">
        <f>ROUND(AW113+AX113,2)</f>
      </c>
      <c r="AW113" s="50">
        <f>ROUND(G113*AO113,2)</f>
      </c>
      <c r="AX113" s="50">
        <f>ROUND(G113*AP113,2)</f>
      </c>
      <c r="AY113" s="52" t="s">
        <v>175</v>
      </c>
      <c r="AZ113" s="52" t="s">
        <v>332</v>
      </c>
      <c r="BA113" s="28" t="s">
        <v>190</v>
      </c>
      <c r="BC113" s="50">
        <f>AW113+AX113</f>
      </c>
      <c r="BD113" s="50">
        <f>H113/(100-BE113)*100</f>
      </c>
      <c r="BE113" s="50" t="n">
        <v>0</v>
      </c>
      <c r="BF113" s="50">
        <f>113</f>
      </c>
      <c r="BH113" s="50">
        <f>G113*AO113</f>
      </c>
      <c r="BI113" s="50">
        <f>G113*AP113</f>
      </c>
      <c r="BJ113" s="50">
        <f>G113*H113</f>
      </c>
      <c r="BK113" s="52" t="s">
        <v>65</v>
      </c>
      <c r="BL113" s="50"/>
      <c r="BP113" s="50">
        <f>G113*H113</f>
      </c>
      <c r="BW113" s="50" t="n">
        <v>21</v>
      </c>
      <c r="BX113" s="14" t="s">
        <v>346</v>
      </c>
    </row>
    <row r="114">
      <c r="A114" s="45" t="s">
        <v>52</v>
      </c>
      <c r="B114" s="46" t="s">
        <v>182</v>
      </c>
      <c r="C114" s="46" t="s">
        <v>176</v>
      </c>
      <c r="D114" s="47" t="s">
        <v>177</v>
      </c>
      <c r="E114" s="46"/>
      <c r="F114" s="48" t="s">
        <v>8</v>
      </c>
      <c r="G114" s="48" t="s">
        <v>8</v>
      </c>
      <c r="H114" s="48" t="s">
        <v>8</v>
      </c>
      <c r="I114" s="2">
        <f>SUM(I115:I115)</f>
      </c>
      <c r="J114" s="2">
        <f>SUM(J115:J115)</f>
      </c>
      <c r="K114" s="2">
        <f>SUM(K115:K115)</f>
      </c>
      <c r="L114" s="49" t="s">
        <v>52</v>
      </c>
      <c r="AI114" s="28" t="s">
        <v>182</v>
      </c>
      <c r="AS114" s="2">
        <f>SUM(AJ115:AJ115)</f>
      </c>
      <c r="AT114" s="2">
        <f>SUM(AK115:AK115)</f>
      </c>
      <c r="AU114" s="2">
        <f>SUM(AL115:AL115)</f>
      </c>
    </row>
    <row r="115">
      <c r="A115" s="9" t="s">
        <v>347</v>
      </c>
      <c r="B115" s="10" t="s">
        <v>182</v>
      </c>
      <c r="C115" s="10" t="s">
        <v>179</v>
      </c>
      <c r="D115" s="14" t="s">
        <v>180</v>
      </c>
      <c r="E115" s="10"/>
      <c r="F115" s="10" t="s">
        <v>166</v>
      </c>
      <c r="G115" s="50" t="n">
        <v>1</v>
      </c>
      <c r="H115" s="50" t="n">
        <v>0</v>
      </c>
      <c r="I115" s="50">
        <f>ROUND(G115*AO115,2)</f>
      </c>
      <c r="J115" s="50">
        <f>ROUND(G115*AP115,2)</f>
      </c>
      <c r="K115" s="50">
        <f>ROUND(G115*H115,2)</f>
      </c>
      <c r="L115" s="51" t="s">
        <v>61</v>
      </c>
      <c r="Z115" s="50">
        <f>ROUND(IF(AQ115="5",BJ115,0),2)</f>
      </c>
      <c r="AB115" s="50">
        <f>ROUND(IF(AQ115="1",BH115,0),2)</f>
      </c>
      <c r="AC115" s="50">
        <f>ROUND(IF(AQ115="1",BI115,0),2)</f>
      </c>
      <c r="AD115" s="50">
        <f>ROUND(IF(AQ115="7",BH115,0),2)</f>
      </c>
      <c r="AE115" s="50">
        <f>ROUND(IF(AQ115="7",BI115,0),2)</f>
      </c>
      <c r="AF115" s="50">
        <f>ROUND(IF(AQ115="2",BH115,0),2)</f>
      </c>
      <c r="AG115" s="50">
        <f>ROUND(IF(AQ115="2",BI115,0),2)</f>
      </c>
      <c r="AH115" s="50">
        <f>ROUND(IF(AQ115="0",BJ115,0),2)</f>
      </c>
      <c r="AI115" s="28" t="s">
        <v>182</v>
      </c>
      <c r="AJ115" s="50">
        <f>IF(AN115=0,K115,0)</f>
      </c>
      <c r="AK115" s="50">
        <f>IF(AN115=12,K115,0)</f>
      </c>
      <c r="AL115" s="50">
        <f>IF(AN115=21,K115,0)</f>
      </c>
      <c r="AN115" s="50" t="n">
        <v>21</v>
      </c>
      <c r="AO115" s="50">
        <f>H115*0</f>
      </c>
      <c r="AP115" s="50">
        <f>H115*(1-0)</f>
      </c>
      <c r="AQ115" s="52" t="s">
        <v>167</v>
      </c>
      <c r="AV115" s="50">
        <f>ROUND(AW115+AX115,2)</f>
      </c>
      <c r="AW115" s="50">
        <f>ROUND(G115*AO115,2)</f>
      </c>
      <c r="AX115" s="50">
        <f>ROUND(G115*AP115,2)</f>
      </c>
      <c r="AY115" s="52" t="s">
        <v>181</v>
      </c>
      <c r="AZ115" s="52" t="s">
        <v>332</v>
      </c>
      <c r="BA115" s="28" t="s">
        <v>190</v>
      </c>
      <c r="BC115" s="50">
        <f>AW115+AX115</f>
      </c>
      <c r="BD115" s="50">
        <f>H115/(100-BE115)*100</f>
      </c>
      <c r="BE115" s="50" t="n">
        <v>0</v>
      </c>
      <c r="BF115" s="50">
        <f>115</f>
      </c>
      <c r="BH115" s="50">
        <f>G115*AO115</f>
      </c>
      <c r="BI115" s="50">
        <f>G115*AP115</f>
      </c>
      <c r="BJ115" s="50">
        <f>G115*H115</f>
      </c>
      <c r="BK115" s="52" t="s">
        <v>65</v>
      </c>
      <c r="BL115" s="50"/>
      <c r="BS115" s="50">
        <f>G115*H115</f>
      </c>
      <c r="BW115" s="50" t="n">
        <v>21</v>
      </c>
      <c r="BX115" s="14" t="s">
        <v>180</v>
      </c>
    </row>
    <row r="116">
      <c r="A116" s="45" t="s">
        <v>52</v>
      </c>
      <c r="B116" s="46" t="s">
        <v>348</v>
      </c>
      <c r="C116" s="46" t="s">
        <v>52</v>
      </c>
      <c r="D116" s="47" t="s">
        <v>349</v>
      </c>
      <c r="E116" s="46"/>
      <c r="F116" s="48" t="s">
        <v>8</v>
      </c>
      <c r="G116" s="48" t="s">
        <v>8</v>
      </c>
      <c r="H116" s="48" t="s">
        <v>8</v>
      </c>
      <c r="I116" s="2">
        <f>I117+I122+I127+I133+I137+I139+I142+I145+I147+I152+I154+I156+I161+I176+I178</f>
      </c>
      <c r="J116" s="2">
        <f>J117+J122+J127+J133+J137+J139+J142+J145+J147+J152+J154+J156+J161+J176+J178</f>
      </c>
      <c r="K116" s="2">
        <f>K117+K122+K127+K133+K137+K139+K142+K145+K147+K152+K154+K156+K161+K176+K178</f>
      </c>
      <c r="L116" s="49" t="s">
        <v>52</v>
      </c>
    </row>
    <row r="117">
      <c r="A117" s="45" t="s">
        <v>52</v>
      </c>
      <c r="B117" s="46" t="s">
        <v>348</v>
      </c>
      <c r="C117" s="46" t="s">
        <v>117</v>
      </c>
      <c r="D117" s="47" t="s">
        <v>350</v>
      </c>
      <c r="E117" s="46"/>
      <c r="F117" s="48" t="s">
        <v>8</v>
      </c>
      <c r="G117" s="48" t="s">
        <v>8</v>
      </c>
      <c r="H117" s="48" t="s">
        <v>8</v>
      </c>
      <c r="I117" s="2">
        <f>SUM(I118:I121)</f>
      </c>
      <c r="J117" s="2">
        <f>SUM(J118:J121)</f>
      </c>
      <c r="K117" s="2">
        <f>SUM(K118:K121)</f>
      </c>
      <c r="L117" s="49" t="s">
        <v>52</v>
      </c>
      <c r="AI117" s="28" t="s">
        <v>348</v>
      </c>
      <c r="AS117" s="2">
        <f>SUM(AJ118:AJ121)</f>
      </c>
      <c r="AT117" s="2">
        <f>SUM(AK118:AK121)</f>
      </c>
      <c r="AU117" s="2">
        <f>SUM(AL118:AL121)</f>
      </c>
    </row>
    <row r="118">
      <c r="A118" s="9" t="s">
        <v>351</v>
      </c>
      <c r="B118" s="10" t="s">
        <v>348</v>
      </c>
      <c r="C118" s="10" t="s">
        <v>352</v>
      </c>
      <c r="D118" s="14" t="s">
        <v>353</v>
      </c>
      <c r="E118" s="10"/>
      <c r="F118" s="10" t="s">
        <v>60</v>
      </c>
      <c r="G118" s="50" t="n">
        <v>270.199</v>
      </c>
      <c r="H118" s="50" t="n">
        <v>0</v>
      </c>
      <c r="I118" s="50">
        <f>ROUND(G118*AO118,2)</f>
      </c>
      <c r="J118" s="50">
        <f>ROUND(G118*AP118,2)</f>
      </c>
      <c r="K118" s="50">
        <f>ROUND(G118*H118,2)</f>
      </c>
      <c r="L118" s="51" t="s">
        <v>61</v>
      </c>
      <c r="Z118" s="50">
        <f>ROUND(IF(AQ118="5",BJ118,0),2)</f>
      </c>
      <c r="AB118" s="50">
        <f>ROUND(IF(AQ118="1",BH118,0),2)</f>
      </c>
      <c r="AC118" s="50">
        <f>ROUND(IF(AQ118="1",BI118,0),2)</f>
      </c>
      <c r="AD118" s="50">
        <f>ROUND(IF(AQ118="7",BH118,0),2)</f>
      </c>
      <c r="AE118" s="50">
        <f>ROUND(IF(AQ118="7",BI118,0),2)</f>
      </c>
      <c r="AF118" s="50">
        <f>ROUND(IF(AQ118="2",BH118,0),2)</f>
      </c>
      <c r="AG118" s="50">
        <f>ROUND(IF(AQ118="2",BI118,0),2)</f>
      </c>
      <c r="AH118" s="50">
        <f>ROUND(IF(AQ118="0",BJ118,0),2)</f>
      </c>
      <c r="AI118" s="28" t="s">
        <v>348</v>
      </c>
      <c r="AJ118" s="50">
        <f>IF(AN118=0,K118,0)</f>
      </c>
      <c r="AK118" s="50">
        <f>IF(AN118=12,K118,0)</f>
      </c>
      <c r="AL118" s="50">
        <f>IF(AN118=21,K118,0)</f>
      </c>
      <c r="AN118" s="50" t="n">
        <v>21</v>
      </c>
      <c r="AO118" s="50">
        <f>H118*0</f>
      </c>
      <c r="AP118" s="50">
        <f>H118*(1-0)</f>
      </c>
      <c r="AQ118" s="52" t="s">
        <v>57</v>
      </c>
      <c r="AV118" s="50">
        <f>ROUND(AW118+AX118,2)</f>
      </c>
      <c r="AW118" s="50">
        <f>ROUND(G118*AO118,2)</f>
      </c>
      <c r="AX118" s="50">
        <f>ROUND(G118*AP118,2)</f>
      </c>
      <c r="AY118" s="52" t="s">
        <v>354</v>
      </c>
      <c r="AZ118" s="52" t="s">
        <v>355</v>
      </c>
      <c r="BA118" s="28" t="s">
        <v>356</v>
      </c>
      <c r="BC118" s="50">
        <f>AW118+AX118</f>
      </c>
      <c r="BD118" s="50">
        <f>H118/(100-BE118)*100</f>
      </c>
      <c r="BE118" s="50" t="n">
        <v>0</v>
      </c>
      <c r="BF118" s="50">
        <f>118</f>
      </c>
      <c r="BH118" s="50">
        <f>G118*AO118</f>
      </c>
      <c r="BI118" s="50">
        <f>G118*AP118</f>
      </c>
      <c r="BJ118" s="50">
        <f>G118*H118</f>
      </c>
      <c r="BK118" s="52" t="s">
        <v>65</v>
      </c>
      <c r="BL118" s="50" t="n">
        <v>13</v>
      </c>
      <c r="BW118" s="50" t="n">
        <v>21</v>
      </c>
      <c r="BX118" s="14" t="s">
        <v>353</v>
      </c>
    </row>
    <row r="119">
      <c r="A119" s="9" t="s">
        <v>357</v>
      </c>
      <c r="B119" s="10" t="s">
        <v>348</v>
      </c>
      <c r="C119" s="10" t="s">
        <v>358</v>
      </c>
      <c r="D119" s="14" t="s">
        <v>359</v>
      </c>
      <c r="E119" s="10"/>
      <c r="F119" s="10" t="s">
        <v>60</v>
      </c>
      <c r="G119" s="50" t="n">
        <v>135.0995</v>
      </c>
      <c r="H119" s="50" t="n">
        <v>0</v>
      </c>
      <c r="I119" s="50">
        <f>ROUND(G119*AO119,2)</f>
      </c>
      <c r="J119" s="50">
        <f>ROUND(G119*AP119,2)</f>
      </c>
      <c r="K119" s="50">
        <f>ROUND(G119*H119,2)</f>
      </c>
      <c r="L119" s="51" t="s">
        <v>61</v>
      </c>
      <c r="Z119" s="50">
        <f>ROUND(IF(AQ119="5",BJ119,0),2)</f>
      </c>
      <c r="AB119" s="50">
        <f>ROUND(IF(AQ119="1",BH119,0),2)</f>
      </c>
      <c r="AC119" s="50">
        <f>ROUND(IF(AQ119="1",BI119,0),2)</f>
      </c>
      <c r="AD119" s="50">
        <f>ROUND(IF(AQ119="7",BH119,0),2)</f>
      </c>
      <c r="AE119" s="50">
        <f>ROUND(IF(AQ119="7",BI119,0),2)</f>
      </c>
      <c r="AF119" s="50">
        <f>ROUND(IF(AQ119="2",BH119,0),2)</f>
      </c>
      <c r="AG119" s="50">
        <f>ROUND(IF(AQ119="2",BI119,0),2)</f>
      </c>
      <c r="AH119" s="50">
        <f>ROUND(IF(AQ119="0",BJ119,0),2)</f>
      </c>
      <c r="AI119" s="28" t="s">
        <v>348</v>
      </c>
      <c r="AJ119" s="50">
        <f>IF(AN119=0,K119,0)</f>
      </c>
      <c r="AK119" s="50">
        <f>IF(AN119=12,K119,0)</f>
      </c>
      <c r="AL119" s="50">
        <f>IF(AN119=21,K119,0)</f>
      </c>
      <c r="AN119" s="50" t="n">
        <v>21</v>
      </c>
      <c r="AO119" s="50">
        <f>H119*0</f>
      </c>
      <c r="AP119" s="50">
        <f>H119*(1-0)</f>
      </c>
      <c r="AQ119" s="52" t="s">
        <v>57</v>
      </c>
      <c r="AV119" s="50">
        <f>ROUND(AW119+AX119,2)</f>
      </c>
      <c r="AW119" s="50">
        <f>ROUND(G119*AO119,2)</f>
      </c>
      <c r="AX119" s="50">
        <f>ROUND(G119*AP119,2)</f>
      </c>
      <c r="AY119" s="52" t="s">
        <v>354</v>
      </c>
      <c r="AZ119" s="52" t="s">
        <v>355</v>
      </c>
      <c r="BA119" s="28" t="s">
        <v>356</v>
      </c>
      <c r="BC119" s="50">
        <f>AW119+AX119</f>
      </c>
      <c r="BD119" s="50">
        <f>H119/(100-BE119)*100</f>
      </c>
      <c r="BE119" s="50" t="n">
        <v>0</v>
      </c>
      <c r="BF119" s="50">
        <f>119</f>
      </c>
      <c r="BH119" s="50">
        <f>G119*AO119</f>
      </c>
      <c r="BI119" s="50">
        <f>G119*AP119</f>
      </c>
      <c r="BJ119" s="50">
        <f>G119*H119</f>
      </c>
      <c r="BK119" s="52" t="s">
        <v>65</v>
      </c>
      <c r="BL119" s="50" t="n">
        <v>13</v>
      </c>
      <c r="BW119" s="50" t="n">
        <v>21</v>
      </c>
      <c r="BX119" s="14" t="s">
        <v>359</v>
      </c>
    </row>
    <row r="120">
      <c r="A120" s="9" t="s">
        <v>360</v>
      </c>
      <c r="B120" s="10" t="s">
        <v>348</v>
      </c>
      <c r="C120" s="10" t="s">
        <v>361</v>
      </c>
      <c r="D120" s="14" t="s">
        <v>362</v>
      </c>
      <c r="E120" s="10"/>
      <c r="F120" s="10" t="s">
        <v>60</v>
      </c>
      <c r="G120" s="50" t="n">
        <v>79.2144</v>
      </c>
      <c r="H120" s="50" t="n">
        <v>0</v>
      </c>
      <c r="I120" s="50">
        <f>ROUND(G120*AO120,2)</f>
      </c>
      <c r="J120" s="50">
        <f>ROUND(G120*AP120,2)</f>
      </c>
      <c r="K120" s="50">
        <f>ROUND(G120*H120,2)</f>
      </c>
      <c r="L120" s="51" t="s">
        <v>61</v>
      </c>
      <c r="Z120" s="50">
        <f>ROUND(IF(AQ120="5",BJ120,0),2)</f>
      </c>
      <c r="AB120" s="50">
        <f>ROUND(IF(AQ120="1",BH120,0),2)</f>
      </c>
      <c r="AC120" s="50">
        <f>ROUND(IF(AQ120="1",BI120,0),2)</f>
      </c>
      <c r="AD120" s="50">
        <f>ROUND(IF(AQ120="7",BH120,0),2)</f>
      </c>
      <c r="AE120" s="50">
        <f>ROUND(IF(AQ120="7",BI120,0),2)</f>
      </c>
      <c r="AF120" s="50">
        <f>ROUND(IF(AQ120="2",BH120,0),2)</f>
      </c>
      <c r="AG120" s="50">
        <f>ROUND(IF(AQ120="2",BI120,0),2)</f>
      </c>
      <c r="AH120" s="50">
        <f>ROUND(IF(AQ120="0",BJ120,0),2)</f>
      </c>
      <c r="AI120" s="28" t="s">
        <v>348</v>
      </c>
      <c r="AJ120" s="50">
        <f>IF(AN120=0,K120,0)</f>
      </c>
      <c r="AK120" s="50">
        <f>IF(AN120=12,K120,0)</f>
      </c>
      <c r="AL120" s="50">
        <f>IF(AN120=21,K120,0)</f>
      </c>
      <c r="AN120" s="50" t="n">
        <v>21</v>
      </c>
      <c r="AO120" s="50">
        <f>H120*0</f>
      </c>
      <c r="AP120" s="50">
        <f>H120*(1-0)</f>
      </c>
      <c r="AQ120" s="52" t="s">
        <v>57</v>
      </c>
      <c r="AV120" s="50">
        <f>ROUND(AW120+AX120,2)</f>
      </c>
      <c r="AW120" s="50">
        <f>ROUND(G120*AO120,2)</f>
      </c>
      <c r="AX120" s="50">
        <f>ROUND(G120*AP120,2)</f>
      </c>
      <c r="AY120" s="52" t="s">
        <v>354</v>
      </c>
      <c r="AZ120" s="52" t="s">
        <v>355</v>
      </c>
      <c r="BA120" s="28" t="s">
        <v>356</v>
      </c>
      <c r="BC120" s="50">
        <f>AW120+AX120</f>
      </c>
      <c r="BD120" s="50">
        <f>H120/(100-BE120)*100</f>
      </c>
      <c r="BE120" s="50" t="n">
        <v>0</v>
      </c>
      <c r="BF120" s="50">
        <f>120</f>
      </c>
      <c r="BH120" s="50">
        <f>G120*AO120</f>
      </c>
      <c r="BI120" s="50">
        <f>G120*AP120</f>
      </c>
      <c r="BJ120" s="50">
        <f>G120*H120</f>
      </c>
      <c r="BK120" s="52" t="s">
        <v>65</v>
      </c>
      <c r="BL120" s="50" t="n">
        <v>13</v>
      </c>
      <c r="BW120" s="50" t="n">
        <v>21</v>
      </c>
      <c r="BX120" s="14" t="s">
        <v>362</v>
      </c>
    </row>
    <row r="121">
      <c r="A121" s="9" t="s">
        <v>363</v>
      </c>
      <c r="B121" s="10" t="s">
        <v>348</v>
      </c>
      <c r="C121" s="10" t="s">
        <v>364</v>
      </c>
      <c r="D121" s="14" t="s">
        <v>365</v>
      </c>
      <c r="E121" s="10"/>
      <c r="F121" s="10" t="s">
        <v>60</v>
      </c>
      <c r="G121" s="50" t="n">
        <v>39.6072</v>
      </c>
      <c r="H121" s="50" t="n">
        <v>0</v>
      </c>
      <c r="I121" s="50">
        <f>ROUND(G121*AO121,2)</f>
      </c>
      <c r="J121" s="50">
        <f>ROUND(G121*AP121,2)</f>
      </c>
      <c r="K121" s="50">
        <f>ROUND(G121*H121,2)</f>
      </c>
      <c r="L121" s="51" t="s">
        <v>61</v>
      </c>
      <c r="Z121" s="50">
        <f>ROUND(IF(AQ121="5",BJ121,0),2)</f>
      </c>
      <c r="AB121" s="50">
        <f>ROUND(IF(AQ121="1",BH121,0),2)</f>
      </c>
      <c r="AC121" s="50">
        <f>ROUND(IF(AQ121="1",BI121,0),2)</f>
      </c>
      <c r="AD121" s="50">
        <f>ROUND(IF(AQ121="7",BH121,0),2)</f>
      </c>
      <c r="AE121" s="50">
        <f>ROUND(IF(AQ121="7",BI121,0),2)</f>
      </c>
      <c r="AF121" s="50">
        <f>ROUND(IF(AQ121="2",BH121,0),2)</f>
      </c>
      <c r="AG121" s="50">
        <f>ROUND(IF(AQ121="2",BI121,0),2)</f>
      </c>
      <c r="AH121" s="50">
        <f>ROUND(IF(AQ121="0",BJ121,0),2)</f>
      </c>
      <c r="AI121" s="28" t="s">
        <v>348</v>
      </c>
      <c r="AJ121" s="50">
        <f>IF(AN121=0,K121,0)</f>
      </c>
      <c r="AK121" s="50">
        <f>IF(AN121=12,K121,0)</f>
      </c>
      <c r="AL121" s="50">
        <f>IF(AN121=21,K121,0)</f>
      </c>
      <c r="AN121" s="50" t="n">
        <v>21</v>
      </c>
      <c r="AO121" s="50">
        <f>H121*0</f>
      </c>
      <c r="AP121" s="50">
        <f>H121*(1-0)</f>
      </c>
      <c r="AQ121" s="52" t="s">
        <v>57</v>
      </c>
      <c r="AV121" s="50">
        <f>ROUND(AW121+AX121,2)</f>
      </c>
      <c r="AW121" s="50">
        <f>ROUND(G121*AO121,2)</f>
      </c>
      <c r="AX121" s="50">
        <f>ROUND(G121*AP121,2)</f>
      </c>
      <c r="AY121" s="52" t="s">
        <v>354</v>
      </c>
      <c r="AZ121" s="52" t="s">
        <v>355</v>
      </c>
      <c r="BA121" s="28" t="s">
        <v>356</v>
      </c>
      <c r="BC121" s="50">
        <f>AW121+AX121</f>
      </c>
      <c r="BD121" s="50">
        <f>H121/(100-BE121)*100</f>
      </c>
      <c r="BE121" s="50" t="n">
        <v>0</v>
      </c>
      <c r="BF121" s="50">
        <f>121</f>
      </c>
      <c r="BH121" s="50">
        <f>G121*AO121</f>
      </c>
      <c r="BI121" s="50">
        <f>G121*AP121</f>
      </c>
      <c r="BJ121" s="50">
        <f>G121*H121</f>
      </c>
      <c r="BK121" s="52" t="s">
        <v>65</v>
      </c>
      <c r="BL121" s="50" t="n">
        <v>13</v>
      </c>
      <c r="BW121" s="50" t="n">
        <v>21</v>
      </c>
      <c r="BX121" s="14" t="s">
        <v>365</v>
      </c>
    </row>
    <row r="122">
      <c r="A122" s="45" t="s">
        <v>52</v>
      </c>
      <c r="B122" s="46" t="s">
        <v>348</v>
      </c>
      <c r="C122" s="46" t="s">
        <v>124</v>
      </c>
      <c r="D122" s="47" t="s">
        <v>366</v>
      </c>
      <c r="E122" s="46"/>
      <c r="F122" s="48" t="s">
        <v>8</v>
      </c>
      <c r="G122" s="48" t="s">
        <v>8</v>
      </c>
      <c r="H122" s="48" t="s">
        <v>8</v>
      </c>
      <c r="I122" s="2">
        <f>SUM(I123:I126)</f>
      </c>
      <c r="J122" s="2">
        <f>SUM(J123:J126)</f>
      </c>
      <c r="K122" s="2">
        <f>SUM(K123:K126)</f>
      </c>
      <c r="L122" s="49" t="s">
        <v>52</v>
      </c>
      <c r="AI122" s="28" t="s">
        <v>348</v>
      </c>
      <c r="AS122" s="2">
        <f>SUM(AJ123:AJ126)</f>
      </c>
      <c r="AT122" s="2">
        <f>SUM(AK123:AK126)</f>
      </c>
      <c r="AU122" s="2">
        <f>SUM(AL123:AL126)</f>
      </c>
    </row>
    <row r="123">
      <c r="A123" s="9" t="s">
        <v>367</v>
      </c>
      <c r="B123" s="10" t="s">
        <v>348</v>
      </c>
      <c r="C123" s="10" t="s">
        <v>368</v>
      </c>
      <c r="D123" s="14" t="s">
        <v>369</v>
      </c>
      <c r="E123" s="10"/>
      <c r="F123" s="10" t="s">
        <v>197</v>
      </c>
      <c r="G123" s="50" t="n">
        <v>157.08</v>
      </c>
      <c r="H123" s="50" t="n">
        <v>0</v>
      </c>
      <c r="I123" s="50">
        <f>ROUND(G123*AO123,2)</f>
      </c>
      <c r="J123" s="50">
        <f>ROUND(G123*AP123,2)</f>
      </c>
      <c r="K123" s="50">
        <f>ROUND(G123*H123,2)</f>
      </c>
      <c r="L123" s="51" t="s">
        <v>61</v>
      </c>
      <c r="Z123" s="50">
        <f>ROUND(IF(AQ123="5",BJ123,0),2)</f>
      </c>
      <c r="AB123" s="50">
        <f>ROUND(IF(AQ123="1",BH123,0),2)</f>
      </c>
      <c r="AC123" s="50">
        <f>ROUND(IF(AQ123="1",BI123,0),2)</f>
      </c>
      <c r="AD123" s="50">
        <f>ROUND(IF(AQ123="7",BH123,0),2)</f>
      </c>
      <c r="AE123" s="50">
        <f>ROUND(IF(AQ123="7",BI123,0),2)</f>
      </c>
      <c r="AF123" s="50">
        <f>ROUND(IF(AQ123="2",BH123,0),2)</f>
      </c>
      <c r="AG123" s="50">
        <f>ROUND(IF(AQ123="2",BI123,0),2)</f>
      </c>
      <c r="AH123" s="50">
        <f>ROUND(IF(AQ123="0",BJ123,0),2)</f>
      </c>
      <c r="AI123" s="28" t="s">
        <v>348</v>
      </c>
      <c r="AJ123" s="50">
        <f>IF(AN123=0,K123,0)</f>
      </c>
      <c r="AK123" s="50">
        <f>IF(AN123=12,K123,0)</f>
      </c>
      <c r="AL123" s="50">
        <f>IF(AN123=21,K123,0)</f>
      </c>
      <c r="AN123" s="50" t="n">
        <v>21</v>
      </c>
      <c r="AO123" s="50">
        <f>H123*0.176072875</f>
      </c>
      <c r="AP123" s="50">
        <f>H123*(1-0.176072875)</f>
      </c>
      <c r="AQ123" s="52" t="s">
        <v>57</v>
      </c>
      <c r="AV123" s="50">
        <f>ROUND(AW123+AX123,2)</f>
      </c>
      <c r="AW123" s="50">
        <f>ROUND(G123*AO123,2)</f>
      </c>
      <c r="AX123" s="50">
        <f>ROUND(G123*AP123,2)</f>
      </c>
      <c r="AY123" s="52" t="s">
        <v>370</v>
      </c>
      <c r="AZ123" s="52" t="s">
        <v>355</v>
      </c>
      <c r="BA123" s="28" t="s">
        <v>356</v>
      </c>
      <c r="BC123" s="50">
        <f>AW123+AX123</f>
      </c>
      <c r="BD123" s="50">
        <f>H123/(100-BE123)*100</f>
      </c>
      <c r="BE123" s="50" t="n">
        <v>0</v>
      </c>
      <c r="BF123" s="50">
        <f>123</f>
      </c>
      <c r="BH123" s="50">
        <f>G123*AO123</f>
      </c>
      <c r="BI123" s="50">
        <f>G123*AP123</f>
      </c>
      <c r="BJ123" s="50">
        <f>G123*H123</f>
      </c>
      <c r="BK123" s="52" t="s">
        <v>65</v>
      </c>
      <c r="BL123" s="50" t="n">
        <v>15</v>
      </c>
      <c r="BW123" s="50" t="n">
        <v>21</v>
      </c>
      <c r="BX123" s="14" t="s">
        <v>369</v>
      </c>
    </row>
    <row r="124">
      <c r="A124" s="9" t="s">
        <v>371</v>
      </c>
      <c r="B124" s="10" t="s">
        <v>348</v>
      </c>
      <c r="C124" s="10" t="s">
        <v>372</v>
      </c>
      <c r="D124" s="14" t="s">
        <v>373</v>
      </c>
      <c r="E124" s="10"/>
      <c r="F124" s="10" t="s">
        <v>197</v>
      </c>
      <c r="G124" s="50" t="n">
        <v>157.08</v>
      </c>
      <c r="H124" s="50" t="n">
        <v>0</v>
      </c>
      <c r="I124" s="50">
        <f>ROUND(G124*AO124,2)</f>
      </c>
      <c r="J124" s="50">
        <f>ROUND(G124*AP124,2)</f>
      </c>
      <c r="K124" s="50">
        <f>ROUND(G124*H124,2)</f>
      </c>
      <c r="L124" s="51" t="s">
        <v>61</v>
      </c>
      <c r="Z124" s="50">
        <f>ROUND(IF(AQ124="5",BJ124,0),2)</f>
      </c>
      <c r="AB124" s="50">
        <f>ROUND(IF(AQ124="1",BH124,0),2)</f>
      </c>
      <c r="AC124" s="50">
        <f>ROUND(IF(AQ124="1",BI124,0),2)</f>
      </c>
      <c r="AD124" s="50">
        <f>ROUND(IF(AQ124="7",BH124,0),2)</f>
      </c>
      <c r="AE124" s="50">
        <f>ROUND(IF(AQ124="7",BI124,0),2)</f>
      </c>
      <c r="AF124" s="50">
        <f>ROUND(IF(AQ124="2",BH124,0),2)</f>
      </c>
      <c r="AG124" s="50">
        <f>ROUND(IF(AQ124="2",BI124,0),2)</f>
      </c>
      <c r="AH124" s="50">
        <f>ROUND(IF(AQ124="0",BJ124,0),2)</f>
      </c>
      <c r="AI124" s="28" t="s">
        <v>348</v>
      </c>
      <c r="AJ124" s="50">
        <f>IF(AN124=0,K124,0)</f>
      </c>
      <c r="AK124" s="50">
        <f>IF(AN124=12,K124,0)</f>
      </c>
      <c r="AL124" s="50">
        <f>IF(AN124=21,K124,0)</f>
      </c>
      <c r="AN124" s="50" t="n">
        <v>21</v>
      </c>
      <c r="AO124" s="50">
        <f>H124*0</f>
      </c>
      <c r="AP124" s="50">
        <f>H124*(1-0)</f>
      </c>
      <c r="AQ124" s="52" t="s">
        <v>57</v>
      </c>
      <c r="AV124" s="50">
        <f>ROUND(AW124+AX124,2)</f>
      </c>
      <c r="AW124" s="50">
        <f>ROUND(G124*AO124,2)</f>
      </c>
      <c r="AX124" s="50">
        <f>ROUND(G124*AP124,2)</f>
      </c>
      <c r="AY124" s="52" t="s">
        <v>370</v>
      </c>
      <c r="AZ124" s="52" t="s">
        <v>355</v>
      </c>
      <c r="BA124" s="28" t="s">
        <v>356</v>
      </c>
      <c r="BC124" s="50">
        <f>AW124+AX124</f>
      </c>
      <c r="BD124" s="50">
        <f>H124/(100-BE124)*100</f>
      </c>
      <c r="BE124" s="50" t="n">
        <v>0</v>
      </c>
      <c r="BF124" s="50">
        <f>124</f>
      </c>
      <c r="BH124" s="50">
        <f>G124*AO124</f>
      </c>
      <c r="BI124" s="50">
        <f>G124*AP124</f>
      </c>
      <c r="BJ124" s="50">
        <f>G124*H124</f>
      </c>
      <c r="BK124" s="52" t="s">
        <v>65</v>
      </c>
      <c r="BL124" s="50" t="n">
        <v>15</v>
      </c>
      <c r="BW124" s="50" t="n">
        <v>21</v>
      </c>
      <c r="BX124" s="14" t="s">
        <v>373</v>
      </c>
    </row>
    <row r="125">
      <c r="A125" s="9" t="s">
        <v>374</v>
      </c>
      <c r="B125" s="10" t="s">
        <v>348</v>
      </c>
      <c r="C125" s="10" t="s">
        <v>375</v>
      </c>
      <c r="D125" s="14" t="s">
        <v>376</v>
      </c>
      <c r="E125" s="10"/>
      <c r="F125" s="10" t="s">
        <v>60</v>
      </c>
      <c r="G125" s="50" t="n">
        <v>264.956</v>
      </c>
      <c r="H125" s="50" t="n">
        <v>0</v>
      </c>
      <c r="I125" s="50">
        <f>ROUND(G125*AO125,2)</f>
      </c>
      <c r="J125" s="50">
        <f>ROUND(G125*AP125,2)</f>
      </c>
      <c r="K125" s="50">
        <f>ROUND(G125*H125,2)</f>
      </c>
      <c r="L125" s="51" t="s">
        <v>61</v>
      </c>
      <c r="Z125" s="50">
        <f>ROUND(IF(AQ125="5",BJ125,0),2)</f>
      </c>
      <c r="AB125" s="50">
        <f>ROUND(IF(AQ125="1",BH125,0),2)</f>
      </c>
      <c r="AC125" s="50">
        <f>ROUND(IF(AQ125="1",BI125,0),2)</f>
      </c>
      <c r="AD125" s="50">
        <f>ROUND(IF(AQ125="7",BH125,0),2)</f>
      </c>
      <c r="AE125" s="50">
        <f>ROUND(IF(AQ125="7",BI125,0),2)</f>
      </c>
      <c r="AF125" s="50">
        <f>ROUND(IF(AQ125="2",BH125,0),2)</f>
      </c>
      <c r="AG125" s="50">
        <f>ROUND(IF(AQ125="2",BI125,0),2)</f>
      </c>
      <c r="AH125" s="50">
        <f>ROUND(IF(AQ125="0",BJ125,0),2)</f>
      </c>
      <c r="AI125" s="28" t="s">
        <v>348</v>
      </c>
      <c r="AJ125" s="50">
        <f>IF(AN125=0,K125,0)</f>
      </c>
      <c r="AK125" s="50">
        <f>IF(AN125=12,K125,0)</f>
      </c>
      <c r="AL125" s="50">
        <f>IF(AN125=21,K125,0)</f>
      </c>
      <c r="AN125" s="50" t="n">
        <v>21</v>
      </c>
      <c r="AO125" s="50">
        <f>H125*0.044381479</f>
      </c>
      <c r="AP125" s="50">
        <f>H125*(1-0.044381479)</f>
      </c>
      <c r="AQ125" s="52" t="s">
        <v>57</v>
      </c>
      <c r="AV125" s="50">
        <f>ROUND(AW125+AX125,2)</f>
      </c>
      <c r="AW125" s="50">
        <f>ROUND(G125*AO125,2)</f>
      </c>
      <c r="AX125" s="50">
        <f>ROUND(G125*AP125,2)</f>
      </c>
      <c r="AY125" s="52" t="s">
        <v>370</v>
      </c>
      <c r="AZ125" s="52" t="s">
        <v>355</v>
      </c>
      <c r="BA125" s="28" t="s">
        <v>356</v>
      </c>
      <c r="BC125" s="50">
        <f>AW125+AX125</f>
      </c>
      <c r="BD125" s="50">
        <f>H125/(100-BE125)*100</f>
      </c>
      <c r="BE125" s="50" t="n">
        <v>0</v>
      </c>
      <c r="BF125" s="50">
        <f>125</f>
      </c>
      <c r="BH125" s="50">
        <f>G125*AO125</f>
      </c>
      <c r="BI125" s="50">
        <f>G125*AP125</f>
      </c>
      <c r="BJ125" s="50">
        <f>G125*H125</f>
      </c>
      <c r="BK125" s="52" t="s">
        <v>65</v>
      </c>
      <c r="BL125" s="50" t="n">
        <v>15</v>
      </c>
      <c r="BW125" s="50" t="n">
        <v>21</v>
      </c>
      <c r="BX125" s="14" t="s">
        <v>376</v>
      </c>
    </row>
    <row r="126">
      <c r="A126" s="9" t="s">
        <v>377</v>
      </c>
      <c r="B126" s="10" t="s">
        <v>348</v>
      </c>
      <c r="C126" s="10" t="s">
        <v>378</v>
      </c>
      <c r="D126" s="14" t="s">
        <v>379</v>
      </c>
      <c r="E126" s="10"/>
      <c r="F126" s="10" t="s">
        <v>60</v>
      </c>
      <c r="G126" s="50" t="n">
        <v>264.956</v>
      </c>
      <c r="H126" s="50" t="n">
        <v>0</v>
      </c>
      <c r="I126" s="50">
        <f>ROUND(G126*AO126,2)</f>
      </c>
      <c r="J126" s="50">
        <f>ROUND(G126*AP126,2)</f>
      </c>
      <c r="K126" s="50">
        <f>ROUND(G126*H126,2)</f>
      </c>
      <c r="L126" s="51" t="s">
        <v>61</v>
      </c>
      <c r="Z126" s="50">
        <f>ROUND(IF(AQ126="5",BJ126,0),2)</f>
      </c>
      <c r="AB126" s="50">
        <f>ROUND(IF(AQ126="1",BH126,0),2)</f>
      </c>
      <c r="AC126" s="50">
        <f>ROUND(IF(AQ126="1",BI126,0),2)</f>
      </c>
      <c r="AD126" s="50">
        <f>ROUND(IF(AQ126="7",BH126,0),2)</f>
      </c>
      <c r="AE126" s="50">
        <f>ROUND(IF(AQ126="7",BI126,0),2)</f>
      </c>
      <c r="AF126" s="50">
        <f>ROUND(IF(AQ126="2",BH126,0),2)</f>
      </c>
      <c r="AG126" s="50">
        <f>ROUND(IF(AQ126="2",BI126,0),2)</f>
      </c>
      <c r="AH126" s="50">
        <f>ROUND(IF(AQ126="0",BJ126,0),2)</f>
      </c>
      <c r="AI126" s="28" t="s">
        <v>348</v>
      </c>
      <c r="AJ126" s="50">
        <f>IF(AN126=0,K126,0)</f>
      </c>
      <c r="AK126" s="50">
        <f>IF(AN126=12,K126,0)</f>
      </c>
      <c r="AL126" s="50">
        <f>IF(AN126=21,K126,0)</f>
      </c>
      <c r="AN126" s="50" t="n">
        <v>21</v>
      </c>
      <c r="AO126" s="50">
        <f>H126*0</f>
      </c>
      <c r="AP126" s="50">
        <f>H126*(1-0)</f>
      </c>
      <c r="AQ126" s="52" t="s">
        <v>57</v>
      </c>
      <c r="AV126" s="50">
        <f>ROUND(AW126+AX126,2)</f>
      </c>
      <c r="AW126" s="50">
        <f>ROUND(G126*AO126,2)</f>
      </c>
      <c r="AX126" s="50">
        <f>ROUND(G126*AP126,2)</f>
      </c>
      <c r="AY126" s="52" t="s">
        <v>370</v>
      </c>
      <c r="AZ126" s="52" t="s">
        <v>355</v>
      </c>
      <c r="BA126" s="28" t="s">
        <v>356</v>
      </c>
      <c r="BC126" s="50">
        <f>AW126+AX126</f>
      </c>
      <c r="BD126" s="50">
        <f>H126/(100-BE126)*100</f>
      </c>
      <c r="BE126" s="50" t="n">
        <v>0</v>
      </c>
      <c r="BF126" s="50">
        <f>126</f>
      </c>
      <c r="BH126" s="50">
        <f>G126*AO126</f>
      </c>
      <c r="BI126" s="50">
        <f>G126*AP126</f>
      </c>
      <c r="BJ126" s="50">
        <f>G126*H126</f>
      </c>
      <c r="BK126" s="52" t="s">
        <v>65</v>
      </c>
      <c r="BL126" s="50" t="n">
        <v>15</v>
      </c>
      <c r="BW126" s="50" t="n">
        <v>21</v>
      </c>
      <c r="BX126" s="14" t="s">
        <v>379</v>
      </c>
    </row>
    <row r="127">
      <c r="A127" s="45" t="s">
        <v>52</v>
      </c>
      <c r="B127" s="46" t="s">
        <v>348</v>
      </c>
      <c r="C127" s="46" t="s">
        <v>127</v>
      </c>
      <c r="D127" s="47" t="s">
        <v>380</v>
      </c>
      <c r="E127" s="46"/>
      <c r="F127" s="48" t="s">
        <v>8</v>
      </c>
      <c r="G127" s="48" t="s">
        <v>8</v>
      </c>
      <c r="H127" s="48" t="s">
        <v>8</v>
      </c>
      <c r="I127" s="2">
        <f>SUM(I128:I132)</f>
      </c>
      <c r="J127" s="2">
        <f>SUM(J128:J132)</f>
      </c>
      <c r="K127" s="2">
        <f>SUM(K128:K132)</f>
      </c>
      <c r="L127" s="49" t="s">
        <v>52</v>
      </c>
      <c r="AI127" s="28" t="s">
        <v>348</v>
      </c>
      <c r="AS127" s="2">
        <f>SUM(AJ128:AJ132)</f>
      </c>
      <c r="AT127" s="2">
        <f>SUM(AK128:AK132)</f>
      </c>
      <c r="AU127" s="2">
        <f>SUM(AL128:AL132)</f>
      </c>
    </row>
    <row r="128">
      <c r="A128" s="9" t="s">
        <v>381</v>
      </c>
      <c r="B128" s="10" t="s">
        <v>348</v>
      </c>
      <c r="C128" s="10" t="s">
        <v>382</v>
      </c>
      <c r="D128" s="14" t="s">
        <v>383</v>
      </c>
      <c r="E128" s="10"/>
      <c r="F128" s="10" t="s">
        <v>60</v>
      </c>
      <c r="G128" s="50" t="n">
        <v>84.4574</v>
      </c>
      <c r="H128" s="50" t="n">
        <v>0</v>
      </c>
      <c r="I128" s="50">
        <f>ROUND(G128*AO128,2)</f>
      </c>
      <c r="J128" s="50">
        <f>ROUND(G128*AP128,2)</f>
      </c>
      <c r="K128" s="50">
        <f>ROUND(G128*H128,2)</f>
      </c>
      <c r="L128" s="51" t="s">
        <v>61</v>
      </c>
      <c r="Z128" s="50">
        <f>ROUND(IF(AQ128="5",BJ128,0),2)</f>
      </c>
      <c r="AB128" s="50">
        <f>ROUND(IF(AQ128="1",BH128,0),2)</f>
      </c>
      <c r="AC128" s="50">
        <f>ROUND(IF(AQ128="1",BI128,0),2)</f>
      </c>
      <c r="AD128" s="50">
        <f>ROUND(IF(AQ128="7",BH128,0),2)</f>
      </c>
      <c r="AE128" s="50">
        <f>ROUND(IF(AQ128="7",BI128,0),2)</f>
      </c>
      <c r="AF128" s="50">
        <f>ROUND(IF(AQ128="2",BH128,0),2)</f>
      </c>
      <c r="AG128" s="50">
        <f>ROUND(IF(AQ128="2",BI128,0),2)</f>
      </c>
      <c r="AH128" s="50">
        <f>ROUND(IF(AQ128="0",BJ128,0),2)</f>
      </c>
      <c r="AI128" s="28" t="s">
        <v>348</v>
      </c>
      <c r="AJ128" s="50">
        <f>IF(AN128=0,K128,0)</f>
      </c>
      <c r="AK128" s="50">
        <f>IF(AN128=12,K128,0)</f>
      </c>
      <c r="AL128" s="50">
        <f>IF(AN128=21,K128,0)</f>
      </c>
      <c r="AN128" s="50" t="n">
        <v>21</v>
      </c>
      <c r="AO128" s="50">
        <f>H128*0</f>
      </c>
      <c r="AP128" s="50">
        <f>H128*(1-0)</f>
      </c>
      <c r="AQ128" s="52" t="s">
        <v>57</v>
      </c>
      <c r="AV128" s="50">
        <f>ROUND(AW128+AX128,2)</f>
      </c>
      <c r="AW128" s="50">
        <f>ROUND(G128*AO128,2)</f>
      </c>
      <c r="AX128" s="50">
        <f>ROUND(G128*AP128,2)</f>
      </c>
      <c r="AY128" s="52" t="s">
        <v>384</v>
      </c>
      <c r="AZ128" s="52" t="s">
        <v>355</v>
      </c>
      <c r="BA128" s="28" t="s">
        <v>356</v>
      </c>
      <c r="BC128" s="50">
        <f>AW128+AX128</f>
      </c>
      <c r="BD128" s="50">
        <f>H128/(100-BE128)*100</f>
      </c>
      <c r="BE128" s="50" t="n">
        <v>0</v>
      </c>
      <c r="BF128" s="50">
        <f>128</f>
      </c>
      <c r="BH128" s="50">
        <f>G128*AO128</f>
      </c>
      <c r="BI128" s="50">
        <f>G128*AP128</f>
      </c>
      <c r="BJ128" s="50">
        <f>G128*H128</f>
      </c>
      <c r="BK128" s="52" t="s">
        <v>65</v>
      </c>
      <c r="BL128" s="50" t="n">
        <v>16</v>
      </c>
      <c r="BW128" s="50" t="n">
        <v>21</v>
      </c>
      <c r="BX128" s="14" t="s">
        <v>383</v>
      </c>
    </row>
    <row r="129">
      <c r="A129" s="9" t="s">
        <v>385</v>
      </c>
      <c r="B129" s="10" t="s">
        <v>348</v>
      </c>
      <c r="C129" s="10" t="s">
        <v>386</v>
      </c>
      <c r="D129" s="14" t="s">
        <v>387</v>
      </c>
      <c r="E129" s="10"/>
      <c r="F129" s="10" t="s">
        <v>60</v>
      </c>
      <c r="G129" s="50" t="n">
        <v>264.956</v>
      </c>
      <c r="H129" s="50" t="n">
        <v>0</v>
      </c>
      <c r="I129" s="50">
        <f>ROUND(G129*AO129,2)</f>
      </c>
      <c r="J129" s="50">
        <f>ROUND(G129*AP129,2)</f>
      </c>
      <c r="K129" s="50">
        <f>ROUND(G129*H129,2)</f>
      </c>
      <c r="L129" s="51" t="s">
        <v>61</v>
      </c>
      <c r="Z129" s="50">
        <f>ROUND(IF(AQ129="5",BJ129,0),2)</f>
      </c>
      <c r="AB129" s="50">
        <f>ROUND(IF(AQ129="1",BH129,0),2)</f>
      </c>
      <c r="AC129" s="50">
        <f>ROUND(IF(AQ129="1",BI129,0),2)</f>
      </c>
      <c r="AD129" s="50">
        <f>ROUND(IF(AQ129="7",BH129,0),2)</f>
      </c>
      <c r="AE129" s="50">
        <f>ROUND(IF(AQ129="7",BI129,0),2)</f>
      </c>
      <c r="AF129" s="50">
        <f>ROUND(IF(AQ129="2",BH129,0),2)</f>
      </c>
      <c r="AG129" s="50">
        <f>ROUND(IF(AQ129="2",BI129,0),2)</f>
      </c>
      <c r="AH129" s="50">
        <f>ROUND(IF(AQ129="0",BJ129,0),2)</f>
      </c>
      <c r="AI129" s="28" t="s">
        <v>348</v>
      </c>
      <c r="AJ129" s="50">
        <f>IF(AN129=0,K129,0)</f>
      </c>
      <c r="AK129" s="50">
        <f>IF(AN129=12,K129,0)</f>
      </c>
      <c r="AL129" s="50">
        <f>IF(AN129=21,K129,0)</f>
      </c>
      <c r="AN129" s="50" t="n">
        <v>21</v>
      </c>
      <c r="AO129" s="50">
        <f>H129*0</f>
      </c>
      <c r="AP129" s="50">
        <f>H129*(1-0)</f>
      </c>
      <c r="AQ129" s="52" t="s">
        <v>57</v>
      </c>
      <c r="AV129" s="50">
        <f>ROUND(AW129+AX129,2)</f>
      </c>
      <c r="AW129" s="50">
        <f>ROUND(G129*AO129,2)</f>
      </c>
      <c r="AX129" s="50">
        <f>ROUND(G129*AP129,2)</f>
      </c>
      <c r="AY129" s="52" t="s">
        <v>384</v>
      </c>
      <c r="AZ129" s="52" t="s">
        <v>355</v>
      </c>
      <c r="BA129" s="28" t="s">
        <v>356</v>
      </c>
      <c r="BC129" s="50">
        <f>AW129+AX129</f>
      </c>
      <c r="BD129" s="50">
        <f>H129/(100-BE129)*100</f>
      </c>
      <c r="BE129" s="50" t="n">
        <v>0</v>
      </c>
      <c r="BF129" s="50">
        <f>129</f>
      </c>
      <c r="BH129" s="50">
        <f>G129*AO129</f>
      </c>
      <c r="BI129" s="50">
        <f>G129*AP129</f>
      </c>
      <c r="BJ129" s="50">
        <f>G129*H129</f>
      </c>
      <c r="BK129" s="52" t="s">
        <v>65</v>
      </c>
      <c r="BL129" s="50" t="n">
        <v>16</v>
      </c>
      <c r="BW129" s="50" t="n">
        <v>21</v>
      </c>
      <c r="BX129" s="14" t="s">
        <v>387</v>
      </c>
    </row>
    <row r="130">
      <c r="A130" s="9" t="s">
        <v>388</v>
      </c>
      <c r="B130" s="10" t="s">
        <v>348</v>
      </c>
      <c r="C130" s="10" t="s">
        <v>389</v>
      </c>
      <c r="D130" s="14" t="s">
        <v>390</v>
      </c>
      <c r="E130" s="10"/>
      <c r="F130" s="10" t="s">
        <v>60</v>
      </c>
      <c r="G130" s="50" t="n">
        <v>422.4022</v>
      </c>
      <c r="H130" s="50" t="n">
        <v>0</v>
      </c>
      <c r="I130" s="50">
        <f>ROUND(G130*AO130,2)</f>
      </c>
      <c r="J130" s="50">
        <f>ROUND(G130*AP130,2)</f>
      </c>
      <c r="K130" s="50">
        <f>ROUND(G130*H130,2)</f>
      </c>
      <c r="L130" s="51" t="s">
        <v>61</v>
      </c>
      <c r="Z130" s="50">
        <f>ROUND(IF(AQ130="5",BJ130,0),2)</f>
      </c>
      <c r="AB130" s="50">
        <f>ROUND(IF(AQ130="1",BH130,0),2)</f>
      </c>
      <c r="AC130" s="50">
        <f>ROUND(IF(AQ130="1",BI130,0),2)</f>
      </c>
      <c r="AD130" s="50">
        <f>ROUND(IF(AQ130="7",BH130,0),2)</f>
      </c>
      <c r="AE130" s="50">
        <f>ROUND(IF(AQ130="7",BI130,0),2)</f>
      </c>
      <c r="AF130" s="50">
        <f>ROUND(IF(AQ130="2",BH130,0),2)</f>
      </c>
      <c r="AG130" s="50">
        <f>ROUND(IF(AQ130="2",BI130,0),2)</f>
      </c>
      <c r="AH130" s="50">
        <f>ROUND(IF(AQ130="0",BJ130,0),2)</f>
      </c>
      <c r="AI130" s="28" t="s">
        <v>348</v>
      </c>
      <c r="AJ130" s="50">
        <f>IF(AN130=0,K130,0)</f>
      </c>
      <c r="AK130" s="50">
        <f>IF(AN130=12,K130,0)</f>
      </c>
      <c r="AL130" s="50">
        <f>IF(AN130=21,K130,0)</f>
      </c>
      <c r="AN130" s="50" t="n">
        <v>21</v>
      </c>
      <c r="AO130" s="50">
        <f>H130*0</f>
      </c>
      <c r="AP130" s="50">
        <f>H130*(1-0)</f>
      </c>
      <c r="AQ130" s="52" t="s">
        <v>57</v>
      </c>
      <c r="AV130" s="50">
        <f>ROUND(AW130+AX130,2)</f>
      </c>
      <c r="AW130" s="50">
        <f>ROUND(G130*AO130,2)</f>
      </c>
      <c r="AX130" s="50">
        <f>ROUND(G130*AP130,2)</f>
      </c>
      <c r="AY130" s="52" t="s">
        <v>384</v>
      </c>
      <c r="AZ130" s="52" t="s">
        <v>355</v>
      </c>
      <c r="BA130" s="28" t="s">
        <v>356</v>
      </c>
      <c r="BC130" s="50">
        <f>AW130+AX130</f>
      </c>
      <c r="BD130" s="50">
        <f>H130/(100-BE130)*100</f>
      </c>
      <c r="BE130" s="50" t="n">
        <v>0</v>
      </c>
      <c r="BF130" s="50">
        <f>130</f>
      </c>
      <c r="BH130" s="50">
        <f>G130*AO130</f>
      </c>
      <c r="BI130" s="50">
        <f>G130*AP130</f>
      </c>
      <c r="BJ130" s="50">
        <f>G130*H130</f>
      </c>
      <c r="BK130" s="52" t="s">
        <v>65</v>
      </c>
      <c r="BL130" s="50" t="n">
        <v>16</v>
      </c>
      <c r="BW130" s="50" t="n">
        <v>21</v>
      </c>
      <c r="BX130" s="14" t="s">
        <v>390</v>
      </c>
    </row>
    <row r="131">
      <c r="A131" s="9" t="s">
        <v>391</v>
      </c>
      <c r="B131" s="10" t="s">
        <v>348</v>
      </c>
      <c r="C131" s="10" t="s">
        <v>392</v>
      </c>
      <c r="D131" s="14" t="s">
        <v>393</v>
      </c>
      <c r="E131" s="10"/>
      <c r="F131" s="10" t="s">
        <v>60</v>
      </c>
      <c r="G131" s="50" t="n">
        <v>42.72</v>
      </c>
      <c r="H131" s="50" t="n">
        <v>0</v>
      </c>
      <c r="I131" s="50">
        <f>ROUND(G131*AO131,2)</f>
      </c>
      <c r="J131" s="50">
        <f>ROUND(G131*AP131,2)</f>
      </c>
      <c r="K131" s="50">
        <f>ROUND(G131*H131,2)</f>
      </c>
      <c r="L131" s="51" t="s">
        <v>61</v>
      </c>
      <c r="Z131" s="50">
        <f>ROUND(IF(AQ131="5",BJ131,0),2)</f>
      </c>
      <c r="AB131" s="50">
        <f>ROUND(IF(AQ131="1",BH131,0),2)</f>
      </c>
      <c r="AC131" s="50">
        <f>ROUND(IF(AQ131="1",BI131,0),2)</f>
      </c>
      <c r="AD131" s="50">
        <f>ROUND(IF(AQ131="7",BH131,0),2)</f>
      </c>
      <c r="AE131" s="50">
        <f>ROUND(IF(AQ131="7",BI131,0),2)</f>
      </c>
      <c r="AF131" s="50">
        <f>ROUND(IF(AQ131="2",BH131,0),2)</f>
      </c>
      <c r="AG131" s="50">
        <f>ROUND(IF(AQ131="2",BI131,0),2)</f>
      </c>
      <c r="AH131" s="50">
        <f>ROUND(IF(AQ131="0",BJ131,0),2)</f>
      </c>
      <c r="AI131" s="28" t="s">
        <v>348</v>
      </c>
      <c r="AJ131" s="50">
        <f>IF(AN131=0,K131,0)</f>
      </c>
      <c r="AK131" s="50">
        <f>IF(AN131=12,K131,0)</f>
      </c>
      <c r="AL131" s="50">
        <f>IF(AN131=21,K131,0)</f>
      </c>
      <c r="AN131" s="50" t="n">
        <v>21</v>
      </c>
      <c r="AO131" s="50">
        <f>H131*0</f>
      </c>
      <c r="AP131" s="50">
        <f>H131*(1-0)</f>
      </c>
      <c r="AQ131" s="52" t="s">
        <v>57</v>
      </c>
      <c r="AV131" s="50">
        <f>ROUND(AW131+AX131,2)</f>
      </c>
      <c r="AW131" s="50">
        <f>ROUND(G131*AO131,2)</f>
      </c>
      <c r="AX131" s="50">
        <f>ROUND(G131*AP131,2)</f>
      </c>
      <c r="AY131" s="52" t="s">
        <v>384</v>
      </c>
      <c r="AZ131" s="52" t="s">
        <v>355</v>
      </c>
      <c r="BA131" s="28" t="s">
        <v>356</v>
      </c>
      <c r="BC131" s="50">
        <f>AW131+AX131</f>
      </c>
      <c r="BD131" s="50">
        <f>H131/(100-BE131)*100</f>
      </c>
      <c r="BE131" s="50" t="n">
        <v>0</v>
      </c>
      <c r="BF131" s="50">
        <f>131</f>
      </c>
      <c r="BH131" s="50">
        <f>G131*AO131</f>
      </c>
      <c r="BI131" s="50">
        <f>G131*AP131</f>
      </c>
      <c r="BJ131" s="50">
        <f>G131*H131</f>
      </c>
      <c r="BK131" s="52" t="s">
        <v>65</v>
      </c>
      <c r="BL131" s="50" t="n">
        <v>16</v>
      </c>
      <c r="BW131" s="50" t="n">
        <v>21</v>
      </c>
      <c r="BX131" s="14" t="s">
        <v>393</v>
      </c>
    </row>
    <row r="132">
      <c r="A132" s="9" t="s">
        <v>394</v>
      </c>
      <c r="B132" s="10" t="s">
        <v>348</v>
      </c>
      <c r="C132" s="10" t="s">
        <v>395</v>
      </c>
      <c r="D132" s="14" t="s">
        <v>396</v>
      </c>
      <c r="E132" s="10"/>
      <c r="F132" s="10" t="s">
        <v>60</v>
      </c>
      <c r="G132" s="50" t="n">
        <v>115.7088</v>
      </c>
      <c r="H132" s="50" t="n">
        <v>0</v>
      </c>
      <c r="I132" s="50">
        <f>ROUND(G132*AO132,2)</f>
      </c>
      <c r="J132" s="50">
        <f>ROUND(G132*AP132,2)</f>
      </c>
      <c r="K132" s="50">
        <f>ROUND(G132*H132,2)</f>
      </c>
      <c r="L132" s="51" t="s">
        <v>61</v>
      </c>
      <c r="Z132" s="50">
        <f>ROUND(IF(AQ132="5",BJ132,0),2)</f>
      </c>
      <c r="AB132" s="50">
        <f>ROUND(IF(AQ132="1",BH132,0),2)</f>
      </c>
      <c r="AC132" s="50">
        <f>ROUND(IF(AQ132="1",BI132,0),2)</f>
      </c>
      <c r="AD132" s="50">
        <f>ROUND(IF(AQ132="7",BH132,0),2)</f>
      </c>
      <c r="AE132" s="50">
        <f>ROUND(IF(AQ132="7",BI132,0),2)</f>
      </c>
      <c r="AF132" s="50">
        <f>ROUND(IF(AQ132="2",BH132,0),2)</f>
      </c>
      <c r="AG132" s="50">
        <f>ROUND(IF(AQ132="2",BI132,0),2)</f>
      </c>
      <c r="AH132" s="50">
        <f>ROUND(IF(AQ132="0",BJ132,0),2)</f>
      </c>
      <c r="AI132" s="28" t="s">
        <v>348</v>
      </c>
      <c r="AJ132" s="50">
        <f>IF(AN132=0,K132,0)</f>
      </c>
      <c r="AK132" s="50">
        <f>IF(AN132=12,K132,0)</f>
      </c>
      <c r="AL132" s="50">
        <f>IF(AN132=21,K132,0)</f>
      </c>
      <c r="AN132" s="50" t="n">
        <v>21</v>
      </c>
      <c r="AO132" s="50">
        <f>H132*0</f>
      </c>
      <c r="AP132" s="50">
        <f>H132*(1-0)</f>
      </c>
      <c r="AQ132" s="52" t="s">
        <v>57</v>
      </c>
      <c r="AV132" s="50">
        <f>ROUND(AW132+AX132,2)</f>
      </c>
      <c r="AW132" s="50">
        <f>ROUND(G132*AO132,2)</f>
      </c>
      <c r="AX132" s="50">
        <f>ROUND(G132*AP132,2)</f>
      </c>
      <c r="AY132" s="52" t="s">
        <v>384</v>
      </c>
      <c r="AZ132" s="52" t="s">
        <v>355</v>
      </c>
      <c r="BA132" s="28" t="s">
        <v>356</v>
      </c>
      <c r="BC132" s="50">
        <f>AW132+AX132</f>
      </c>
      <c r="BD132" s="50">
        <f>H132/(100-BE132)*100</f>
      </c>
      <c r="BE132" s="50" t="n">
        <v>0</v>
      </c>
      <c r="BF132" s="50">
        <f>132</f>
      </c>
      <c r="BH132" s="50">
        <f>G132*AO132</f>
      </c>
      <c r="BI132" s="50">
        <f>G132*AP132</f>
      </c>
      <c r="BJ132" s="50">
        <f>G132*H132</f>
      </c>
      <c r="BK132" s="52" t="s">
        <v>65</v>
      </c>
      <c r="BL132" s="50" t="n">
        <v>16</v>
      </c>
      <c r="BW132" s="50" t="n">
        <v>21</v>
      </c>
      <c r="BX132" s="14" t="s">
        <v>396</v>
      </c>
    </row>
    <row r="133">
      <c r="A133" s="45" t="s">
        <v>52</v>
      </c>
      <c r="B133" s="46" t="s">
        <v>348</v>
      </c>
      <c r="C133" s="46" t="s">
        <v>55</v>
      </c>
      <c r="D133" s="47" t="s">
        <v>56</v>
      </c>
      <c r="E133" s="46"/>
      <c r="F133" s="48" t="s">
        <v>8</v>
      </c>
      <c r="G133" s="48" t="s">
        <v>8</v>
      </c>
      <c r="H133" s="48" t="s">
        <v>8</v>
      </c>
      <c r="I133" s="2">
        <f>SUM(I134:I136)</f>
      </c>
      <c r="J133" s="2">
        <f>SUM(J134:J136)</f>
      </c>
      <c r="K133" s="2">
        <f>SUM(K134:K136)</f>
      </c>
      <c r="L133" s="49" t="s">
        <v>52</v>
      </c>
      <c r="AI133" s="28" t="s">
        <v>348</v>
      </c>
      <c r="AS133" s="2">
        <f>SUM(AJ134:AJ136)</f>
      </c>
      <c r="AT133" s="2">
        <f>SUM(AK134:AK136)</f>
      </c>
      <c r="AU133" s="2">
        <f>SUM(AL134:AL136)</f>
      </c>
    </row>
    <row r="134">
      <c r="A134" s="9" t="s">
        <v>397</v>
      </c>
      <c r="B134" s="10" t="s">
        <v>348</v>
      </c>
      <c r="C134" s="10" t="s">
        <v>398</v>
      </c>
      <c r="D134" s="14" t="s">
        <v>399</v>
      </c>
      <c r="E134" s="10"/>
      <c r="F134" s="10" t="s">
        <v>60</v>
      </c>
      <c r="G134" s="50" t="n">
        <v>229.88139</v>
      </c>
      <c r="H134" s="50" t="n">
        <v>0</v>
      </c>
      <c r="I134" s="50">
        <f>ROUND(G134*AO134,2)</f>
      </c>
      <c r="J134" s="50">
        <f>ROUND(G134*AP134,2)</f>
      </c>
      <c r="K134" s="50">
        <f>ROUND(G134*H134,2)</f>
      </c>
      <c r="L134" s="51" t="s">
        <v>400</v>
      </c>
      <c r="Z134" s="50">
        <f>ROUND(IF(AQ134="5",BJ134,0),2)</f>
      </c>
      <c r="AB134" s="50">
        <f>ROUND(IF(AQ134="1",BH134,0),2)</f>
      </c>
      <c r="AC134" s="50">
        <f>ROUND(IF(AQ134="1",BI134,0),2)</f>
      </c>
      <c r="AD134" s="50">
        <f>ROUND(IF(AQ134="7",BH134,0),2)</f>
      </c>
      <c r="AE134" s="50">
        <f>ROUND(IF(AQ134="7",BI134,0),2)</f>
      </c>
      <c r="AF134" s="50">
        <f>ROUND(IF(AQ134="2",BH134,0),2)</f>
      </c>
      <c r="AG134" s="50">
        <f>ROUND(IF(AQ134="2",BI134,0),2)</f>
      </c>
      <c r="AH134" s="50">
        <f>ROUND(IF(AQ134="0",BJ134,0),2)</f>
      </c>
      <c r="AI134" s="28" t="s">
        <v>348</v>
      </c>
      <c r="AJ134" s="50">
        <f>IF(AN134=0,K134,0)</f>
      </c>
      <c r="AK134" s="50">
        <f>IF(AN134=12,K134,0)</f>
      </c>
      <c r="AL134" s="50">
        <f>IF(AN134=21,K134,0)</f>
      </c>
      <c r="AN134" s="50" t="n">
        <v>21</v>
      </c>
      <c r="AO134" s="50">
        <f>H134*0</f>
      </c>
      <c r="AP134" s="50">
        <f>H134*(1-0)</f>
      </c>
      <c r="AQ134" s="52" t="s">
        <v>57</v>
      </c>
      <c r="AV134" s="50">
        <f>ROUND(AW134+AX134,2)</f>
      </c>
      <c r="AW134" s="50">
        <f>ROUND(G134*AO134,2)</f>
      </c>
      <c r="AX134" s="50">
        <f>ROUND(G134*AP134,2)</f>
      </c>
      <c r="AY134" s="52" t="s">
        <v>62</v>
      </c>
      <c r="AZ134" s="52" t="s">
        <v>355</v>
      </c>
      <c r="BA134" s="28" t="s">
        <v>356</v>
      </c>
      <c r="BC134" s="50">
        <f>AW134+AX134</f>
      </c>
      <c r="BD134" s="50">
        <f>H134/(100-BE134)*100</f>
      </c>
      <c r="BE134" s="50" t="n">
        <v>0</v>
      </c>
      <c r="BF134" s="50">
        <f>134</f>
      </c>
      <c r="BH134" s="50">
        <f>G134*AO134</f>
      </c>
      <c r="BI134" s="50">
        <f>G134*AP134</f>
      </c>
      <c r="BJ134" s="50">
        <f>G134*H134</f>
      </c>
      <c r="BK134" s="52" t="s">
        <v>65</v>
      </c>
      <c r="BL134" s="50" t="n">
        <v>17</v>
      </c>
      <c r="BW134" s="50" t="n">
        <v>21</v>
      </c>
      <c r="BX134" s="14" t="s">
        <v>399</v>
      </c>
    </row>
    <row r="135">
      <c r="A135" s="9" t="s">
        <v>401</v>
      </c>
      <c r="B135" s="10" t="s">
        <v>348</v>
      </c>
      <c r="C135" s="10" t="s">
        <v>402</v>
      </c>
      <c r="D135" s="14" t="s">
        <v>403</v>
      </c>
      <c r="E135" s="10"/>
      <c r="F135" s="10" t="s">
        <v>60</v>
      </c>
      <c r="G135" s="50" t="n">
        <v>36.4944</v>
      </c>
      <c r="H135" s="50" t="n">
        <v>0</v>
      </c>
      <c r="I135" s="50">
        <f>ROUND(G135*AO135,2)</f>
      </c>
      <c r="J135" s="50">
        <f>ROUND(G135*AP135,2)</f>
      </c>
      <c r="K135" s="50">
        <f>ROUND(G135*H135,2)</f>
      </c>
      <c r="L135" s="51" t="s">
        <v>400</v>
      </c>
      <c r="Z135" s="50">
        <f>ROUND(IF(AQ135="5",BJ135,0),2)</f>
      </c>
      <c r="AB135" s="50">
        <f>ROUND(IF(AQ135="1",BH135,0),2)</f>
      </c>
      <c r="AC135" s="50">
        <f>ROUND(IF(AQ135="1",BI135,0),2)</f>
      </c>
      <c r="AD135" s="50">
        <f>ROUND(IF(AQ135="7",BH135,0),2)</f>
      </c>
      <c r="AE135" s="50">
        <f>ROUND(IF(AQ135="7",BI135,0),2)</f>
      </c>
      <c r="AF135" s="50">
        <f>ROUND(IF(AQ135="2",BH135,0),2)</f>
      </c>
      <c r="AG135" s="50">
        <f>ROUND(IF(AQ135="2",BI135,0),2)</f>
      </c>
      <c r="AH135" s="50">
        <f>ROUND(IF(AQ135="0",BJ135,0),2)</f>
      </c>
      <c r="AI135" s="28" t="s">
        <v>348</v>
      </c>
      <c r="AJ135" s="50">
        <f>IF(AN135=0,K135,0)</f>
      </c>
      <c r="AK135" s="50">
        <f>IF(AN135=12,K135,0)</f>
      </c>
      <c r="AL135" s="50">
        <f>IF(AN135=21,K135,0)</f>
      </c>
      <c r="AN135" s="50" t="n">
        <v>21</v>
      </c>
      <c r="AO135" s="50">
        <f>H135*0</f>
      </c>
      <c r="AP135" s="50">
        <f>H135*(1-0)</f>
      </c>
      <c r="AQ135" s="52" t="s">
        <v>57</v>
      </c>
      <c r="AV135" s="50">
        <f>ROUND(AW135+AX135,2)</f>
      </c>
      <c r="AW135" s="50">
        <f>ROUND(G135*AO135,2)</f>
      </c>
      <c r="AX135" s="50">
        <f>ROUND(G135*AP135,2)</f>
      </c>
      <c r="AY135" s="52" t="s">
        <v>62</v>
      </c>
      <c r="AZ135" s="52" t="s">
        <v>355</v>
      </c>
      <c r="BA135" s="28" t="s">
        <v>356</v>
      </c>
      <c r="BC135" s="50">
        <f>AW135+AX135</f>
      </c>
      <c r="BD135" s="50">
        <f>H135/(100-BE135)*100</f>
      </c>
      <c r="BE135" s="50" t="n">
        <v>0</v>
      </c>
      <c r="BF135" s="50">
        <f>135</f>
      </c>
      <c r="BH135" s="50">
        <f>G135*AO135</f>
      </c>
      <c r="BI135" s="50">
        <f>G135*AP135</f>
      </c>
      <c r="BJ135" s="50">
        <f>G135*H135</f>
      </c>
      <c r="BK135" s="52" t="s">
        <v>65</v>
      </c>
      <c r="BL135" s="50" t="n">
        <v>17</v>
      </c>
      <c r="BW135" s="50" t="n">
        <v>21</v>
      </c>
      <c r="BX135" s="14" t="s">
        <v>403</v>
      </c>
    </row>
    <row r="136">
      <c r="A136" s="9" t="s">
        <v>404</v>
      </c>
      <c r="B136" s="10" t="s">
        <v>348</v>
      </c>
      <c r="C136" s="10" t="s">
        <v>405</v>
      </c>
      <c r="D136" s="14" t="s">
        <v>406</v>
      </c>
      <c r="E136" s="10"/>
      <c r="F136" s="10" t="s">
        <v>60</v>
      </c>
      <c r="G136" s="50" t="n">
        <v>35.352</v>
      </c>
      <c r="H136" s="50" t="n">
        <v>0</v>
      </c>
      <c r="I136" s="50">
        <f>ROUND(G136*AO136,2)</f>
      </c>
      <c r="J136" s="50">
        <f>ROUND(G136*AP136,2)</f>
      </c>
      <c r="K136" s="50">
        <f>ROUND(G136*H136,2)</f>
      </c>
      <c r="L136" s="51" t="s">
        <v>400</v>
      </c>
      <c r="Z136" s="50">
        <f>ROUND(IF(AQ136="5",BJ136,0),2)</f>
      </c>
      <c r="AB136" s="50">
        <f>ROUND(IF(AQ136="1",BH136,0),2)</f>
      </c>
      <c r="AC136" s="50">
        <f>ROUND(IF(AQ136="1",BI136,0),2)</f>
      </c>
      <c r="AD136" s="50">
        <f>ROUND(IF(AQ136="7",BH136,0),2)</f>
      </c>
      <c r="AE136" s="50">
        <f>ROUND(IF(AQ136="7",BI136,0),2)</f>
      </c>
      <c r="AF136" s="50">
        <f>ROUND(IF(AQ136="2",BH136,0),2)</f>
      </c>
      <c r="AG136" s="50">
        <f>ROUND(IF(AQ136="2",BI136,0),2)</f>
      </c>
      <c r="AH136" s="50">
        <f>ROUND(IF(AQ136="0",BJ136,0),2)</f>
      </c>
      <c r="AI136" s="28" t="s">
        <v>348</v>
      </c>
      <c r="AJ136" s="50">
        <f>IF(AN136=0,K136,0)</f>
      </c>
      <c r="AK136" s="50">
        <f>IF(AN136=12,K136,0)</f>
      </c>
      <c r="AL136" s="50">
        <f>IF(AN136=21,K136,0)</f>
      </c>
      <c r="AN136" s="50" t="n">
        <v>21</v>
      </c>
      <c r="AO136" s="50">
        <f>H136*0</f>
      </c>
      <c r="AP136" s="50">
        <f>H136*(1-0)</f>
      </c>
      <c r="AQ136" s="52" t="s">
        <v>57</v>
      </c>
      <c r="AV136" s="50">
        <f>ROUND(AW136+AX136,2)</f>
      </c>
      <c r="AW136" s="50">
        <f>ROUND(G136*AO136,2)</f>
      </c>
      <c r="AX136" s="50">
        <f>ROUND(G136*AP136,2)</f>
      </c>
      <c r="AY136" s="52" t="s">
        <v>62</v>
      </c>
      <c r="AZ136" s="52" t="s">
        <v>355</v>
      </c>
      <c r="BA136" s="28" t="s">
        <v>356</v>
      </c>
      <c r="BC136" s="50">
        <f>AW136+AX136</f>
      </c>
      <c r="BD136" s="50">
        <f>H136/(100-BE136)*100</f>
      </c>
      <c r="BE136" s="50" t="n">
        <v>0</v>
      </c>
      <c r="BF136" s="50">
        <f>136</f>
      </c>
      <c r="BH136" s="50">
        <f>G136*AO136</f>
      </c>
      <c r="BI136" s="50">
        <f>G136*AP136</f>
      </c>
      <c r="BJ136" s="50">
        <f>G136*H136</f>
      </c>
      <c r="BK136" s="52" t="s">
        <v>65</v>
      </c>
      <c r="BL136" s="50" t="n">
        <v>17</v>
      </c>
      <c r="BW136" s="50" t="n">
        <v>21</v>
      </c>
      <c r="BX136" s="14" t="s">
        <v>406</v>
      </c>
    </row>
    <row r="137">
      <c r="A137" s="45" t="s">
        <v>52</v>
      </c>
      <c r="B137" s="46" t="s">
        <v>348</v>
      </c>
      <c r="C137" s="46" t="s">
        <v>141</v>
      </c>
      <c r="D137" s="47" t="s">
        <v>407</v>
      </c>
      <c r="E137" s="46"/>
      <c r="F137" s="48" t="s">
        <v>8</v>
      </c>
      <c r="G137" s="48" t="s">
        <v>8</v>
      </c>
      <c r="H137" s="48" t="s">
        <v>8</v>
      </c>
      <c r="I137" s="2">
        <f>SUM(I138:I138)</f>
      </c>
      <c r="J137" s="2">
        <f>SUM(J138:J138)</f>
      </c>
      <c r="K137" s="2">
        <f>SUM(K138:K138)</f>
      </c>
      <c r="L137" s="49" t="s">
        <v>52</v>
      </c>
      <c r="AI137" s="28" t="s">
        <v>348</v>
      </c>
      <c r="AS137" s="2">
        <f>SUM(AJ138:AJ138)</f>
      </c>
      <c r="AT137" s="2">
        <f>SUM(AK138:AK138)</f>
      </c>
      <c r="AU137" s="2">
        <f>SUM(AL138:AL138)</f>
      </c>
    </row>
    <row r="138">
      <c r="A138" s="9" t="s">
        <v>408</v>
      </c>
      <c r="B138" s="10" t="s">
        <v>348</v>
      </c>
      <c r="C138" s="10" t="s">
        <v>409</v>
      </c>
      <c r="D138" s="14" t="s">
        <v>410</v>
      </c>
      <c r="E138" s="10"/>
      <c r="F138" s="10" t="s">
        <v>60</v>
      </c>
      <c r="G138" s="50" t="n">
        <v>42.72</v>
      </c>
      <c r="H138" s="50" t="n">
        <v>0</v>
      </c>
      <c r="I138" s="50">
        <f>ROUND(G138*AO138,2)</f>
      </c>
      <c r="J138" s="50">
        <f>ROUND(G138*AP138,2)</f>
      </c>
      <c r="K138" s="50">
        <f>ROUND(G138*H138,2)</f>
      </c>
      <c r="L138" s="51" t="s">
        <v>400</v>
      </c>
      <c r="Z138" s="50">
        <f>ROUND(IF(AQ138="5",BJ138,0),2)</f>
      </c>
      <c r="AB138" s="50">
        <f>ROUND(IF(AQ138="1",BH138,0),2)</f>
      </c>
      <c r="AC138" s="50">
        <f>ROUND(IF(AQ138="1",BI138,0),2)</f>
      </c>
      <c r="AD138" s="50">
        <f>ROUND(IF(AQ138="7",BH138,0),2)</f>
      </c>
      <c r="AE138" s="50">
        <f>ROUND(IF(AQ138="7",BI138,0),2)</f>
      </c>
      <c r="AF138" s="50">
        <f>ROUND(IF(AQ138="2",BH138,0),2)</f>
      </c>
      <c r="AG138" s="50">
        <f>ROUND(IF(AQ138="2",BI138,0),2)</f>
      </c>
      <c r="AH138" s="50">
        <f>ROUND(IF(AQ138="0",BJ138,0),2)</f>
      </c>
      <c r="AI138" s="28" t="s">
        <v>348</v>
      </c>
      <c r="AJ138" s="50">
        <f>IF(AN138=0,K138,0)</f>
      </c>
      <c r="AK138" s="50">
        <f>IF(AN138=12,K138,0)</f>
      </c>
      <c r="AL138" s="50">
        <f>IF(AN138=21,K138,0)</f>
      </c>
      <c r="AN138" s="50" t="n">
        <v>21</v>
      </c>
      <c r="AO138" s="50">
        <f>H138*0</f>
      </c>
      <c r="AP138" s="50">
        <f>H138*(1-0)</f>
      </c>
      <c r="AQ138" s="52" t="s">
        <v>57</v>
      </c>
      <c r="AV138" s="50">
        <f>ROUND(AW138+AX138,2)</f>
      </c>
      <c r="AW138" s="50">
        <f>ROUND(G138*AO138,2)</f>
      </c>
      <c r="AX138" s="50">
        <f>ROUND(G138*AP138,2)</f>
      </c>
      <c r="AY138" s="52" t="s">
        <v>411</v>
      </c>
      <c r="AZ138" s="52" t="s">
        <v>355</v>
      </c>
      <c r="BA138" s="28" t="s">
        <v>356</v>
      </c>
      <c r="BC138" s="50">
        <f>AW138+AX138</f>
      </c>
      <c r="BD138" s="50">
        <f>H138/(100-BE138)*100</f>
      </c>
      <c r="BE138" s="50" t="n">
        <v>0</v>
      </c>
      <c r="BF138" s="50">
        <f>138</f>
      </c>
      <c r="BH138" s="50">
        <f>G138*AO138</f>
      </c>
      <c r="BI138" s="50">
        <f>G138*AP138</f>
      </c>
      <c r="BJ138" s="50">
        <f>G138*H138</f>
      </c>
      <c r="BK138" s="52" t="s">
        <v>65</v>
      </c>
      <c r="BL138" s="50" t="n">
        <v>19</v>
      </c>
      <c r="BW138" s="50" t="n">
        <v>21</v>
      </c>
      <c r="BX138" s="14" t="s">
        <v>410</v>
      </c>
    </row>
    <row r="139">
      <c r="A139" s="45" t="s">
        <v>52</v>
      </c>
      <c r="B139" s="46" t="s">
        <v>348</v>
      </c>
      <c r="C139" s="46" t="s">
        <v>147</v>
      </c>
      <c r="D139" s="47" t="s">
        <v>214</v>
      </c>
      <c r="E139" s="46"/>
      <c r="F139" s="48" t="s">
        <v>8</v>
      </c>
      <c r="G139" s="48" t="s">
        <v>8</v>
      </c>
      <c r="H139" s="48" t="s">
        <v>8</v>
      </c>
      <c r="I139" s="2">
        <f>SUM(I140:I141)</f>
      </c>
      <c r="J139" s="2">
        <f>SUM(J140:J141)</f>
      </c>
      <c r="K139" s="2">
        <f>SUM(K140:K141)</f>
      </c>
      <c r="L139" s="49" t="s">
        <v>52</v>
      </c>
      <c r="AI139" s="28" t="s">
        <v>348</v>
      </c>
      <c r="AS139" s="2">
        <f>SUM(AJ140:AJ141)</f>
      </c>
      <c r="AT139" s="2">
        <f>SUM(AK140:AK141)</f>
      </c>
      <c r="AU139" s="2">
        <f>SUM(AL140:AL141)</f>
      </c>
    </row>
    <row r="140">
      <c r="A140" s="9" t="s">
        <v>412</v>
      </c>
      <c r="B140" s="10" t="s">
        <v>348</v>
      </c>
      <c r="C140" s="10" t="s">
        <v>413</v>
      </c>
      <c r="D140" s="14" t="s">
        <v>414</v>
      </c>
      <c r="E140" s="10"/>
      <c r="F140" s="10" t="s">
        <v>80</v>
      </c>
      <c r="G140" s="50" t="n">
        <v>64</v>
      </c>
      <c r="H140" s="50" t="n">
        <v>0</v>
      </c>
      <c r="I140" s="50">
        <f>ROUND(G140*AO140,2)</f>
      </c>
      <c r="J140" s="50">
        <f>ROUND(G140*AP140,2)</f>
      </c>
      <c r="K140" s="50">
        <f>ROUND(G140*H140,2)</f>
      </c>
      <c r="L140" s="51" t="s">
        <v>400</v>
      </c>
      <c r="Z140" s="50">
        <f>ROUND(IF(AQ140="5",BJ140,0),2)</f>
      </c>
      <c r="AB140" s="50">
        <f>ROUND(IF(AQ140="1",BH140,0),2)</f>
      </c>
      <c r="AC140" s="50">
        <f>ROUND(IF(AQ140="1",BI140,0),2)</f>
      </c>
      <c r="AD140" s="50">
        <f>ROUND(IF(AQ140="7",BH140,0),2)</f>
      </c>
      <c r="AE140" s="50">
        <f>ROUND(IF(AQ140="7",BI140,0),2)</f>
      </c>
      <c r="AF140" s="50">
        <f>ROUND(IF(AQ140="2",BH140,0),2)</f>
      </c>
      <c r="AG140" s="50">
        <f>ROUND(IF(AQ140="2",BI140,0),2)</f>
      </c>
      <c r="AH140" s="50">
        <f>ROUND(IF(AQ140="0",BJ140,0),2)</f>
      </c>
      <c r="AI140" s="28" t="s">
        <v>348</v>
      </c>
      <c r="AJ140" s="50">
        <f>IF(AN140=0,K140,0)</f>
      </c>
      <c r="AK140" s="50">
        <f>IF(AN140=12,K140,0)</f>
      </c>
      <c r="AL140" s="50">
        <f>IF(AN140=21,K140,0)</f>
      </c>
      <c r="AN140" s="50" t="n">
        <v>21</v>
      </c>
      <c r="AO140" s="50">
        <f>H140*0</f>
      </c>
      <c r="AP140" s="50">
        <f>H140*(1-0)</f>
      </c>
      <c r="AQ140" s="52" t="s">
        <v>57</v>
      </c>
      <c r="AV140" s="50">
        <f>ROUND(AW140+AX140,2)</f>
      </c>
      <c r="AW140" s="50">
        <f>ROUND(G140*AO140,2)</f>
      </c>
      <c r="AX140" s="50">
        <f>ROUND(G140*AP140,2)</f>
      </c>
      <c r="AY140" s="52" t="s">
        <v>218</v>
      </c>
      <c r="AZ140" s="52" t="s">
        <v>415</v>
      </c>
      <c r="BA140" s="28" t="s">
        <v>356</v>
      </c>
      <c r="BC140" s="50">
        <f>AW140+AX140</f>
      </c>
      <c r="BD140" s="50">
        <f>H140/(100-BE140)*100</f>
      </c>
      <c r="BE140" s="50" t="n">
        <v>0</v>
      </c>
      <c r="BF140" s="50">
        <f>140</f>
      </c>
      <c r="BH140" s="50">
        <f>G140*AO140</f>
      </c>
      <c r="BI140" s="50">
        <f>G140*AP140</f>
      </c>
      <c r="BJ140" s="50">
        <f>G140*H140</f>
      </c>
      <c r="BK140" s="52" t="s">
        <v>65</v>
      </c>
      <c r="BL140" s="50" t="n">
        <v>21</v>
      </c>
      <c r="BW140" s="50" t="n">
        <v>21</v>
      </c>
      <c r="BX140" s="14" t="s">
        <v>414</v>
      </c>
    </row>
    <row r="141">
      <c r="A141" s="9" t="s">
        <v>416</v>
      </c>
      <c r="B141" s="10" t="s">
        <v>348</v>
      </c>
      <c r="C141" s="10" t="s">
        <v>417</v>
      </c>
      <c r="D141" s="14" t="s">
        <v>418</v>
      </c>
      <c r="E141" s="10"/>
      <c r="F141" s="10" t="s">
        <v>197</v>
      </c>
      <c r="G141" s="50" t="n">
        <v>103.04</v>
      </c>
      <c r="H141" s="50" t="n">
        <v>0</v>
      </c>
      <c r="I141" s="50">
        <f>ROUND(G141*AO141,2)</f>
      </c>
      <c r="J141" s="50">
        <f>ROUND(G141*AP141,2)</f>
      </c>
      <c r="K141" s="50">
        <f>ROUND(G141*H141,2)</f>
      </c>
      <c r="L141" s="51" t="s">
        <v>400</v>
      </c>
      <c r="Z141" s="50">
        <f>ROUND(IF(AQ141="5",BJ141,0),2)</f>
      </c>
      <c r="AB141" s="50">
        <f>ROUND(IF(AQ141="1",BH141,0),2)</f>
      </c>
      <c r="AC141" s="50">
        <f>ROUND(IF(AQ141="1",BI141,0),2)</f>
      </c>
      <c r="AD141" s="50">
        <f>ROUND(IF(AQ141="7",BH141,0),2)</f>
      </c>
      <c r="AE141" s="50">
        <f>ROUND(IF(AQ141="7",BI141,0),2)</f>
      </c>
      <c r="AF141" s="50">
        <f>ROUND(IF(AQ141="2",BH141,0),2)</f>
      </c>
      <c r="AG141" s="50">
        <f>ROUND(IF(AQ141="2",BI141,0),2)</f>
      </c>
      <c r="AH141" s="50">
        <f>ROUND(IF(AQ141="0",BJ141,0),2)</f>
      </c>
      <c r="AI141" s="28" t="s">
        <v>348</v>
      </c>
      <c r="AJ141" s="50">
        <f>IF(AN141=0,K141,0)</f>
      </c>
      <c r="AK141" s="50">
        <f>IF(AN141=12,K141,0)</f>
      </c>
      <c r="AL141" s="50">
        <f>IF(AN141=21,K141,0)</f>
      </c>
      <c r="AN141" s="50" t="n">
        <v>21</v>
      </c>
      <c r="AO141" s="50">
        <f>H141*0</f>
      </c>
      <c r="AP141" s="50">
        <f>H141*(1-0)</f>
      </c>
      <c r="AQ141" s="52" t="s">
        <v>57</v>
      </c>
      <c r="AV141" s="50">
        <f>ROUND(AW141+AX141,2)</f>
      </c>
      <c r="AW141" s="50">
        <f>ROUND(G141*AO141,2)</f>
      </c>
      <c r="AX141" s="50">
        <f>ROUND(G141*AP141,2)</f>
      </c>
      <c r="AY141" s="52" t="s">
        <v>218</v>
      </c>
      <c r="AZ141" s="52" t="s">
        <v>415</v>
      </c>
      <c r="BA141" s="28" t="s">
        <v>356</v>
      </c>
      <c r="BC141" s="50">
        <f>AW141+AX141</f>
      </c>
      <c r="BD141" s="50">
        <f>H141/(100-BE141)*100</f>
      </c>
      <c r="BE141" s="50" t="n">
        <v>0</v>
      </c>
      <c r="BF141" s="50">
        <f>141</f>
      </c>
      <c r="BH141" s="50">
        <f>G141*AO141</f>
      </c>
      <c r="BI141" s="50">
        <f>G141*AP141</f>
      </c>
      <c r="BJ141" s="50">
        <f>G141*H141</f>
      </c>
      <c r="BK141" s="52" t="s">
        <v>65</v>
      </c>
      <c r="BL141" s="50" t="n">
        <v>21</v>
      </c>
      <c r="BW141" s="50" t="n">
        <v>21</v>
      </c>
      <c r="BX141" s="14" t="s">
        <v>418</v>
      </c>
    </row>
    <row r="142">
      <c r="A142" s="45" t="s">
        <v>52</v>
      </c>
      <c r="B142" s="46" t="s">
        <v>348</v>
      </c>
      <c r="C142" s="46" t="s">
        <v>178</v>
      </c>
      <c r="D142" s="47" t="s">
        <v>419</v>
      </c>
      <c r="E142" s="46"/>
      <c r="F142" s="48" t="s">
        <v>8</v>
      </c>
      <c r="G142" s="48" t="s">
        <v>8</v>
      </c>
      <c r="H142" s="48" t="s">
        <v>8</v>
      </c>
      <c r="I142" s="2">
        <f>SUM(I143:I144)</f>
      </c>
      <c r="J142" s="2">
        <f>SUM(J143:J144)</f>
      </c>
      <c r="K142" s="2">
        <f>SUM(K143:K144)</f>
      </c>
      <c r="L142" s="49" t="s">
        <v>52</v>
      </c>
      <c r="AI142" s="28" t="s">
        <v>348</v>
      </c>
      <c r="AS142" s="2">
        <f>SUM(AJ143:AJ144)</f>
      </c>
      <c r="AT142" s="2">
        <f>SUM(AK143:AK144)</f>
      </c>
      <c r="AU142" s="2">
        <f>SUM(AL143:AL144)</f>
      </c>
    </row>
    <row r="143">
      <c r="A143" s="9" t="s">
        <v>420</v>
      </c>
      <c r="B143" s="10" t="s">
        <v>348</v>
      </c>
      <c r="C143" s="10" t="s">
        <v>421</v>
      </c>
      <c r="D143" s="14" t="s">
        <v>422</v>
      </c>
      <c r="E143" s="10"/>
      <c r="F143" s="10" t="s">
        <v>60</v>
      </c>
      <c r="G143" s="50" t="n">
        <v>8.192</v>
      </c>
      <c r="H143" s="50" t="n">
        <v>0</v>
      </c>
      <c r="I143" s="50">
        <f>ROUND(G143*AO143,2)</f>
      </c>
      <c r="J143" s="50">
        <f>ROUND(G143*AP143,2)</f>
      </c>
      <c r="K143" s="50">
        <f>ROUND(G143*H143,2)</f>
      </c>
      <c r="L143" s="51" t="s">
        <v>400</v>
      </c>
      <c r="Z143" s="50">
        <f>ROUND(IF(AQ143="5",BJ143,0),2)</f>
      </c>
      <c r="AB143" s="50">
        <f>ROUND(IF(AQ143="1",BH143,0),2)</f>
      </c>
      <c r="AC143" s="50">
        <f>ROUND(IF(AQ143="1",BI143,0),2)</f>
      </c>
      <c r="AD143" s="50">
        <f>ROUND(IF(AQ143="7",BH143,0),2)</f>
      </c>
      <c r="AE143" s="50">
        <f>ROUND(IF(AQ143="7",BI143,0),2)</f>
      </c>
      <c r="AF143" s="50">
        <f>ROUND(IF(AQ143="2",BH143,0),2)</f>
      </c>
      <c r="AG143" s="50">
        <f>ROUND(IF(AQ143="2",BI143,0),2)</f>
      </c>
      <c r="AH143" s="50">
        <f>ROUND(IF(AQ143="0",BJ143,0),2)</f>
      </c>
      <c r="AI143" s="28" t="s">
        <v>348</v>
      </c>
      <c r="AJ143" s="50">
        <f>IF(AN143=0,K143,0)</f>
      </c>
      <c r="AK143" s="50">
        <f>IF(AN143=12,K143,0)</f>
      </c>
      <c r="AL143" s="50">
        <f>IF(AN143=21,K143,0)</f>
      </c>
      <c r="AN143" s="50" t="n">
        <v>21</v>
      </c>
      <c r="AO143" s="50">
        <f>H143*0</f>
      </c>
      <c r="AP143" s="50">
        <f>H143*(1-0)</f>
      </c>
      <c r="AQ143" s="52" t="s">
        <v>57</v>
      </c>
      <c r="AV143" s="50">
        <f>ROUND(AW143+AX143,2)</f>
      </c>
      <c r="AW143" s="50">
        <f>ROUND(G143*AO143,2)</f>
      </c>
      <c r="AX143" s="50">
        <f>ROUND(G143*AP143,2)</f>
      </c>
      <c r="AY143" s="52" t="s">
        <v>423</v>
      </c>
      <c r="AZ143" s="52" t="s">
        <v>415</v>
      </c>
      <c r="BA143" s="28" t="s">
        <v>356</v>
      </c>
      <c r="BC143" s="50">
        <f>AW143+AX143</f>
      </c>
      <c r="BD143" s="50">
        <f>H143/(100-BE143)*100</f>
      </c>
      <c r="BE143" s="50" t="n">
        <v>0</v>
      </c>
      <c r="BF143" s="50">
        <f>143</f>
      </c>
      <c r="BH143" s="50">
        <f>G143*AO143</f>
      </c>
      <c r="BI143" s="50">
        <f>G143*AP143</f>
      </c>
      <c r="BJ143" s="50">
        <f>G143*H143</f>
      </c>
      <c r="BK143" s="52" t="s">
        <v>65</v>
      </c>
      <c r="BL143" s="50" t="n">
        <v>27</v>
      </c>
      <c r="BW143" s="50" t="n">
        <v>21</v>
      </c>
      <c r="BX143" s="14" t="s">
        <v>422</v>
      </c>
    </row>
    <row r="144">
      <c r="A144" s="9" t="s">
        <v>258</v>
      </c>
      <c r="B144" s="10" t="s">
        <v>348</v>
      </c>
      <c r="C144" s="10" t="s">
        <v>424</v>
      </c>
      <c r="D144" s="14" t="s">
        <v>425</v>
      </c>
      <c r="E144" s="10"/>
      <c r="F144" s="10" t="s">
        <v>60</v>
      </c>
      <c r="G144" s="50" t="n">
        <v>2.048</v>
      </c>
      <c r="H144" s="50" t="n">
        <v>0</v>
      </c>
      <c r="I144" s="50">
        <f>ROUND(G144*AO144,2)</f>
      </c>
      <c r="J144" s="50">
        <f>ROUND(G144*AP144,2)</f>
      </c>
      <c r="K144" s="50">
        <f>ROUND(G144*H144,2)</f>
      </c>
      <c r="L144" s="51" t="s">
        <v>400</v>
      </c>
      <c r="Z144" s="50">
        <f>ROUND(IF(AQ144="5",BJ144,0),2)</f>
      </c>
      <c r="AB144" s="50">
        <f>ROUND(IF(AQ144="1",BH144,0),2)</f>
      </c>
      <c r="AC144" s="50">
        <f>ROUND(IF(AQ144="1",BI144,0),2)</f>
      </c>
      <c r="AD144" s="50">
        <f>ROUND(IF(AQ144="7",BH144,0),2)</f>
      </c>
      <c r="AE144" s="50">
        <f>ROUND(IF(AQ144="7",BI144,0),2)</f>
      </c>
      <c r="AF144" s="50">
        <f>ROUND(IF(AQ144="2",BH144,0),2)</f>
      </c>
      <c r="AG144" s="50">
        <f>ROUND(IF(AQ144="2",BI144,0),2)</f>
      </c>
      <c r="AH144" s="50">
        <f>ROUND(IF(AQ144="0",BJ144,0),2)</f>
      </c>
      <c r="AI144" s="28" t="s">
        <v>348</v>
      </c>
      <c r="AJ144" s="50">
        <f>IF(AN144=0,K144,0)</f>
      </c>
      <c r="AK144" s="50">
        <f>IF(AN144=12,K144,0)</f>
      </c>
      <c r="AL144" s="50">
        <f>IF(AN144=21,K144,0)</f>
      </c>
      <c r="AN144" s="50" t="n">
        <v>21</v>
      </c>
      <c r="AO144" s="50">
        <f>H144*0</f>
      </c>
      <c r="AP144" s="50">
        <f>H144*(1-0)</f>
      </c>
      <c r="AQ144" s="52" t="s">
        <v>57</v>
      </c>
      <c r="AV144" s="50">
        <f>ROUND(AW144+AX144,2)</f>
      </c>
      <c r="AW144" s="50">
        <f>ROUND(G144*AO144,2)</f>
      </c>
      <c r="AX144" s="50">
        <f>ROUND(G144*AP144,2)</f>
      </c>
      <c r="AY144" s="52" t="s">
        <v>423</v>
      </c>
      <c r="AZ144" s="52" t="s">
        <v>415</v>
      </c>
      <c r="BA144" s="28" t="s">
        <v>356</v>
      </c>
      <c r="BC144" s="50">
        <f>AW144+AX144</f>
      </c>
      <c r="BD144" s="50">
        <f>H144/(100-BE144)*100</f>
      </c>
      <c r="BE144" s="50" t="n">
        <v>0</v>
      </c>
      <c r="BF144" s="50">
        <f>144</f>
      </c>
      <c r="BH144" s="50">
        <f>G144*AO144</f>
      </c>
      <c r="BI144" s="50">
        <f>G144*AP144</f>
      </c>
      <c r="BJ144" s="50">
        <f>G144*H144</f>
      </c>
      <c r="BK144" s="52" t="s">
        <v>65</v>
      </c>
      <c r="BL144" s="50" t="n">
        <v>27</v>
      </c>
      <c r="BW144" s="50" t="n">
        <v>21</v>
      </c>
      <c r="BX144" s="14" t="s">
        <v>425</v>
      </c>
    </row>
    <row r="145">
      <c r="A145" s="45" t="s">
        <v>52</v>
      </c>
      <c r="B145" s="46" t="s">
        <v>348</v>
      </c>
      <c r="C145" s="46" t="s">
        <v>185</v>
      </c>
      <c r="D145" s="47" t="s">
        <v>426</v>
      </c>
      <c r="E145" s="46"/>
      <c r="F145" s="48" t="s">
        <v>8</v>
      </c>
      <c r="G145" s="48" t="s">
        <v>8</v>
      </c>
      <c r="H145" s="48" t="s">
        <v>8</v>
      </c>
      <c r="I145" s="2">
        <f>SUM(I146:I146)</f>
      </c>
      <c r="J145" s="2">
        <f>SUM(J146:J146)</f>
      </c>
      <c r="K145" s="2">
        <f>SUM(K146:K146)</f>
      </c>
      <c r="L145" s="49" t="s">
        <v>52</v>
      </c>
      <c r="AI145" s="28" t="s">
        <v>348</v>
      </c>
      <c r="AS145" s="2">
        <f>SUM(AJ146:AJ146)</f>
      </c>
      <c r="AT145" s="2">
        <f>SUM(AK146:AK146)</f>
      </c>
      <c r="AU145" s="2">
        <f>SUM(AL146:AL146)</f>
      </c>
    </row>
    <row r="146" ht="24.75">
      <c r="A146" s="9" t="s">
        <v>286</v>
      </c>
      <c r="B146" s="10" t="s">
        <v>348</v>
      </c>
      <c r="C146" s="10" t="s">
        <v>427</v>
      </c>
      <c r="D146" s="14" t="s">
        <v>428</v>
      </c>
      <c r="E146" s="10"/>
      <c r="F146" s="10" t="s">
        <v>80</v>
      </c>
      <c r="G146" s="50" t="n">
        <v>2</v>
      </c>
      <c r="H146" s="50" t="n">
        <v>0</v>
      </c>
      <c r="I146" s="50">
        <f>ROUND(G146*AO146,2)</f>
      </c>
      <c r="J146" s="50">
        <f>ROUND(G146*AP146,2)</f>
      </c>
      <c r="K146" s="50">
        <f>ROUND(G146*H146,2)</f>
      </c>
      <c r="L146" s="51" t="s">
        <v>400</v>
      </c>
      <c r="Z146" s="50">
        <f>ROUND(IF(AQ146="5",BJ146,0),2)</f>
      </c>
      <c r="AB146" s="50">
        <f>ROUND(IF(AQ146="1",BH146,0),2)</f>
      </c>
      <c r="AC146" s="50">
        <f>ROUND(IF(AQ146="1",BI146,0),2)</f>
      </c>
      <c r="AD146" s="50">
        <f>ROUND(IF(AQ146="7",BH146,0),2)</f>
      </c>
      <c r="AE146" s="50">
        <f>ROUND(IF(AQ146="7",BI146,0),2)</f>
      </c>
      <c r="AF146" s="50">
        <f>ROUND(IF(AQ146="2",BH146,0),2)</f>
      </c>
      <c r="AG146" s="50">
        <f>ROUND(IF(AQ146="2",BI146,0),2)</f>
      </c>
      <c r="AH146" s="50">
        <f>ROUND(IF(AQ146="0",BJ146,0),2)</f>
      </c>
      <c r="AI146" s="28" t="s">
        <v>348</v>
      </c>
      <c r="AJ146" s="50">
        <f>IF(AN146=0,K146,0)</f>
      </c>
      <c r="AK146" s="50">
        <f>IF(AN146=12,K146,0)</f>
      </c>
      <c r="AL146" s="50">
        <f>IF(AN146=21,K146,0)</f>
      </c>
      <c r="AN146" s="50" t="n">
        <v>21</v>
      </c>
      <c r="AO146" s="50">
        <f>H146*0</f>
      </c>
      <c r="AP146" s="50">
        <f>H146*(1-0)</f>
      </c>
      <c r="AQ146" s="52" t="s">
        <v>57</v>
      </c>
      <c r="AV146" s="50">
        <f>ROUND(AW146+AX146,2)</f>
      </c>
      <c r="AW146" s="50">
        <f>ROUND(G146*AO146,2)</f>
      </c>
      <c r="AX146" s="50">
        <f>ROUND(G146*AP146,2)</f>
      </c>
      <c r="AY146" s="52" t="s">
        <v>429</v>
      </c>
      <c r="AZ146" s="52" t="s">
        <v>415</v>
      </c>
      <c r="BA146" s="28" t="s">
        <v>356</v>
      </c>
      <c r="BC146" s="50">
        <f>AW146+AX146</f>
      </c>
      <c r="BD146" s="50">
        <f>H146/(100-BE146)*100</f>
      </c>
      <c r="BE146" s="50" t="n">
        <v>0</v>
      </c>
      <c r="BF146" s="50">
        <f>146</f>
      </c>
      <c r="BH146" s="50">
        <f>G146*AO146</f>
      </c>
      <c r="BI146" s="50">
        <f>G146*AP146</f>
      </c>
      <c r="BJ146" s="50">
        <f>G146*H146</f>
      </c>
      <c r="BK146" s="52" t="s">
        <v>65</v>
      </c>
      <c r="BL146" s="50" t="n">
        <v>28</v>
      </c>
      <c r="BW146" s="50" t="n">
        <v>21</v>
      </c>
      <c r="BX146" s="14" t="s">
        <v>428</v>
      </c>
    </row>
    <row r="147">
      <c r="A147" s="45" t="s">
        <v>52</v>
      </c>
      <c r="B147" s="46" t="s">
        <v>348</v>
      </c>
      <c r="C147" s="46" t="s">
        <v>255</v>
      </c>
      <c r="D147" s="47" t="s">
        <v>430</v>
      </c>
      <c r="E147" s="46"/>
      <c r="F147" s="48" t="s">
        <v>8</v>
      </c>
      <c r="G147" s="48" t="s">
        <v>8</v>
      </c>
      <c r="H147" s="48" t="s">
        <v>8</v>
      </c>
      <c r="I147" s="2">
        <f>SUM(I148:I151)</f>
      </c>
      <c r="J147" s="2">
        <f>SUM(J148:J151)</f>
      </c>
      <c r="K147" s="2">
        <f>SUM(K148:K151)</f>
      </c>
      <c r="L147" s="49" t="s">
        <v>52</v>
      </c>
      <c r="AI147" s="28" t="s">
        <v>348</v>
      </c>
      <c r="AS147" s="2">
        <f>SUM(AJ148:AJ151)</f>
      </c>
      <c r="AT147" s="2">
        <f>SUM(AK148:AK151)</f>
      </c>
      <c r="AU147" s="2">
        <f>SUM(AL148:AL151)</f>
      </c>
    </row>
    <row r="148">
      <c r="A148" s="9" t="s">
        <v>431</v>
      </c>
      <c r="B148" s="10" t="s">
        <v>348</v>
      </c>
      <c r="C148" s="10" t="s">
        <v>432</v>
      </c>
      <c r="D148" s="14" t="s">
        <v>433</v>
      </c>
      <c r="E148" s="10"/>
      <c r="F148" s="10" t="s">
        <v>60</v>
      </c>
      <c r="G148" s="50" t="n">
        <v>7.368</v>
      </c>
      <c r="H148" s="50" t="n">
        <v>0</v>
      </c>
      <c r="I148" s="50">
        <f>ROUND(G148*AO148,2)</f>
      </c>
      <c r="J148" s="50">
        <f>ROUND(G148*AP148,2)</f>
      </c>
      <c r="K148" s="50">
        <f>ROUND(G148*H148,2)</f>
      </c>
      <c r="L148" s="51" t="s">
        <v>400</v>
      </c>
      <c r="Z148" s="50">
        <f>ROUND(IF(AQ148="5",BJ148,0),2)</f>
      </c>
      <c r="AB148" s="50">
        <f>ROUND(IF(AQ148="1",BH148,0),2)</f>
      </c>
      <c r="AC148" s="50">
        <f>ROUND(IF(AQ148="1",BI148,0),2)</f>
      </c>
      <c r="AD148" s="50">
        <f>ROUND(IF(AQ148="7",BH148,0),2)</f>
      </c>
      <c r="AE148" s="50">
        <f>ROUND(IF(AQ148="7",BI148,0),2)</f>
      </c>
      <c r="AF148" s="50">
        <f>ROUND(IF(AQ148="2",BH148,0),2)</f>
      </c>
      <c r="AG148" s="50">
        <f>ROUND(IF(AQ148="2",BI148,0),2)</f>
      </c>
      <c r="AH148" s="50">
        <f>ROUND(IF(AQ148="0",BJ148,0),2)</f>
      </c>
      <c r="AI148" s="28" t="s">
        <v>348</v>
      </c>
      <c r="AJ148" s="50">
        <f>IF(AN148=0,K148,0)</f>
      </c>
      <c r="AK148" s="50">
        <f>IF(AN148=12,K148,0)</f>
      </c>
      <c r="AL148" s="50">
        <f>IF(AN148=21,K148,0)</f>
      </c>
      <c r="AN148" s="50" t="n">
        <v>21</v>
      </c>
      <c r="AO148" s="50">
        <f>H148*0</f>
      </c>
      <c r="AP148" s="50">
        <f>H148*(1-0)</f>
      </c>
      <c r="AQ148" s="52" t="s">
        <v>57</v>
      </c>
      <c r="AV148" s="50">
        <f>ROUND(AW148+AX148,2)</f>
      </c>
      <c r="AW148" s="50">
        <f>ROUND(G148*AO148,2)</f>
      </c>
      <c r="AX148" s="50">
        <f>ROUND(G148*AP148,2)</f>
      </c>
      <c r="AY148" s="52" t="s">
        <v>434</v>
      </c>
      <c r="AZ148" s="52" t="s">
        <v>435</v>
      </c>
      <c r="BA148" s="28" t="s">
        <v>356</v>
      </c>
      <c r="BC148" s="50">
        <f>AW148+AX148</f>
      </c>
      <c r="BD148" s="50">
        <f>H148/(100-BE148)*100</f>
      </c>
      <c r="BE148" s="50" t="n">
        <v>0</v>
      </c>
      <c r="BF148" s="50">
        <f>148</f>
      </c>
      <c r="BH148" s="50">
        <f>G148*AO148</f>
      </c>
      <c r="BI148" s="50">
        <f>G148*AP148</f>
      </c>
      <c r="BJ148" s="50">
        <f>G148*H148</f>
      </c>
      <c r="BK148" s="52" t="s">
        <v>65</v>
      </c>
      <c r="BL148" s="50" t="n">
        <v>45</v>
      </c>
      <c r="BW148" s="50" t="n">
        <v>21</v>
      </c>
      <c r="BX148" s="14" t="s">
        <v>433</v>
      </c>
    </row>
    <row r="149">
      <c r="A149" s="9" t="s">
        <v>436</v>
      </c>
      <c r="B149" s="10" t="s">
        <v>348</v>
      </c>
      <c r="C149" s="10" t="s">
        <v>437</v>
      </c>
      <c r="D149" s="14" t="s">
        <v>438</v>
      </c>
      <c r="E149" s="10"/>
      <c r="F149" s="10" t="s">
        <v>80</v>
      </c>
      <c r="G149" s="50" t="n">
        <v>4</v>
      </c>
      <c r="H149" s="50" t="n">
        <v>0</v>
      </c>
      <c r="I149" s="50">
        <f>ROUND(G149*AO149,2)</f>
      </c>
      <c r="J149" s="50">
        <f>ROUND(G149*AP149,2)</f>
      </c>
      <c r="K149" s="50">
        <f>ROUND(G149*H149,2)</f>
      </c>
      <c r="L149" s="51" t="s">
        <v>400</v>
      </c>
      <c r="Z149" s="50">
        <f>ROUND(IF(AQ149="5",BJ149,0),2)</f>
      </c>
      <c r="AB149" s="50">
        <f>ROUND(IF(AQ149="1",BH149,0),2)</f>
      </c>
      <c r="AC149" s="50">
        <f>ROUND(IF(AQ149="1",BI149,0),2)</f>
      </c>
      <c r="AD149" s="50">
        <f>ROUND(IF(AQ149="7",BH149,0),2)</f>
      </c>
      <c r="AE149" s="50">
        <f>ROUND(IF(AQ149="7",BI149,0),2)</f>
      </c>
      <c r="AF149" s="50">
        <f>ROUND(IF(AQ149="2",BH149,0),2)</f>
      </c>
      <c r="AG149" s="50">
        <f>ROUND(IF(AQ149="2",BI149,0),2)</f>
      </c>
      <c r="AH149" s="50">
        <f>ROUND(IF(AQ149="0",BJ149,0),2)</f>
      </c>
      <c r="AI149" s="28" t="s">
        <v>348</v>
      </c>
      <c r="AJ149" s="50">
        <f>IF(AN149=0,K149,0)</f>
      </c>
      <c r="AK149" s="50">
        <f>IF(AN149=12,K149,0)</f>
      </c>
      <c r="AL149" s="50">
        <f>IF(AN149=21,K149,0)</f>
      </c>
      <c r="AN149" s="50" t="n">
        <v>21</v>
      </c>
      <c r="AO149" s="50">
        <f>H149*0</f>
      </c>
      <c r="AP149" s="50">
        <f>H149*(1-0)</f>
      </c>
      <c r="AQ149" s="52" t="s">
        <v>57</v>
      </c>
      <c r="AV149" s="50">
        <f>ROUND(AW149+AX149,2)</f>
      </c>
      <c r="AW149" s="50">
        <f>ROUND(G149*AO149,2)</f>
      </c>
      <c r="AX149" s="50">
        <f>ROUND(G149*AP149,2)</f>
      </c>
      <c r="AY149" s="52" t="s">
        <v>434</v>
      </c>
      <c r="AZ149" s="52" t="s">
        <v>435</v>
      </c>
      <c r="BA149" s="28" t="s">
        <v>356</v>
      </c>
      <c r="BC149" s="50">
        <f>AW149+AX149</f>
      </c>
      <c r="BD149" s="50">
        <f>H149/(100-BE149)*100</f>
      </c>
      <c r="BE149" s="50" t="n">
        <v>0</v>
      </c>
      <c r="BF149" s="50">
        <f>149</f>
      </c>
      <c r="BH149" s="50">
        <f>G149*AO149</f>
      </c>
      <c r="BI149" s="50">
        <f>G149*AP149</f>
      </c>
      <c r="BJ149" s="50">
        <f>G149*H149</f>
      </c>
      <c r="BK149" s="52" t="s">
        <v>65</v>
      </c>
      <c r="BL149" s="50" t="n">
        <v>45</v>
      </c>
      <c r="BW149" s="50" t="n">
        <v>21</v>
      </c>
      <c r="BX149" s="14" t="s">
        <v>438</v>
      </c>
    </row>
    <row r="150">
      <c r="A150" s="9" t="s">
        <v>439</v>
      </c>
      <c r="B150" s="10" t="s">
        <v>348</v>
      </c>
      <c r="C150" s="10" t="s">
        <v>440</v>
      </c>
      <c r="D150" s="14" t="s">
        <v>441</v>
      </c>
      <c r="E150" s="10"/>
      <c r="F150" s="10" t="s">
        <v>60</v>
      </c>
      <c r="G150" s="50" t="n">
        <v>0.7377</v>
      </c>
      <c r="H150" s="50" t="n">
        <v>0</v>
      </c>
      <c r="I150" s="50">
        <f>ROUND(G150*AO150,2)</f>
      </c>
      <c r="J150" s="50">
        <f>ROUND(G150*AP150,2)</f>
      </c>
      <c r="K150" s="50">
        <f>ROUND(G150*H150,2)</f>
      </c>
      <c r="L150" s="51" t="s">
        <v>400</v>
      </c>
      <c r="Z150" s="50">
        <f>ROUND(IF(AQ150="5",BJ150,0),2)</f>
      </c>
      <c r="AB150" s="50">
        <f>ROUND(IF(AQ150="1",BH150,0),2)</f>
      </c>
      <c r="AC150" s="50">
        <f>ROUND(IF(AQ150="1",BI150,0),2)</f>
      </c>
      <c r="AD150" s="50">
        <f>ROUND(IF(AQ150="7",BH150,0),2)</f>
      </c>
      <c r="AE150" s="50">
        <f>ROUND(IF(AQ150="7",BI150,0),2)</f>
      </c>
      <c r="AF150" s="50">
        <f>ROUND(IF(AQ150="2",BH150,0),2)</f>
      </c>
      <c r="AG150" s="50">
        <f>ROUND(IF(AQ150="2",BI150,0),2)</f>
      </c>
      <c r="AH150" s="50">
        <f>ROUND(IF(AQ150="0",BJ150,0),2)</f>
      </c>
      <c r="AI150" s="28" t="s">
        <v>348</v>
      </c>
      <c r="AJ150" s="50">
        <f>IF(AN150=0,K150,0)</f>
      </c>
      <c r="AK150" s="50">
        <f>IF(AN150=12,K150,0)</f>
      </c>
      <c r="AL150" s="50">
        <f>IF(AN150=21,K150,0)</f>
      </c>
      <c r="AN150" s="50" t="n">
        <v>21</v>
      </c>
      <c r="AO150" s="50">
        <f>H150*0</f>
      </c>
      <c r="AP150" s="50">
        <f>H150*(1-0)</f>
      </c>
      <c r="AQ150" s="52" t="s">
        <v>57</v>
      </c>
      <c r="AV150" s="50">
        <f>ROUND(AW150+AX150,2)</f>
      </c>
      <c r="AW150" s="50">
        <f>ROUND(G150*AO150,2)</f>
      </c>
      <c r="AX150" s="50">
        <f>ROUND(G150*AP150,2)</f>
      </c>
      <c r="AY150" s="52" t="s">
        <v>434</v>
      </c>
      <c r="AZ150" s="52" t="s">
        <v>435</v>
      </c>
      <c r="BA150" s="28" t="s">
        <v>356</v>
      </c>
      <c r="BC150" s="50">
        <f>AW150+AX150</f>
      </c>
      <c r="BD150" s="50">
        <f>H150/(100-BE150)*100</f>
      </c>
      <c r="BE150" s="50" t="n">
        <v>0</v>
      </c>
      <c r="BF150" s="50">
        <f>150</f>
      </c>
      <c r="BH150" s="50">
        <f>G150*AO150</f>
      </c>
      <c r="BI150" s="50">
        <f>G150*AP150</f>
      </c>
      <c r="BJ150" s="50">
        <f>G150*H150</f>
      </c>
      <c r="BK150" s="52" t="s">
        <v>65</v>
      </c>
      <c r="BL150" s="50" t="n">
        <v>45</v>
      </c>
      <c r="BW150" s="50" t="n">
        <v>21</v>
      </c>
      <c r="BX150" s="14" t="s">
        <v>441</v>
      </c>
    </row>
    <row r="151">
      <c r="A151" s="9" t="s">
        <v>292</v>
      </c>
      <c r="B151" s="10" t="s">
        <v>348</v>
      </c>
      <c r="C151" s="10" t="s">
        <v>442</v>
      </c>
      <c r="D151" s="14" t="s">
        <v>443</v>
      </c>
      <c r="E151" s="10"/>
      <c r="F151" s="10" t="s">
        <v>197</v>
      </c>
      <c r="G151" s="50" t="n">
        <v>5.33</v>
      </c>
      <c r="H151" s="50" t="n">
        <v>0</v>
      </c>
      <c r="I151" s="50">
        <f>ROUND(G151*AO151,2)</f>
      </c>
      <c r="J151" s="50">
        <f>ROUND(G151*AP151,2)</f>
      </c>
      <c r="K151" s="50">
        <f>ROUND(G151*H151,2)</f>
      </c>
      <c r="L151" s="51" t="s">
        <v>400</v>
      </c>
      <c r="Z151" s="50">
        <f>ROUND(IF(AQ151="5",BJ151,0),2)</f>
      </c>
      <c r="AB151" s="50">
        <f>ROUND(IF(AQ151="1",BH151,0),2)</f>
      </c>
      <c r="AC151" s="50">
        <f>ROUND(IF(AQ151="1",BI151,0),2)</f>
      </c>
      <c r="AD151" s="50">
        <f>ROUND(IF(AQ151="7",BH151,0),2)</f>
      </c>
      <c r="AE151" s="50">
        <f>ROUND(IF(AQ151="7",BI151,0),2)</f>
      </c>
      <c r="AF151" s="50">
        <f>ROUND(IF(AQ151="2",BH151,0),2)</f>
      </c>
      <c r="AG151" s="50">
        <f>ROUND(IF(AQ151="2",BI151,0),2)</f>
      </c>
      <c r="AH151" s="50">
        <f>ROUND(IF(AQ151="0",BJ151,0),2)</f>
      </c>
      <c r="AI151" s="28" t="s">
        <v>348</v>
      </c>
      <c r="AJ151" s="50">
        <f>IF(AN151=0,K151,0)</f>
      </c>
      <c r="AK151" s="50">
        <f>IF(AN151=12,K151,0)</f>
      </c>
      <c r="AL151" s="50">
        <f>IF(AN151=21,K151,0)</f>
      </c>
      <c r="AN151" s="50" t="n">
        <v>21</v>
      </c>
      <c r="AO151" s="50">
        <f>H151*0</f>
      </c>
      <c r="AP151" s="50">
        <f>H151*(1-0)</f>
      </c>
      <c r="AQ151" s="52" t="s">
        <v>57</v>
      </c>
      <c r="AV151" s="50">
        <f>ROUND(AW151+AX151,2)</f>
      </c>
      <c r="AW151" s="50">
        <f>ROUND(G151*AO151,2)</f>
      </c>
      <c r="AX151" s="50">
        <f>ROUND(G151*AP151,2)</f>
      </c>
      <c r="AY151" s="52" t="s">
        <v>434</v>
      </c>
      <c r="AZ151" s="52" t="s">
        <v>435</v>
      </c>
      <c r="BA151" s="28" t="s">
        <v>356</v>
      </c>
      <c r="BC151" s="50">
        <f>AW151+AX151</f>
      </c>
      <c r="BD151" s="50">
        <f>H151/(100-BE151)*100</f>
      </c>
      <c r="BE151" s="50" t="n">
        <v>0</v>
      </c>
      <c r="BF151" s="50">
        <f>151</f>
      </c>
      <c r="BH151" s="50">
        <f>G151*AO151</f>
      </c>
      <c r="BI151" s="50">
        <f>G151*AP151</f>
      </c>
      <c r="BJ151" s="50">
        <f>G151*H151</f>
      </c>
      <c r="BK151" s="52" t="s">
        <v>65</v>
      </c>
      <c r="BL151" s="50" t="n">
        <v>45</v>
      </c>
      <c r="BW151" s="50" t="n">
        <v>21</v>
      </c>
      <c r="BX151" s="14" t="s">
        <v>443</v>
      </c>
    </row>
    <row r="152">
      <c r="A152" s="45" t="s">
        <v>52</v>
      </c>
      <c r="B152" s="46" t="s">
        <v>348</v>
      </c>
      <c r="C152" s="46" t="s">
        <v>243</v>
      </c>
      <c r="D152" s="47" t="s">
        <v>244</v>
      </c>
      <c r="E152" s="46"/>
      <c r="F152" s="48" t="s">
        <v>8</v>
      </c>
      <c r="G152" s="48" t="s">
        <v>8</v>
      </c>
      <c r="H152" s="48" t="s">
        <v>8</v>
      </c>
      <c r="I152" s="2">
        <f>SUM(I153:I153)</f>
      </c>
      <c r="J152" s="2">
        <f>SUM(J153:J153)</f>
      </c>
      <c r="K152" s="2">
        <f>SUM(K153:K153)</f>
      </c>
      <c r="L152" s="49" t="s">
        <v>52</v>
      </c>
      <c r="AI152" s="28" t="s">
        <v>348</v>
      </c>
      <c r="AS152" s="2">
        <f>SUM(AJ153:AJ153)</f>
      </c>
      <c r="AT152" s="2">
        <f>SUM(AK153:AK153)</f>
      </c>
      <c r="AU152" s="2">
        <f>SUM(AL153:AL153)</f>
      </c>
    </row>
    <row r="153">
      <c r="A153" s="9" t="s">
        <v>444</v>
      </c>
      <c r="B153" s="10" t="s">
        <v>348</v>
      </c>
      <c r="C153" s="10" t="s">
        <v>445</v>
      </c>
      <c r="D153" s="14" t="s">
        <v>446</v>
      </c>
      <c r="E153" s="10"/>
      <c r="F153" s="10" t="s">
        <v>80</v>
      </c>
      <c r="G153" s="50" t="n">
        <v>2.02</v>
      </c>
      <c r="H153" s="50" t="n">
        <v>0</v>
      </c>
      <c r="I153" s="50">
        <f>ROUND(G153*AO153,2)</f>
      </c>
      <c r="J153" s="50">
        <f>ROUND(G153*AP153,2)</f>
      </c>
      <c r="K153" s="50">
        <f>ROUND(G153*H153,2)</f>
      </c>
      <c r="L153" s="51" t="s">
        <v>400</v>
      </c>
      <c r="Z153" s="50">
        <f>ROUND(IF(AQ153="5",BJ153,0),2)</f>
      </c>
      <c r="AB153" s="50">
        <f>ROUND(IF(AQ153="1",BH153,0),2)</f>
      </c>
      <c r="AC153" s="50">
        <f>ROUND(IF(AQ153="1",BI153,0),2)</f>
      </c>
      <c r="AD153" s="50">
        <f>ROUND(IF(AQ153="7",BH153,0),2)</f>
      </c>
      <c r="AE153" s="50">
        <f>ROUND(IF(AQ153="7",BI153,0),2)</f>
      </c>
      <c r="AF153" s="50">
        <f>ROUND(IF(AQ153="2",BH153,0),2)</f>
      </c>
      <c r="AG153" s="50">
        <f>ROUND(IF(AQ153="2",BI153,0),2)</f>
      </c>
      <c r="AH153" s="50">
        <f>ROUND(IF(AQ153="0",BJ153,0),2)</f>
      </c>
      <c r="AI153" s="28" t="s">
        <v>348</v>
      </c>
      <c r="AJ153" s="50">
        <f>IF(AN153=0,K153,0)</f>
      </c>
      <c r="AK153" s="50">
        <f>IF(AN153=12,K153,0)</f>
      </c>
      <c r="AL153" s="50">
        <f>IF(AN153=21,K153,0)</f>
      </c>
      <c r="AN153" s="50" t="n">
        <v>21</v>
      </c>
      <c r="AO153" s="50">
        <f>H153*0</f>
      </c>
      <c r="AP153" s="50">
        <f>H153*(1-0)</f>
      </c>
      <c r="AQ153" s="52" t="s">
        <v>57</v>
      </c>
      <c r="AV153" s="50">
        <f>ROUND(AW153+AX153,2)</f>
      </c>
      <c r="AW153" s="50">
        <f>ROUND(G153*AO153,2)</f>
      </c>
      <c r="AX153" s="50">
        <f>ROUND(G153*AP153,2)</f>
      </c>
      <c r="AY153" s="52" t="s">
        <v>248</v>
      </c>
      <c r="AZ153" s="52" t="s">
        <v>447</v>
      </c>
      <c r="BA153" s="28" t="s">
        <v>356</v>
      </c>
      <c r="BC153" s="50">
        <f>AW153+AX153</f>
      </c>
      <c r="BD153" s="50">
        <f>H153/(100-BE153)*100</f>
      </c>
      <c r="BE153" s="50" t="n">
        <v>0</v>
      </c>
      <c r="BF153" s="50">
        <f>153</f>
      </c>
      <c r="BH153" s="50">
        <f>G153*AO153</f>
      </c>
      <c r="BI153" s="50">
        <f>G153*AP153</f>
      </c>
      <c r="BJ153" s="50">
        <f>G153*H153</f>
      </c>
      <c r="BK153" s="52" t="s">
        <v>65</v>
      </c>
      <c r="BL153" s="50" t="n">
        <v>59</v>
      </c>
      <c r="BW153" s="50" t="n">
        <v>21</v>
      </c>
      <c r="BX153" s="14" t="s">
        <v>446</v>
      </c>
    </row>
    <row r="154">
      <c r="A154" s="45" t="s">
        <v>52</v>
      </c>
      <c r="B154" s="46" t="s">
        <v>348</v>
      </c>
      <c r="C154" s="46" t="s">
        <v>394</v>
      </c>
      <c r="D154" s="47" t="s">
        <v>448</v>
      </c>
      <c r="E154" s="46"/>
      <c r="F154" s="48" t="s">
        <v>8</v>
      </c>
      <c r="G154" s="48" t="s">
        <v>8</v>
      </c>
      <c r="H154" s="48" t="s">
        <v>8</v>
      </c>
      <c r="I154" s="2">
        <f>SUM(I155:I155)</f>
      </c>
      <c r="J154" s="2">
        <f>SUM(J155:J155)</f>
      </c>
      <c r="K154" s="2">
        <f>SUM(K155:K155)</f>
      </c>
      <c r="L154" s="49" t="s">
        <v>52</v>
      </c>
      <c r="AI154" s="28" t="s">
        <v>348</v>
      </c>
      <c r="AS154" s="2">
        <f>SUM(AJ155:AJ155)</f>
      </c>
      <c r="AT154" s="2">
        <f>SUM(AK155:AK155)</f>
      </c>
      <c r="AU154" s="2">
        <f>SUM(AL155:AL155)</f>
      </c>
    </row>
    <row r="155">
      <c r="A155" s="9" t="s">
        <v>449</v>
      </c>
      <c r="B155" s="10" t="s">
        <v>348</v>
      </c>
      <c r="C155" s="10" t="s">
        <v>450</v>
      </c>
      <c r="D155" s="14" t="s">
        <v>451</v>
      </c>
      <c r="E155" s="10"/>
      <c r="F155" s="10" t="s">
        <v>80</v>
      </c>
      <c r="G155" s="50" t="n">
        <v>6</v>
      </c>
      <c r="H155" s="50" t="n">
        <v>0</v>
      </c>
      <c r="I155" s="50">
        <f>ROUND(G155*AO155,2)</f>
      </c>
      <c r="J155" s="50">
        <f>ROUND(G155*AP155,2)</f>
      </c>
      <c r="K155" s="50">
        <f>ROUND(G155*H155,2)</f>
      </c>
      <c r="L155" s="51" t="s">
        <v>400</v>
      </c>
      <c r="Z155" s="50">
        <f>ROUND(IF(AQ155="5",BJ155,0),2)</f>
      </c>
      <c r="AB155" s="50">
        <f>ROUND(IF(AQ155="1",BH155,0),2)</f>
      </c>
      <c r="AC155" s="50">
        <f>ROUND(IF(AQ155="1",BI155,0),2)</f>
      </c>
      <c r="AD155" s="50">
        <f>ROUND(IF(AQ155="7",BH155,0),2)</f>
      </c>
      <c r="AE155" s="50">
        <f>ROUND(IF(AQ155="7",BI155,0),2)</f>
      </c>
      <c r="AF155" s="50">
        <f>ROUND(IF(AQ155="2",BH155,0),2)</f>
      </c>
      <c r="AG155" s="50">
        <f>ROUND(IF(AQ155="2",BI155,0),2)</f>
      </c>
      <c r="AH155" s="50">
        <f>ROUND(IF(AQ155="0",BJ155,0),2)</f>
      </c>
      <c r="AI155" s="28" t="s">
        <v>348</v>
      </c>
      <c r="AJ155" s="50">
        <f>IF(AN155=0,K155,0)</f>
      </c>
      <c r="AK155" s="50">
        <f>IF(AN155=12,K155,0)</f>
      </c>
      <c r="AL155" s="50">
        <f>IF(AN155=21,K155,0)</f>
      </c>
      <c r="AN155" s="50" t="n">
        <v>21</v>
      </c>
      <c r="AO155" s="50">
        <f>H155*0</f>
      </c>
      <c r="AP155" s="50">
        <f>H155*(1-0)</f>
      </c>
      <c r="AQ155" s="52" t="s">
        <v>57</v>
      </c>
      <c r="AV155" s="50">
        <f>ROUND(AW155+AX155,2)</f>
      </c>
      <c r="AW155" s="50">
        <f>ROUND(G155*AO155,2)</f>
      </c>
      <c r="AX155" s="50">
        <f>ROUND(G155*AP155,2)</f>
      </c>
      <c r="AY155" s="52" t="s">
        <v>452</v>
      </c>
      <c r="AZ155" s="52" t="s">
        <v>453</v>
      </c>
      <c r="BA155" s="28" t="s">
        <v>356</v>
      </c>
      <c r="BC155" s="50">
        <f>AW155+AX155</f>
      </c>
      <c r="BD155" s="50">
        <f>H155/(100-BE155)*100</f>
      </c>
      <c r="BE155" s="50" t="n">
        <v>0</v>
      </c>
      <c r="BF155" s="50">
        <f>155</f>
      </c>
      <c r="BH155" s="50">
        <f>G155*AO155</f>
      </c>
      <c r="BI155" s="50">
        <f>G155*AP155</f>
      </c>
      <c r="BJ155" s="50">
        <f>G155*H155</f>
      </c>
      <c r="BK155" s="52" t="s">
        <v>65</v>
      </c>
      <c r="BL155" s="50" t="n">
        <v>83</v>
      </c>
      <c r="BW155" s="50" t="n">
        <v>21</v>
      </c>
      <c r="BX155" s="14" t="s">
        <v>451</v>
      </c>
    </row>
    <row r="156">
      <c r="A156" s="45" t="s">
        <v>52</v>
      </c>
      <c r="B156" s="46" t="s">
        <v>348</v>
      </c>
      <c r="C156" s="46" t="s">
        <v>408</v>
      </c>
      <c r="D156" s="47" t="s">
        <v>454</v>
      </c>
      <c r="E156" s="46"/>
      <c r="F156" s="48" t="s">
        <v>8</v>
      </c>
      <c r="G156" s="48" t="s">
        <v>8</v>
      </c>
      <c r="H156" s="48" t="s">
        <v>8</v>
      </c>
      <c r="I156" s="2">
        <f>SUM(I157:I160)</f>
      </c>
      <c r="J156" s="2">
        <f>SUM(J157:J160)</f>
      </c>
      <c r="K156" s="2">
        <f>SUM(K157:K160)</f>
      </c>
      <c r="L156" s="49" t="s">
        <v>52</v>
      </c>
      <c r="AI156" s="28" t="s">
        <v>348</v>
      </c>
      <c r="AS156" s="2">
        <f>SUM(AJ157:AJ160)</f>
      </c>
      <c r="AT156" s="2">
        <f>SUM(AK157:AK160)</f>
      </c>
      <c r="AU156" s="2">
        <f>SUM(AL157:AL160)</f>
      </c>
    </row>
    <row r="157">
      <c r="A157" s="9" t="s">
        <v>167</v>
      </c>
      <c r="B157" s="10" t="s">
        <v>348</v>
      </c>
      <c r="C157" s="10" t="s">
        <v>455</v>
      </c>
      <c r="D157" s="14" t="s">
        <v>456</v>
      </c>
      <c r="E157" s="10"/>
      <c r="F157" s="10" t="s">
        <v>101</v>
      </c>
      <c r="G157" s="50" t="n">
        <v>46.5</v>
      </c>
      <c r="H157" s="50" t="n">
        <v>0</v>
      </c>
      <c r="I157" s="50">
        <f>ROUND(G157*AO157,2)</f>
      </c>
      <c r="J157" s="50">
        <f>ROUND(G157*AP157,2)</f>
      </c>
      <c r="K157" s="50">
        <f>ROUND(G157*H157,2)</f>
      </c>
      <c r="L157" s="51" t="s">
        <v>400</v>
      </c>
      <c r="Z157" s="50">
        <f>ROUND(IF(AQ157="5",BJ157,0),2)</f>
      </c>
      <c r="AB157" s="50">
        <f>ROUND(IF(AQ157="1",BH157,0),2)</f>
      </c>
      <c r="AC157" s="50">
        <f>ROUND(IF(AQ157="1",BI157,0),2)</f>
      </c>
      <c r="AD157" s="50">
        <f>ROUND(IF(AQ157="7",BH157,0),2)</f>
      </c>
      <c r="AE157" s="50">
        <f>ROUND(IF(AQ157="7",BI157,0),2)</f>
      </c>
      <c r="AF157" s="50">
        <f>ROUND(IF(AQ157="2",BH157,0),2)</f>
      </c>
      <c r="AG157" s="50">
        <f>ROUND(IF(AQ157="2",BI157,0),2)</f>
      </c>
      <c r="AH157" s="50">
        <f>ROUND(IF(AQ157="0",BJ157,0),2)</f>
      </c>
      <c r="AI157" s="28" t="s">
        <v>348</v>
      </c>
      <c r="AJ157" s="50">
        <f>IF(AN157=0,K157,0)</f>
      </c>
      <c r="AK157" s="50">
        <f>IF(AN157=12,K157,0)</f>
      </c>
      <c r="AL157" s="50">
        <f>IF(AN157=21,K157,0)</f>
      </c>
      <c r="AN157" s="50" t="n">
        <v>21</v>
      </c>
      <c r="AO157" s="50">
        <f>H157*0</f>
      </c>
      <c r="AP157" s="50">
        <f>H157*(1-0)</f>
      </c>
      <c r="AQ157" s="52" t="s">
        <v>57</v>
      </c>
      <c r="AV157" s="50">
        <f>ROUND(AW157+AX157,2)</f>
      </c>
      <c r="AW157" s="50">
        <f>ROUND(G157*AO157,2)</f>
      </c>
      <c r="AX157" s="50">
        <f>ROUND(G157*AP157,2)</f>
      </c>
      <c r="AY157" s="52" t="s">
        <v>457</v>
      </c>
      <c r="AZ157" s="52" t="s">
        <v>453</v>
      </c>
      <c r="BA157" s="28" t="s">
        <v>356</v>
      </c>
      <c r="BC157" s="50">
        <f>AW157+AX157</f>
      </c>
      <c r="BD157" s="50">
        <f>H157/(100-BE157)*100</f>
      </c>
      <c r="BE157" s="50" t="n">
        <v>0</v>
      </c>
      <c r="BF157" s="50">
        <f>157</f>
      </c>
      <c r="BH157" s="50">
        <f>G157*AO157</f>
      </c>
      <c r="BI157" s="50">
        <f>G157*AP157</f>
      </c>
      <c r="BJ157" s="50">
        <f>G157*H157</f>
      </c>
      <c r="BK157" s="52" t="s">
        <v>65</v>
      </c>
      <c r="BL157" s="50" t="n">
        <v>87</v>
      </c>
      <c r="BW157" s="50" t="n">
        <v>21</v>
      </c>
      <c r="BX157" s="14" t="s">
        <v>456</v>
      </c>
    </row>
    <row r="158">
      <c r="A158" s="9" t="s">
        <v>458</v>
      </c>
      <c r="B158" s="10" t="s">
        <v>348</v>
      </c>
      <c r="C158" s="10" t="s">
        <v>459</v>
      </c>
      <c r="D158" s="14" t="s">
        <v>460</v>
      </c>
      <c r="E158" s="10"/>
      <c r="F158" s="10" t="s">
        <v>101</v>
      </c>
      <c r="G158" s="50" t="n">
        <v>45.6</v>
      </c>
      <c r="H158" s="50" t="n">
        <v>0</v>
      </c>
      <c r="I158" s="50">
        <f>ROUND(G158*AO158,2)</f>
      </c>
      <c r="J158" s="50">
        <f>ROUND(G158*AP158,2)</f>
      </c>
      <c r="K158" s="50">
        <f>ROUND(G158*H158,2)</f>
      </c>
      <c r="L158" s="51" t="s">
        <v>400</v>
      </c>
      <c r="Z158" s="50">
        <f>ROUND(IF(AQ158="5",BJ158,0),2)</f>
      </c>
      <c r="AB158" s="50">
        <f>ROUND(IF(AQ158="1",BH158,0),2)</f>
      </c>
      <c r="AC158" s="50">
        <f>ROUND(IF(AQ158="1",BI158,0),2)</f>
      </c>
      <c r="AD158" s="50">
        <f>ROUND(IF(AQ158="7",BH158,0),2)</f>
      </c>
      <c r="AE158" s="50">
        <f>ROUND(IF(AQ158="7",BI158,0),2)</f>
      </c>
      <c r="AF158" s="50">
        <f>ROUND(IF(AQ158="2",BH158,0),2)</f>
      </c>
      <c r="AG158" s="50">
        <f>ROUND(IF(AQ158="2",BI158,0),2)</f>
      </c>
      <c r="AH158" s="50">
        <f>ROUND(IF(AQ158="0",BJ158,0),2)</f>
      </c>
      <c r="AI158" s="28" t="s">
        <v>348</v>
      </c>
      <c r="AJ158" s="50">
        <f>IF(AN158=0,K158,0)</f>
      </c>
      <c r="AK158" s="50">
        <f>IF(AN158=12,K158,0)</f>
      </c>
      <c r="AL158" s="50">
        <f>IF(AN158=21,K158,0)</f>
      </c>
      <c r="AN158" s="50" t="n">
        <v>21</v>
      </c>
      <c r="AO158" s="50">
        <f>H158*0</f>
      </c>
      <c r="AP158" s="50">
        <f>H158*(1-0)</f>
      </c>
      <c r="AQ158" s="52" t="s">
        <v>57</v>
      </c>
      <c r="AV158" s="50">
        <f>ROUND(AW158+AX158,2)</f>
      </c>
      <c r="AW158" s="50">
        <f>ROUND(G158*AO158,2)</f>
      </c>
      <c r="AX158" s="50">
        <f>ROUND(G158*AP158,2)</f>
      </c>
      <c r="AY158" s="52" t="s">
        <v>457</v>
      </c>
      <c r="AZ158" s="52" t="s">
        <v>453</v>
      </c>
      <c r="BA158" s="28" t="s">
        <v>356</v>
      </c>
      <c r="BC158" s="50">
        <f>AW158+AX158</f>
      </c>
      <c r="BD158" s="50">
        <f>H158/(100-BE158)*100</f>
      </c>
      <c r="BE158" s="50" t="n">
        <v>0</v>
      </c>
      <c r="BF158" s="50">
        <f>158</f>
      </c>
      <c r="BH158" s="50">
        <f>G158*AO158</f>
      </c>
      <c r="BI158" s="50">
        <f>G158*AP158</f>
      </c>
      <c r="BJ158" s="50">
        <f>G158*H158</f>
      </c>
      <c r="BK158" s="52" t="s">
        <v>65</v>
      </c>
      <c r="BL158" s="50" t="n">
        <v>87</v>
      </c>
      <c r="BW158" s="50" t="n">
        <v>21</v>
      </c>
      <c r="BX158" s="14" t="s">
        <v>460</v>
      </c>
    </row>
    <row r="159">
      <c r="A159" s="9" t="s">
        <v>461</v>
      </c>
      <c r="B159" s="10" t="s">
        <v>348</v>
      </c>
      <c r="C159" s="10" t="s">
        <v>462</v>
      </c>
      <c r="D159" s="14" t="s">
        <v>463</v>
      </c>
      <c r="E159" s="10"/>
      <c r="F159" s="10" t="s">
        <v>80</v>
      </c>
      <c r="G159" s="50" t="n">
        <v>7</v>
      </c>
      <c r="H159" s="50" t="n">
        <v>0</v>
      </c>
      <c r="I159" s="50">
        <f>ROUND(G159*AO159,2)</f>
      </c>
      <c r="J159" s="50">
        <f>ROUND(G159*AP159,2)</f>
      </c>
      <c r="K159" s="50">
        <f>ROUND(G159*H159,2)</f>
      </c>
      <c r="L159" s="51" t="s">
        <v>400</v>
      </c>
      <c r="Z159" s="50">
        <f>ROUND(IF(AQ159="5",BJ159,0),2)</f>
      </c>
      <c r="AB159" s="50">
        <f>ROUND(IF(AQ159="1",BH159,0),2)</f>
      </c>
      <c r="AC159" s="50">
        <f>ROUND(IF(AQ159="1",BI159,0),2)</f>
      </c>
      <c r="AD159" s="50">
        <f>ROUND(IF(AQ159="7",BH159,0),2)</f>
      </c>
      <c r="AE159" s="50">
        <f>ROUND(IF(AQ159="7",BI159,0),2)</f>
      </c>
      <c r="AF159" s="50">
        <f>ROUND(IF(AQ159="2",BH159,0),2)</f>
      </c>
      <c r="AG159" s="50">
        <f>ROUND(IF(AQ159="2",BI159,0),2)</f>
      </c>
      <c r="AH159" s="50">
        <f>ROUND(IF(AQ159="0",BJ159,0),2)</f>
      </c>
      <c r="AI159" s="28" t="s">
        <v>348</v>
      </c>
      <c r="AJ159" s="50">
        <f>IF(AN159=0,K159,0)</f>
      </c>
      <c r="AK159" s="50">
        <f>IF(AN159=12,K159,0)</f>
      </c>
      <c r="AL159" s="50">
        <f>IF(AN159=21,K159,0)</f>
      </c>
      <c r="AN159" s="50" t="n">
        <v>21</v>
      </c>
      <c r="AO159" s="50">
        <f>H159*0</f>
      </c>
      <c r="AP159" s="50">
        <f>H159*(1-0)</f>
      </c>
      <c r="AQ159" s="52" t="s">
        <v>57</v>
      </c>
      <c r="AV159" s="50">
        <f>ROUND(AW159+AX159,2)</f>
      </c>
      <c r="AW159" s="50">
        <f>ROUND(G159*AO159,2)</f>
      </c>
      <c r="AX159" s="50">
        <f>ROUND(G159*AP159,2)</f>
      </c>
      <c r="AY159" s="52" t="s">
        <v>457</v>
      </c>
      <c r="AZ159" s="52" t="s">
        <v>453</v>
      </c>
      <c r="BA159" s="28" t="s">
        <v>356</v>
      </c>
      <c r="BC159" s="50">
        <f>AW159+AX159</f>
      </c>
      <c r="BD159" s="50">
        <f>H159/(100-BE159)*100</f>
      </c>
      <c r="BE159" s="50" t="n">
        <v>0</v>
      </c>
      <c r="BF159" s="50">
        <f>159</f>
      </c>
      <c r="BH159" s="50">
        <f>G159*AO159</f>
      </c>
      <c r="BI159" s="50">
        <f>G159*AP159</f>
      </c>
      <c r="BJ159" s="50">
        <f>G159*H159</f>
      </c>
      <c r="BK159" s="52" t="s">
        <v>65</v>
      </c>
      <c r="BL159" s="50" t="n">
        <v>87</v>
      </c>
      <c r="BW159" s="50" t="n">
        <v>21</v>
      </c>
      <c r="BX159" s="14" t="s">
        <v>463</v>
      </c>
    </row>
    <row r="160">
      <c r="A160" s="9" t="s">
        <v>464</v>
      </c>
      <c r="B160" s="10" t="s">
        <v>348</v>
      </c>
      <c r="C160" s="10" t="s">
        <v>462</v>
      </c>
      <c r="D160" s="14" t="s">
        <v>463</v>
      </c>
      <c r="E160" s="10"/>
      <c r="F160" s="10" t="s">
        <v>80</v>
      </c>
      <c r="G160" s="50" t="n">
        <v>11.415</v>
      </c>
      <c r="H160" s="50" t="n">
        <v>0</v>
      </c>
      <c r="I160" s="50">
        <f>ROUND(G160*AO160,2)</f>
      </c>
      <c r="J160" s="50">
        <f>ROUND(G160*AP160,2)</f>
      </c>
      <c r="K160" s="50">
        <f>ROUND(G160*H160,2)</f>
      </c>
      <c r="L160" s="51" t="s">
        <v>400</v>
      </c>
      <c r="Z160" s="50">
        <f>ROUND(IF(AQ160="5",BJ160,0),2)</f>
      </c>
      <c r="AB160" s="50">
        <f>ROUND(IF(AQ160="1",BH160,0),2)</f>
      </c>
      <c r="AC160" s="50">
        <f>ROUND(IF(AQ160="1",BI160,0),2)</f>
      </c>
      <c r="AD160" s="50">
        <f>ROUND(IF(AQ160="7",BH160,0),2)</f>
      </c>
      <c r="AE160" s="50">
        <f>ROUND(IF(AQ160="7",BI160,0),2)</f>
      </c>
      <c r="AF160" s="50">
        <f>ROUND(IF(AQ160="2",BH160,0),2)</f>
      </c>
      <c r="AG160" s="50">
        <f>ROUND(IF(AQ160="2",BI160,0),2)</f>
      </c>
      <c r="AH160" s="50">
        <f>ROUND(IF(AQ160="0",BJ160,0),2)</f>
      </c>
      <c r="AI160" s="28" t="s">
        <v>348</v>
      </c>
      <c r="AJ160" s="50">
        <f>IF(AN160=0,K160,0)</f>
      </c>
      <c r="AK160" s="50">
        <f>IF(AN160=12,K160,0)</f>
      </c>
      <c r="AL160" s="50">
        <f>IF(AN160=21,K160,0)</f>
      </c>
      <c r="AN160" s="50" t="n">
        <v>21</v>
      </c>
      <c r="AO160" s="50">
        <f>H160*0</f>
      </c>
      <c r="AP160" s="50">
        <f>H160*(1-0)</f>
      </c>
      <c r="AQ160" s="52" t="s">
        <v>57</v>
      </c>
      <c r="AV160" s="50">
        <f>ROUND(AW160+AX160,2)</f>
      </c>
      <c r="AW160" s="50">
        <f>ROUND(G160*AO160,2)</f>
      </c>
      <c r="AX160" s="50">
        <f>ROUND(G160*AP160,2)</f>
      </c>
      <c r="AY160" s="52" t="s">
        <v>457</v>
      </c>
      <c r="AZ160" s="52" t="s">
        <v>453</v>
      </c>
      <c r="BA160" s="28" t="s">
        <v>356</v>
      </c>
      <c r="BC160" s="50">
        <f>AW160+AX160</f>
      </c>
      <c r="BD160" s="50">
        <f>H160/(100-BE160)*100</f>
      </c>
      <c r="BE160" s="50" t="n">
        <v>0</v>
      </c>
      <c r="BF160" s="50">
        <f>160</f>
      </c>
      <c r="BH160" s="50">
        <f>G160*AO160</f>
      </c>
      <c r="BI160" s="50">
        <f>G160*AP160</f>
      </c>
      <c r="BJ160" s="50">
        <f>G160*H160</f>
      </c>
      <c r="BK160" s="52" t="s">
        <v>65</v>
      </c>
      <c r="BL160" s="50" t="n">
        <v>87</v>
      </c>
      <c r="BW160" s="50" t="n">
        <v>21</v>
      </c>
      <c r="BX160" s="14" t="s">
        <v>463</v>
      </c>
    </row>
    <row r="161">
      <c r="A161" s="45" t="s">
        <v>52</v>
      </c>
      <c r="B161" s="46" t="s">
        <v>348</v>
      </c>
      <c r="C161" s="46" t="s">
        <v>416</v>
      </c>
      <c r="D161" s="47" t="s">
        <v>465</v>
      </c>
      <c r="E161" s="46"/>
      <c r="F161" s="48" t="s">
        <v>8</v>
      </c>
      <c r="G161" s="48" t="s">
        <v>8</v>
      </c>
      <c r="H161" s="48" t="s">
        <v>8</v>
      </c>
      <c r="I161" s="2">
        <f>SUM(I162:I175)</f>
      </c>
      <c r="J161" s="2">
        <f>SUM(J162:J175)</f>
      </c>
      <c r="K161" s="2">
        <f>SUM(K162:K175)</f>
      </c>
      <c r="L161" s="49" t="s">
        <v>52</v>
      </c>
      <c r="AI161" s="28" t="s">
        <v>348</v>
      </c>
      <c r="AS161" s="2">
        <f>SUM(AJ162:AJ175)</f>
      </c>
      <c r="AT161" s="2">
        <f>SUM(AK162:AK175)</f>
      </c>
      <c r="AU161" s="2">
        <f>SUM(AL162:AL175)</f>
      </c>
    </row>
    <row r="162">
      <c r="A162" s="9" t="s">
        <v>466</v>
      </c>
      <c r="B162" s="10" t="s">
        <v>348</v>
      </c>
      <c r="C162" s="10" t="s">
        <v>467</v>
      </c>
      <c r="D162" s="14" t="s">
        <v>468</v>
      </c>
      <c r="E162" s="10"/>
      <c r="F162" s="10" t="s">
        <v>101</v>
      </c>
      <c r="G162" s="50" t="n">
        <v>92.1</v>
      </c>
      <c r="H162" s="50" t="n">
        <v>0</v>
      </c>
      <c r="I162" s="50">
        <f>ROUND(G162*AO162,2)</f>
      </c>
      <c r="J162" s="50">
        <f>ROUND(G162*AP162,2)</f>
      </c>
      <c r="K162" s="50">
        <f>ROUND(G162*H162,2)</f>
      </c>
      <c r="L162" s="51" t="s">
        <v>400</v>
      </c>
      <c r="Z162" s="50">
        <f>ROUND(IF(AQ162="5",BJ162,0),2)</f>
      </c>
      <c r="AB162" s="50">
        <f>ROUND(IF(AQ162="1",BH162,0),2)</f>
      </c>
      <c r="AC162" s="50">
        <f>ROUND(IF(AQ162="1",BI162,0),2)</f>
      </c>
      <c r="AD162" s="50">
        <f>ROUND(IF(AQ162="7",BH162,0),2)</f>
      </c>
      <c r="AE162" s="50">
        <f>ROUND(IF(AQ162="7",BI162,0),2)</f>
      </c>
      <c r="AF162" s="50">
        <f>ROUND(IF(AQ162="2",BH162,0),2)</f>
      </c>
      <c r="AG162" s="50">
        <f>ROUND(IF(AQ162="2",BI162,0),2)</f>
      </c>
      <c r="AH162" s="50">
        <f>ROUND(IF(AQ162="0",BJ162,0),2)</f>
      </c>
      <c r="AI162" s="28" t="s">
        <v>348</v>
      </c>
      <c r="AJ162" s="50">
        <f>IF(AN162=0,K162,0)</f>
      </c>
      <c r="AK162" s="50">
        <f>IF(AN162=12,K162,0)</f>
      </c>
      <c r="AL162" s="50">
        <f>IF(AN162=21,K162,0)</f>
      </c>
      <c r="AN162" s="50" t="n">
        <v>21</v>
      </c>
      <c r="AO162" s="50">
        <f>H162*0</f>
      </c>
      <c r="AP162" s="50">
        <f>H162*(1-0)</f>
      </c>
      <c r="AQ162" s="52" t="s">
        <v>57</v>
      </c>
      <c r="AV162" s="50">
        <f>ROUND(AW162+AX162,2)</f>
      </c>
      <c r="AW162" s="50">
        <f>ROUND(G162*AO162,2)</f>
      </c>
      <c r="AX162" s="50">
        <f>ROUND(G162*AP162,2)</f>
      </c>
      <c r="AY162" s="52" t="s">
        <v>469</v>
      </c>
      <c r="AZ162" s="52" t="s">
        <v>453</v>
      </c>
      <c r="BA162" s="28" t="s">
        <v>356</v>
      </c>
      <c r="BC162" s="50">
        <f>AW162+AX162</f>
      </c>
      <c r="BD162" s="50">
        <f>H162/(100-BE162)*100</f>
      </c>
      <c r="BE162" s="50" t="n">
        <v>0</v>
      </c>
      <c r="BF162" s="50">
        <f>162</f>
      </c>
      <c r="BH162" s="50">
        <f>G162*AO162</f>
      </c>
      <c r="BI162" s="50">
        <f>G162*AP162</f>
      </c>
      <c r="BJ162" s="50">
        <f>G162*H162</f>
      </c>
      <c r="BK162" s="52" t="s">
        <v>65</v>
      </c>
      <c r="BL162" s="50" t="n">
        <v>89</v>
      </c>
      <c r="BW162" s="50" t="n">
        <v>21</v>
      </c>
      <c r="BX162" s="14" t="s">
        <v>468</v>
      </c>
    </row>
    <row r="163">
      <c r="A163" s="9" t="s">
        <v>470</v>
      </c>
      <c r="B163" s="10" t="s">
        <v>348</v>
      </c>
      <c r="C163" s="10" t="s">
        <v>471</v>
      </c>
      <c r="D163" s="14" t="s">
        <v>472</v>
      </c>
      <c r="E163" s="10"/>
      <c r="F163" s="10" t="s">
        <v>101</v>
      </c>
      <c r="G163" s="50" t="n">
        <v>92.1</v>
      </c>
      <c r="H163" s="50" t="n">
        <v>0</v>
      </c>
      <c r="I163" s="50">
        <f>ROUND(G163*AO163,2)</f>
      </c>
      <c r="J163" s="50">
        <f>ROUND(G163*AP163,2)</f>
      </c>
      <c r="K163" s="50">
        <f>ROUND(G163*H163,2)</f>
      </c>
      <c r="L163" s="51" t="s">
        <v>400</v>
      </c>
      <c r="Z163" s="50">
        <f>ROUND(IF(AQ163="5",BJ163,0),2)</f>
      </c>
      <c r="AB163" s="50">
        <f>ROUND(IF(AQ163="1",BH163,0),2)</f>
      </c>
      <c r="AC163" s="50">
        <f>ROUND(IF(AQ163="1",BI163,0),2)</f>
      </c>
      <c r="AD163" s="50">
        <f>ROUND(IF(AQ163="7",BH163,0),2)</f>
      </c>
      <c r="AE163" s="50">
        <f>ROUND(IF(AQ163="7",BI163,0),2)</f>
      </c>
      <c r="AF163" s="50">
        <f>ROUND(IF(AQ163="2",BH163,0),2)</f>
      </c>
      <c r="AG163" s="50">
        <f>ROUND(IF(AQ163="2",BI163,0),2)</f>
      </c>
      <c r="AH163" s="50">
        <f>ROUND(IF(AQ163="0",BJ163,0),2)</f>
      </c>
      <c r="AI163" s="28" t="s">
        <v>348</v>
      </c>
      <c r="AJ163" s="50">
        <f>IF(AN163=0,K163,0)</f>
      </c>
      <c r="AK163" s="50">
        <f>IF(AN163=12,K163,0)</f>
      </c>
      <c r="AL163" s="50">
        <f>IF(AN163=21,K163,0)</f>
      </c>
      <c r="AN163" s="50" t="n">
        <v>21</v>
      </c>
      <c r="AO163" s="50">
        <f>H163*0</f>
      </c>
      <c r="AP163" s="50">
        <f>H163*(1-0)</f>
      </c>
      <c r="AQ163" s="52" t="s">
        <v>57</v>
      </c>
      <c r="AV163" s="50">
        <f>ROUND(AW163+AX163,2)</f>
      </c>
      <c r="AW163" s="50">
        <f>ROUND(G163*AO163,2)</f>
      </c>
      <c r="AX163" s="50">
        <f>ROUND(G163*AP163,2)</f>
      </c>
      <c r="AY163" s="52" t="s">
        <v>469</v>
      </c>
      <c r="AZ163" s="52" t="s">
        <v>453</v>
      </c>
      <c r="BA163" s="28" t="s">
        <v>356</v>
      </c>
      <c r="BC163" s="50">
        <f>AW163+AX163</f>
      </c>
      <c r="BD163" s="50">
        <f>H163/(100-BE163)*100</f>
      </c>
      <c r="BE163" s="50" t="n">
        <v>0</v>
      </c>
      <c r="BF163" s="50">
        <f>163</f>
      </c>
      <c r="BH163" s="50">
        <f>G163*AO163</f>
      </c>
      <c r="BI163" s="50">
        <f>G163*AP163</f>
      </c>
      <c r="BJ163" s="50">
        <f>G163*H163</f>
      </c>
      <c r="BK163" s="52" t="s">
        <v>65</v>
      </c>
      <c r="BL163" s="50" t="n">
        <v>89</v>
      </c>
      <c r="BW163" s="50" t="n">
        <v>21</v>
      </c>
      <c r="BX163" s="14" t="s">
        <v>472</v>
      </c>
    </row>
    <row r="164">
      <c r="A164" s="9" t="s">
        <v>473</v>
      </c>
      <c r="B164" s="10" t="s">
        <v>348</v>
      </c>
      <c r="C164" s="10" t="s">
        <v>474</v>
      </c>
      <c r="D164" s="14" t="s">
        <v>475</v>
      </c>
      <c r="E164" s="10"/>
      <c r="F164" s="10" t="s">
        <v>80</v>
      </c>
      <c r="G164" s="50" t="n">
        <v>8</v>
      </c>
      <c r="H164" s="50" t="n">
        <v>0</v>
      </c>
      <c r="I164" s="50">
        <f>ROUND(G164*AO164,2)</f>
      </c>
      <c r="J164" s="50">
        <f>ROUND(G164*AP164,2)</f>
      </c>
      <c r="K164" s="50">
        <f>ROUND(G164*H164,2)</f>
      </c>
      <c r="L164" s="51" t="s">
        <v>400</v>
      </c>
      <c r="Z164" s="50">
        <f>ROUND(IF(AQ164="5",BJ164,0),2)</f>
      </c>
      <c r="AB164" s="50">
        <f>ROUND(IF(AQ164="1",BH164,0),2)</f>
      </c>
      <c r="AC164" s="50">
        <f>ROUND(IF(AQ164="1",BI164,0),2)</f>
      </c>
      <c r="AD164" s="50">
        <f>ROUND(IF(AQ164="7",BH164,0),2)</f>
      </c>
      <c r="AE164" s="50">
        <f>ROUND(IF(AQ164="7",BI164,0),2)</f>
      </c>
      <c r="AF164" s="50">
        <f>ROUND(IF(AQ164="2",BH164,0),2)</f>
      </c>
      <c r="AG164" s="50">
        <f>ROUND(IF(AQ164="2",BI164,0),2)</f>
      </c>
      <c r="AH164" s="50">
        <f>ROUND(IF(AQ164="0",BJ164,0),2)</f>
      </c>
      <c r="AI164" s="28" t="s">
        <v>348</v>
      </c>
      <c r="AJ164" s="50">
        <f>IF(AN164=0,K164,0)</f>
      </c>
      <c r="AK164" s="50">
        <f>IF(AN164=12,K164,0)</f>
      </c>
      <c r="AL164" s="50">
        <f>IF(AN164=21,K164,0)</f>
      </c>
      <c r="AN164" s="50" t="n">
        <v>21</v>
      </c>
      <c r="AO164" s="50">
        <f>H164*0</f>
      </c>
      <c r="AP164" s="50">
        <f>H164*(1-0)</f>
      </c>
      <c r="AQ164" s="52" t="s">
        <v>57</v>
      </c>
      <c r="AV164" s="50">
        <f>ROUND(AW164+AX164,2)</f>
      </c>
      <c r="AW164" s="50">
        <f>ROUND(G164*AO164,2)</f>
      </c>
      <c r="AX164" s="50">
        <f>ROUND(G164*AP164,2)</f>
      </c>
      <c r="AY164" s="52" t="s">
        <v>469</v>
      </c>
      <c r="AZ164" s="52" t="s">
        <v>453</v>
      </c>
      <c r="BA164" s="28" t="s">
        <v>356</v>
      </c>
      <c r="BC164" s="50">
        <f>AW164+AX164</f>
      </c>
      <c r="BD164" s="50">
        <f>H164/(100-BE164)*100</f>
      </c>
      <c r="BE164" s="50" t="n">
        <v>0</v>
      </c>
      <c r="BF164" s="50">
        <f>164</f>
      </c>
      <c r="BH164" s="50">
        <f>G164*AO164</f>
      </c>
      <c r="BI164" s="50">
        <f>G164*AP164</f>
      </c>
      <c r="BJ164" s="50">
        <f>G164*H164</f>
      </c>
      <c r="BK164" s="52" t="s">
        <v>65</v>
      </c>
      <c r="BL164" s="50" t="n">
        <v>89</v>
      </c>
      <c r="BW164" s="50" t="n">
        <v>21</v>
      </c>
      <c r="BX164" s="14" t="s">
        <v>475</v>
      </c>
    </row>
    <row r="165">
      <c r="A165" s="9" t="s">
        <v>476</v>
      </c>
      <c r="B165" s="10" t="s">
        <v>348</v>
      </c>
      <c r="C165" s="10" t="s">
        <v>477</v>
      </c>
      <c r="D165" s="14" t="s">
        <v>478</v>
      </c>
      <c r="E165" s="10"/>
      <c r="F165" s="10" t="s">
        <v>80</v>
      </c>
      <c r="G165" s="50" t="n">
        <v>2</v>
      </c>
      <c r="H165" s="50" t="n">
        <v>0</v>
      </c>
      <c r="I165" s="50">
        <f>ROUND(G165*AO165,2)</f>
      </c>
      <c r="J165" s="50">
        <f>ROUND(G165*AP165,2)</f>
      </c>
      <c r="K165" s="50">
        <f>ROUND(G165*H165,2)</f>
      </c>
      <c r="L165" s="51" t="s">
        <v>400</v>
      </c>
      <c r="Z165" s="50">
        <f>ROUND(IF(AQ165="5",BJ165,0),2)</f>
      </c>
      <c r="AB165" s="50">
        <f>ROUND(IF(AQ165="1",BH165,0),2)</f>
      </c>
      <c r="AC165" s="50">
        <f>ROUND(IF(AQ165="1",BI165,0),2)</f>
      </c>
      <c r="AD165" s="50">
        <f>ROUND(IF(AQ165="7",BH165,0),2)</f>
      </c>
      <c r="AE165" s="50">
        <f>ROUND(IF(AQ165="7",BI165,0),2)</f>
      </c>
      <c r="AF165" s="50">
        <f>ROUND(IF(AQ165="2",BH165,0),2)</f>
      </c>
      <c r="AG165" s="50">
        <f>ROUND(IF(AQ165="2",BI165,0),2)</f>
      </c>
      <c r="AH165" s="50">
        <f>ROUND(IF(AQ165="0",BJ165,0),2)</f>
      </c>
      <c r="AI165" s="28" t="s">
        <v>348</v>
      </c>
      <c r="AJ165" s="50">
        <f>IF(AN165=0,K165,0)</f>
      </c>
      <c r="AK165" s="50">
        <f>IF(AN165=12,K165,0)</f>
      </c>
      <c r="AL165" s="50">
        <f>IF(AN165=21,K165,0)</f>
      </c>
      <c r="AN165" s="50" t="n">
        <v>21</v>
      </c>
      <c r="AO165" s="50">
        <f>H165*0</f>
      </c>
      <c r="AP165" s="50">
        <f>H165*(1-0)</f>
      </c>
      <c r="AQ165" s="52" t="s">
        <v>57</v>
      </c>
      <c r="AV165" s="50">
        <f>ROUND(AW165+AX165,2)</f>
      </c>
      <c r="AW165" s="50">
        <f>ROUND(G165*AO165,2)</f>
      </c>
      <c r="AX165" s="50">
        <f>ROUND(G165*AP165,2)</f>
      </c>
      <c r="AY165" s="52" t="s">
        <v>469</v>
      </c>
      <c r="AZ165" s="52" t="s">
        <v>453</v>
      </c>
      <c r="BA165" s="28" t="s">
        <v>356</v>
      </c>
      <c r="BC165" s="50">
        <f>AW165+AX165</f>
      </c>
      <c r="BD165" s="50">
        <f>H165/(100-BE165)*100</f>
      </c>
      <c r="BE165" s="50" t="n">
        <v>0</v>
      </c>
      <c r="BF165" s="50">
        <f>165</f>
      </c>
      <c r="BH165" s="50">
        <f>G165*AO165</f>
      </c>
      <c r="BI165" s="50">
        <f>G165*AP165</f>
      </c>
      <c r="BJ165" s="50">
        <f>G165*H165</f>
      </c>
      <c r="BK165" s="52" t="s">
        <v>65</v>
      </c>
      <c r="BL165" s="50" t="n">
        <v>89</v>
      </c>
      <c r="BW165" s="50" t="n">
        <v>21</v>
      </c>
      <c r="BX165" s="14" t="s">
        <v>478</v>
      </c>
    </row>
    <row r="166">
      <c r="A166" s="9" t="s">
        <v>479</v>
      </c>
      <c r="B166" s="10" t="s">
        <v>348</v>
      </c>
      <c r="C166" s="10" t="s">
        <v>480</v>
      </c>
      <c r="D166" s="14" t="s">
        <v>481</v>
      </c>
      <c r="E166" s="10"/>
      <c r="F166" s="10" t="s">
        <v>80</v>
      </c>
      <c r="G166" s="50" t="n">
        <v>2</v>
      </c>
      <c r="H166" s="50" t="n">
        <v>0</v>
      </c>
      <c r="I166" s="50">
        <f>ROUND(G166*AO166,2)</f>
      </c>
      <c r="J166" s="50">
        <f>ROUND(G166*AP166,2)</f>
      </c>
      <c r="K166" s="50">
        <f>ROUND(G166*H166,2)</f>
      </c>
      <c r="L166" s="51" t="s">
        <v>400</v>
      </c>
      <c r="Z166" s="50">
        <f>ROUND(IF(AQ166="5",BJ166,0),2)</f>
      </c>
      <c r="AB166" s="50">
        <f>ROUND(IF(AQ166="1",BH166,0),2)</f>
      </c>
      <c r="AC166" s="50">
        <f>ROUND(IF(AQ166="1",BI166,0),2)</f>
      </c>
      <c r="AD166" s="50">
        <f>ROUND(IF(AQ166="7",BH166,0),2)</f>
      </c>
      <c r="AE166" s="50">
        <f>ROUND(IF(AQ166="7",BI166,0),2)</f>
      </c>
      <c r="AF166" s="50">
        <f>ROUND(IF(AQ166="2",BH166,0),2)</f>
      </c>
      <c r="AG166" s="50">
        <f>ROUND(IF(AQ166="2",BI166,0),2)</f>
      </c>
      <c r="AH166" s="50">
        <f>ROUND(IF(AQ166="0",BJ166,0),2)</f>
      </c>
      <c r="AI166" s="28" t="s">
        <v>348</v>
      </c>
      <c r="AJ166" s="50">
        <f>IF(AN166=0,K166,0)</f>
      </c>
      <c r="AK166" s="50">
        <f>IF(AN166=12,K166,0)</f>
      </c>
      <c r="AL166" s="50">
        <f>IF(AN166=21,K166,0)</f>
      </c>
      <c r="AN166" s="50" t="n">
        <v>21</v>
      </c>
      <c r="AO166" s="50">
        <f>H166*0</f>
      </c>
      <c r="AP166" s="50">
        <f>H166*(1-0)</f>
      </c>
      <c r="AQ166" s="52" t="s">
        <v>57</v>
      </c>
      <c r="AV166" s="50">
        <f>ROUND(AW166+AX166,2)</f>
      </c>
      <c r="AW166" s="50">
        <f>ROUND(G166*AO166,2)</f>
      </c>
      <c r="AX166" s="50">
        <f>ROUND(G166*AP166,2)</f>
      </c>
      <c r="AY166" s="52" t="s">
        <v>469</v>
      </c>
      <c r="AZ166" s="52" t="s">
        <v>453</v>
      </c>
      <c r="BA166" s="28" t="s">
        <v>356</v>
      </c>
      <c r="BC166" s="50">
        <f>AW166+AX166</f>
      </c>
      <c r="BD166" s="50">
        <f>H166/(100-BE166)*100</f>
      </c>
      <c r="BE166" s="50" t="n">
        <v>0</v>
      </c>
      <c r="BF166" s="50">
        <f>166</f>
      </c>
      <c r="BH166" s="50">
        <f>G166*AO166</f>
      </c>
      <c r="BI166" s="50">
        <f>G166*AP166</f>
      </c>
      <c r="BJ166" s="50">
        <f>G166*H166</f>
      </c>
      <c r="BK166" s="52" t="s">
        <v>65</v>
      </c>
      <c r="BL166" s="50" t="n">
        <v>89</v>
      </c>
      <c r="BW166" s="50" t="n">
        <v>21</v>
      </c>
      <c r="BX166" s="14" t="s">
        <v>481</v>
      </c>
    </row>
    <row r="167">
      <c r="A167" s="9" t="s">
        <v>482</v>
      </c>
      <c r="B167" s="10" t="s">
        <v>348</v>
      </c>
      <c r="C167" s="10" t="s">
        <v>483</v>
      </c>
      <c r="D167" s="14" t="s">
        <v>484</v>
      </c>
      <c r="E167" s="10"/>
      <c r="F167" s="10" t="s">
        <v>80</v>
      </c>
      <c r="G167" s="50" t="n">
        <v>2</v>
      </c>
      <c r="H167" s="50" t="n">
        <v>0</v>
      </c>
      <c r="I167" s="50">
        <f>ROUND(G167*AO167,2)</f>
      </c>
      <c r="J167" s="50">
        <f>ROUND(G167*AP167,2)</f>
      </c>
      <c r="K167" s="50">
        <f>ROUND(G167*H167,2)</f>
      </c>
      <c r="L167" s="51" t="s">
        <v>400</v>
      </c>
      <c r="Z167" s="50">
        <f>ROUND(IF(AQ167="5",BJ167,0),2)</f>
      </c>
      <c r="AB167" s="50">
        <f>ROUND(IF(AQ167="1",BH167,0),2)</f>
      </c>
      <c r="AC167" s="50">
        <f>ROUND(IF(AQ167="1",BI167,0),2)</f>
      </c>
      <c r="AD167" s="50">
        <f>ROUND(IF(AQ167="7",BH167,0),2)</f>
      </c>
      <c r="AE167" s="50">
        <f>ROUND(IF(AQ167="7",BI167,0),2)</f>
      </c>
      <c r="AF167" s="50">
        <f>ROUND(IF(AQ167="2",BH167,0),2)</f>
      </c>
      <c r="AG167" s="50">
        <f>ROUND(IF(AQ167="2",BI167,0),2)</f>
      </c>
      <c r="AH167" s="50">
        <f>ROUND(IF(AQ167="0",BJ167,0),2)</f>
      </c>
      <c r="AI167" s="28" t="s">
        <v>348</v>
      </c>
      <c r="AJ167" s="50">
        <f>IF(AN167=0,K167,0)</f>
      </c>
      <c r="AK167" s="50">
        <f>IF(AN167=12,K167,0)</f>
      </c>
      <c r="AL167" s="50">
        <f>IF(AN167=21,K167,0)</f>
      </c>
      <c r="AN167" s="50" t="n">
        <v>21</v>
      </c>
      <c r="AO167" s="50">
        <f>H167*0</f>
      </c>
      <c r="AP167" s="50">
        <f>H167*(1-0)</f>
      </c>
      <c r="AQ167" s="52" t="s">
        <v>57</v>
      </c>
      <c r="AV167" s="50">
        <f>ROUND(AW167+AX167,2)</f>
      </c>
      <c r="AW167" s="50">
        <f>ROUND(G167*AO167,2)</f>
      </c>
      <c r="AX167" s="50">
        <f>ROUND(G167*AP167,2)</f>
      </c>
      <c r="AY167" s="52" t="s">
        <v>469</v>
      </c>
      <c r="AZ167" s="52" t="s">
        <v>453</v>
      </c>
      <c r="BA167" s="28" t="s">
        <v>356</v>
      </c>
      <c r="BC167" s="50">
        <f>AW167+AX167</f>
      </c>
      <c r="BD167" s="50">
        <f>H167/(100-BE167)*100</f>
      </c>
      <c r="BE167" s="50" t="n">
        <v>0</v>
      </c>
      <c r="BF167" s="50">
        <f>167</f>
      </c>
      <c r="BH167" s="50">
        <f>G167*AO167</f>
      </c>
      <c r="BI167" s="50">
        <f>G167*AP167</f>
      </c>
      <c r="BJ167" s="50">
        <f>G167*H167</f>
      </c>
      <c r="BK167" s="52" t="s">
        <v>65</v>
      </c>
      <c r="BL167" s="50" t="n">
        <v>89</v>
      </c>
      <c r="BW167" s="50" t="n">
        <v>21</v>
      </c>
      <c r="BX167" s="14" t="s">
        <v>484</v>
      </c>
    </row>
    <row r="168">
      <c r="A168" s="9" t="s">
        <v>485</v>
      </c>
      <c r="B168" s="10" t="s">
        <v>348</v>
      </c>
      <c r="C168" s="10" t="s">
        <v>486</v>
      </c>
      <c r="D168" s="14" t="s">
        <v>487</v>
      </c>
      <c r="E168" s="10"/>
      <c r="F168" s="10" t="s">
        <v>80</v>
      </c>
      <c r="G168" s="50" t="n">
        <v>3</v>
      </c>
      <c r="H168" s="50" t="n">
        <v>0</v>
      </c>
      <c r="I168" s="50">
        <f>ROUND(G168*AO168,2)</f>
      </c>
      <c r="J168" s="50">
        <f>ROUND(G168*AP168,2)</f>
      </c>
      <c r="K168" s="50">
        <f>ROUND(G168*H168,2)</f>
      </c>
      <c r="L168" s="51" t="s">
        <v>400</v>
      </c>
      <c r="Z168" s="50">
        <f>ROUND(IF(AQ168="5",BJ168,0),2)</f>
      </c>
      <c r="AB168" s="50">
        <f>ROUND(IF(AQ168="1",BH168,0),2)</f>
      </c>
      <c r="AC168" s="50">
        <f>ROUND(IF(AQ168="1",BI168,0),2)</f>
      </c>
      <c r="AD168" s="50">
        <f>ROUND(IF(AQ168="7",BH168,0),2)</f>
      </c>
      <c r="AE168" s="50">
        <f>ROUND(IF(AQ168="7",BI168,0),2)</f>
      </c>
      <c r="AF168" s="50">
        <f>ROUND(IF(AQ168="2",BH168,0),2)</f>
      </c>
      <c r="AG168" s="50">
        <f>ROUND(IF(AQ168="2",BI168,0),2)</f>
      </c>
      <c r="AH168" s="50">
        <f>ROUND(IF(AQ168="0",BJ168,0),2)</f>
      </c>
      <c r="AI168" s="28" t="s">
        <v>348</v>
      </c>
      <c r="AJ168" s="50">
        <f>IF(AN168=0,K168,0)</f>
      </c>
      <c r="AK168" s="50">
        <f>IF(AN168=12,K168,0)</f>
      </c>
      <c r="AL168" s="50">
        <f>IF(AN168=21,K168,0)</f>
      </c>
      <c r="AN168" s="50" t="n">
        <v>21</v>
      </c>
      <c r="AO168" s="50">
        <f>H168*0</f>
      </c>
      <c r="AP168" s="50">
        <f>H168*(1-0)</f>
      </c>
      <c r="AQ168" s="52" t="s">
        <v>57</v>
      </c>
      <c r="AV168" s="50">
        <f>ROUND(AW168+AX168,2)</f>
      </c>
      <c r="AW168" s="50">
        <f>ROUND(G168*AO168,2)</f>
      </c>
      <c r="AX168" s="50">
        <f>ROUND(G168*AP168,2)</f>
      </c>
      <c r="AY168" s="52" t="s">
        <v>469</v>
      </c>
      <c r="AZ168" s="52" t="s">
        <v>453</v>
      </c>
      <c r="BA168" s="28" t="s">
        <v>356</v>
      </c>
      <c r="BC168" s="50">
        <f>AW168+AX168</f>
      </c>
      <c r="BD168" s="50">
        <f>H168/(100-BE168)*100</f>
      </c>
      <c r="BE168" s="50" t="n">
        <v>0</v>
      </c>
      <c r="BF168" s="50">
        <f>168</f>
      </c>
      <c r="BH168" s="50">
        <f>G168*AO168</f>
      </c>
      <c r="BI168" s="50">
        <f>G168*AP168</f>
      </c>
      <c r="BJ168" s="50">
        <f>G168*H168</f>
      </c>
      <c r="BK168" s="52" t="s">
        <v>65</v>
      </c>
      <c r="BL168" s="50" t="n">
        <v>89</v>
      </c>
      <c r="BW168" s="50" t="n">
        <v>21</v>
      </c>
      <c r="BX168" s="14" t="s">
        <v>487</v>
      </c>
    </row>
    <row r="169">
      <c r="A169" s="9" t="s">
        <v>488</v>
      </c>
      <c r="B169" s="10" t="s">
        <v>348</v>
      </c>
      <c r="C169" s="10" t="s">
        <v>489</v>
      </c>
      <c r="D169" s="14" t="s">
        <v>490</v>
      </c>
      <c r="E169" s="10"/>
      <c r="F169" s="10" t="s">
        <v>80</v>
      </c>
      <c r="G169" s="50" t="n">
        <v>7</v>
      </c>
      <c r="H169" s="50" t="n">
        <v>0</v>
      </c>
      <c r="I169" s="50">
        <f>ROUND(G169*AO169,2)</f>
      </c>
      <c r="J169" s="50">
        <f>ROUND(G169*AP169,2)</f>
      </c>
      <c r="K169" s="50">
        <f>ROUND(G169*H169,2)</f>
      </c>
      <c r="L169" s="51" t="s">
        <v>400</v>
      </c>
      <c r="Z169" s="50">
        <f>ROUND(IF(AQ169="5",BJ169,0),2)</f>
      </c>
      <c r="AB169" s="50">
        <f>ROUND(IF(AQ169="1",BH169,0),2)</f>
      </c>
      <c r="AC169" s="50">
        <f>ROUND(IF(AQ169="1",BI169,0),2)</f>
      </c>
      <c r="AD169" s="50">
        <f>ROUND(IF(AQ169="7",BH169,0),2)</f>
      </c>
      <c r="AE169" s="50">
        <f>ROUND(IF(AQ169="7",BI169,0),2)</f>
      </c>
      <c r="AF169" s="50">
        <f>ROUND(IF(AQ169="2",BH169,0),2)</f>
      </c>
      <c r="AG169" s="50">
        <f>ROUND(IF(AQ169="2",BI169,0),2)</f>
      </c>
      <c r="AH169" s="50">
        <f>ROUND(IF(AQ169="0",BJ169,0),2)</f>
      </c>
      <c r="AI169" s="28" t="s">
        <v>348</v>
      </c>
      <c r="AJ169" s="50">
        <f>IF(AN169=0,K169,0)</f>
      </c>
      <c r="AK169" s="50">
        <f>IF(AN169=12,K169,0)</f>
      </c>
      <c r="AL169" s="50">
        <f>IF(AN169=21,K169,0)</f>
      </c>
      <c r="AN169" s="50" t="n">
        <v>21</v>
      </c>
      <c r="AO169" s="50">
        <f>H169*0</f>
      </c>
      <c r="AP169" s="50">
        <f>H169*(1-0)</f>
      </c>
      <c r="AQ169" s="52" t="s">
        <v>57</v>
      </c>
      <c r="AV169" s="50">
        <f>ROUND(AW169+AX169,2)</f>
      </c>
      <c r="AW169" s="50">
        <f>ROUND(G169*AO169,2)</f>
      </c>
      <c r="AX169" s="50">
        <f>ROUND(G169*AP169,2)</f>
      </c>
      <c r="AY169" s="52" t="s">
        <v>469</v>
      </c>
      <c r="AZ169" s="52" t="s">
        <v>453</v>
      </c>
      <c r="BA169" s="28" t="s">
        <v>356</v>
      </c>
      <c r="BC169" s="50">
        <f>AW169+AX169</f>
      </c>
      <c r="BD169" s="50">
        <f>H169/(100-BE169)*100</f>
      </c>
      <c r="BE169" s="50" t="n">
        <v>0</v>
      </c>
      <c r="BF169" s="50">
        <f>169</f>
      </c>
      <c r="BH169" s="50">
        <f>G169*AO169</f>
      </c>
      <c r="BI169" s="50">
        <f>G169*AP169</f>
      </c>
      <c r="BJ169" s="50">
        <f>G169*H169</f>
      </c>
      <c r="BK169" s="52" t="s">
        <v>65</v>
      </c>
      <c r="BL169" s="50" t="n">
        <v>89</v>
      </c>
      <c r="BW169" s="50" t="n">
        <v>21</v>
      </c>
      <c r="BX169" s="14" t="s">
        <v>490</v>
      </c>
    </row>
    <row r="170">
      <c r="A170" s="9" t="s">
        <v>491</v>
      </c>
      <c r="B170" s="10" t="s">
        <v>348</v>
      </c>
      <c r="C170" s="10" t="s">
        <v>492</v>
      </c>
      <c r="D170" s="14" t="s">
        <v>493</v>
      </c>
      <c r="E170" s="10"/>
      <c r="F170" s="10" t="s">
        <v>80</v>
      </c>
      <c r="G170" s="50" t="n">
        <v>3</v>
      </c>
      <c r="H170" s="50" t="n">
        <v>0</v>
      </c>
      <c r="I170" s="50">
        <f>ROUND(G170*AO170,2)</f>
      </c>
      <c r="J170" s="50">
        <f>ROUND(G170*AP170,2)</f>
      </c>
      <c r="K170" s="50">
        <f>ROUND(G170*H170,2)</f>
      </c>
      <c r="L170" s="51" t="s">
        <v>400</v>
      </c>
      <c r="Z170" s="50">
        <f>ROUND(IF(AQ170="5",BJ170,0),2)</f>
      </c>
      <c r="AB170" s="50">
        <f>ROUND(IF(AQ170="1",BH170,0),2)</f>
      </c>
      <c r="AC170" s="50">
        <f>ROUND(IF(AQ170="1",BI170,0),2)</f>
      </c>
      <c r="AD170" s="50">
        <f>ROUND(IF(AQ170="7",BH170,0),2)</f>
      </c>
      <c r="AE170" s="50">
        <f>ROUND(IF(AQ170="7",BI170,0),2)</f>
      </c>
      <c r="AF170" s="50">
        <f>ROUND(IF(AQ170="2",BH170,0),2)</f>
      </c>
      <c r="AG170" s="50">
        <f>ROUND(IF(AQ170="2",BI170,0),2)</f>
      </c>
      <c r="AH170" s="50">
        <f>ROUND(IF(AQ170="0",BJ170,0),2)</f>
      </c>
      <c r="AI170" s="28" t="s">
        <v>348</v>
      </c>
      <c r="AJ170" s="50">
        <f>IF(AN170=0,K170,0)</f>
      </c>
      <c r="AK170" s="50">
        <f>IF(AN170=12,K170,0)</f>
      </c>
      <c r="AL170" s="50">
        <f>IF(AN170=21,K170,0)</f>
      </c>
      <c r="AN170" s="50" t="n">
        <v>21</v>
      </c>
      <c r="AO170" s="50">
        <f>H170*0</f>
      </c>
      <c r="AP170" s="50">
        <f>H170*(1-0)</f>
      </c>
      <c r="AQ170" s="52" t="s">
        <v>57</v>
      </c>
      <c r="AV170" s="50">
        <f>ROUND(AW170+AX170,2)</f>
      </c>
      <c r="AW170" s="50">
        <f>ROUND(G170*AO170,2)</f>
      </c>
      <c r="AX170" s="50">
        <f>ROUND(G170*AP170,2)</f>
      </c>
      <c r="AY170" s="52" t="s">
        <v>469</v>
      </c>
      <c r="AZ170" s="52" t="s">
        <v>453</v>
      </c>
      <c r="BA170" s="28" t="s">
        <v>356</v>
      </c>
      <c r="BC170" s="50">
        <f>AW170+AX170</f>
      </c>
      <c r="BD170" s="50">
        <f>H170/(100-BE170)*100</f>
      </c>
      <c r="BE170" s="50" t="n">
        <v>0</v>
      </c>
      <c r="BF170" s="50">
        <f>170</f>
      </c>
      <c r="BH170" s="50">
        <f>G170*AO170</f>
      </c>
      <c r="BI170" s="50">
        <f>G170*AP170</f>
      </c>
      <c r="BJ170" s="50">
        <f>G170*H170</f>
      </c>
      <c r="BK170" s="52" t="s">
        <v>65</v>
      </c>
      <c r="BL170" s="50" t="n">
        <v>89</v>
      </c>
      <c r="BW170" s="50" t="n">
        <v>21</v>
      </c>
      <c r="BX170" s="14" t="s">
        <v>493</v>
      </c>
    </row>
    <row r="171">
      <c r="A171" s="9" t="s">
        <v>494</v>
      </c>
      <c r="B171" s="10" t="s">
        <v>348</v>
      </c>
      <c r="C171" s="10" t="s">
        <v>495</v>
      </c>
      <c r="D171" s="14" t="s">
        <v>496</v>
      </c>
      <c r="E171" s="10"/>
      <c r="F171" s="10" t="s">
        <v>80</v>
      </c>
      <c r="G171" s="50" t="n">
        <v>4</v>
      </c>
      <c r="H171" s="50" t="n">
        <v>0</v>
      </c>
      <c r="I171" s="50">
        <f>ROUND(G171*AO171,2)</f>
      </c>
      <c r="J171" s="50">
        <f>ROUND(G171*AP171,2)</f>
      </c>
      <c r="K171" s="50">
        <f>ROUND(G171*H171,2)</f>
      </c>
      <c r="L171" s="51" t="s">
        <v>400</v>
      </c>
      <c r="Z171" s="50">
        <f>ROUND(IF(AQ171="5",BJ171,0),2)</f>
      </c>
      <c r="AB171" s="50">
        <f>ROUND(IF(AQ171="1",BH171,0),2)</f>
      </c>
      <c r="AC171" s="50">
        <f>ROUND(IF(AQ171="1",BI171,0),2)</f>
      </c>
      <c r="AD171" s="50">
        <f>ROUND(IF(AQ171="7",BH171,0),2)</f>
      </c>
      <c r="AE171" s="50">
        <f>ROUND(IF(AQ171="7",BI171,0),2)</f>
      </c>
      <c r="AF171" s="50">
        <f>ROUND(IF(AQ171="2",BH171,0),2)</f>
      </c>
      <c r="AG171" s="50">
        <f>ROUND(IF(AQ171="2",BI171,0),2)</f>
      </c>
      <c r="AH171" s="50">
        <f>ROUND(IF(AQ171="0",BJ171,0),2)</f>
      </c>
      <c r="AI171" s="28" t="s">
        <v>348</v>
      </c>
      <c r="AJ171" s="50">
        <f>IF(AN171=0,K171,0)</f>
      </c>
      <c r="AK171" s="50">
        <f>IF(AN171=12,K171,0)</f>
      </c>
      <c r="AL171" s="50">
        <f>IF(AN171=21,K171,0)</f>
      </c>
      <c r="AN171" s="50" t="n">
        <v>21</v>
      </c>
      <c r="AO171" s="50">
        <f>H171*0</f>
      </c>
      <c r="AP171" s="50">
        <f>H171*(1-0)</f>
      </c>
      <c r="AQ171" s="52" t="s">
        <v>57</v>
      </c>
      <c r="AV171" s="50">
        <f>ROUND(AW171+AX171,2)</f>
      </c>
      <c r="AW171" s="50">
        <f>ROUND(G171*AO171,2)</f>
      </c>
      <c r="AX171" s="50">
        <f>ROUND(G171*AP171,2)</f>
      </c>
      <c r="AY171" s="52" t="s">
        <v>469</v>
      </c>
      <c r="AZ171" s="52" t="s">
        <v>453</v>
      </c>
      <c r="BA171" s="28" t="s">
        <v>356</v>
      </c>
      <c r="BC171" s="50">
        <f>AW171+AX171</f>
      </c>
      <c r="BD171" s="50">
        <f>H171/(100-BE171)*100</f>
      </c>
      <c r="BE171" s="50" t="n">
        <v>0</v>
      </c>
      <c r="BF171" s="50">
        <f>171</f>
      </c>
      <c r="BH171" s="50">
        <f>G171*AO171</f>
      </c>
      <c r="BI171" s="50">
        <f>G171*AP171</f>
      </c>
      <c r="BJ171" s="50">
        <f>G171*H171</f>
      </c>
      <c r="BK171" s="52" t="s">
        <v>65</v>
      </c>
      <c r="BL171" s="50" t="n">
        <v>89</v>
      </c>
      <c r="BW171" s="50" t="n">
        <v>21</v>
      </c>
      <c r="BX171" s="14" t="s">
        <v>496</v>
      </c>
    </row>
    <row r="172">
      <c r="A172" s="9" t="s">
        <v>497</v>
      </c>
      <c r="B172" s="10" t="s">
        <v>348</v>
      </c>
      <c r="C172" s="10" t="s">
        <v>498</v>
      </c>
      <c r="D172" s="14" t="s">
        <v>499</v>
      </c>
      <c r="E172" s="10"/>
      <c r="F172" s="10" t="s">
        <v>80</v>
      </c>
      <c r="G172" s="50" t="n">
        <v>7</v>
      </c>
      <c r="H172" s="50" t="n">
        <v>0</v>
      </c>
      <c r="I172" s="50">
        <f>ROUND(G172*AO172,2)</f>
      </c>
      <c r="J172" s="50">
        <f>ROUND(G172*AP172,2)</f>
      </c>
      <c r="K172" s="50">
        <f>ROUND(G172*H172,2)</f>
      </c>
      <c r="L172" s="51" t="s">
        <v>400</v>
      </c>
      <c r="Z172" s="50">
        <f>ROUND(IF(AQ172="5",BJ172,0),2)</f>
      </c>
      <c r="AB172" s="50">
        <f>ROUND(IF(AQ172="1",BH172,0),2)</f>
      </c>
      <c r="AC172" s="50">
        <f>ROUND(IF(AQ172="1",BI172,0),2)</f>
      </c>
      <c r="AD172" s="50">
        <f>ROUND(IF(AQ172="7",BH172,0),2)</f>
      </c>
      <c r="AE172" s="50">
        <f>ROUND(IF(AQ172="7",BI172,0),2)</f>
      </c>
      <c r="AF172" s="50">
        <f>ROUND(IF(AQ172="2",BH172,0),2)</f>
      </c>
      <c r="AG172" s="50">
        <f>ROUND(IF(AQ172="2",BI172,0),2)</f>
      </c>
      <c r="AH172" s="50">
        <f>ROUND(IF(AQ172="0",BJ172,0),2)</f>
      </c>
      <c r="AI172" s="28" t="s">
        <v>348</v>
      </c>
      <c r="AJ172" s="50">
        <f>IF(AN172=0,K172,0)</f>
      </c>
      <c r="AK172" s="50">
        <f>IF(AN172=12,K172,0)</f>
      </c>
      <c r="AL172" s="50">
        <f>IF(AN172=21,K172,0)</f>
      </c>
      <c r="AN172" s="50" t="n">
        <v>21</v>
      </c>
      <c r="AO172" s="50">
        <f>H172*0</f>
      </c>
      <c r="AP172" s="50">
        <f>H172*(1-0)</f>
      </c>
      <c r="AQ172" s="52" t="s">
        <v>57</v>
      </c>
      <c r="AV172" s="50">
        <f>ROUND(AW172+AX172,2)</f>
      </c>
      <c r="AW172" s="50">
        <f>ROUND(G172*AO172,2)</f>
      </c>
      <c r="AX172" s="50">
        <f>ROUND(G172*AP172,2)</f>
      </c>
      <c r="AY172" s="52" t="s">
        <v>469</v>
      </c>
      <c r="AZ172" s="52" t="s">
        <v>453</v>
      </c>
      <c r="BA172" s="28" t="s">
        <v>356</v>
      </c>
      <c r="BC172" s="50">
        <f>AW172+AX172</f>
      </c>
      <c r="BD172" s="50">
        <f>H172/(100-BE172)*100</f>
      </c>
      <c r="BE172" s="50" t="n">
        <v>0</v>
      </c>
      <c r="BF172" s="50">
        <f>172</f>
      </c>
      <c r="BH172" s="50">
        <f>G172*AO172</f>
      </c>
      <c r="BI172" s="50">
        <f>G172*AP172</f>
      </c>
      <c r="BJ172" s="50">
        <f>G172*H172</f>
      </c>
      <c r="BK172" s="52" t="s">
        <v>65</v>
      </c>
      <c r="BL172" s="50" t="n">
        <v>89</v>
      </c>
      <c r="BW172" s="50" t="n">
        <v>21</v>
      </c>
      <c r="BX172" s="14" t="s">
        <v>499</v>
      </c>
    </row>
    <row r="173">
      <c r="A173" s="9" t="s">
        <v>500</v>
      </c>
      <c r="B173" s="10" t="s">
        <v>348</v>
      </c>
      <c r="C173" s="10" t="s">
        <v>501</v>
      </c>
      <c r="D173" s="14" t="s">
        <v>502</v>
      </c>
      <c r="E173" s="10"/>
      <c r="F173" s="10" t="s">
        <v>60</v>
      </c>
      <c r="G173" s="50" t="n">
        <v>1.08839</v>
      </c>
      <c r="H173" s="50" t="n">
        <v>0</v>
      </c>
      <c r="I173" s="50">
        <f>ROUND(G173*AO173,2)</f>
      </c>
      <c r="J173" s="50">
        <f>ROUND(G173*AP173,2)</f>
      </c>
      <c r="K173" s="50">
        <f>ROUND(G173*H173,2)</f>
      </c>
      <c r="L173" s="51" t="s">
        <v>400</v>
      </c>
      <c r="Z173" s="50">
        <f>ROUND(IF(AQ173="5",BJ173,0),2)</f>
      </c>
      <c r="AB173" s="50">
        <f>ROUND(IF(AQ173="1",BH173,0),2)</f>
      </c>
      <c r="AC173" s="50">
        <f>ROUND(IF(AQ173="1",BI173,0),2)</f>
      </c>
      <c r="AD173" s="50">
        <f>ROUND(IF(AQ173="7",BH173,0),2)</f>
      </c>
      <c r="AE173" s="50">
        <f>ROUND(IF(AQ173="7",BI173,0),2)</f>
      </c>
      <c r="AF173" s="50">
        <f>ROUND(IF(AQ173="2",BH173,0),2)</f>
      </c>
      <c r="AG173" s="50">
        <f>ROUND(IF(AQ173="2",BI173,0),2)</f>
      </c>
      <c r="AH173" s="50">
        <f>ROUND(IF(AQ173="0",BJ173,0),2)</f>
      </c>
      <c r="AI173" s="28" t="s">
        <v>348</v>
      </c>
      <c r="AJ173" s="50">
        <f>IF(AN173=0,K173,0)</f>
      </c>
      <c r="AK173" s="50">
        <f>IF(AN173=12,K173,0)</f>
      </c>
      <c r="AL173" s="50">
        <f>IF(AN173=21,K173,0)</f>
      </c>
      <c r="AN173" s="50" t="n">
        <v>21</v>
      </c>
      <c r="AO173" s="50">
        <f>H173*0</f>
      </c>
      <c r="AP173" s="50">
        <f>H173*(1-0)</f>
      </c>
      <c r="AQ173" s="52" t="s">
        <v>57</v>
      </c>
      <c r="AV173" s="50">
        <f>ROUND(AW173+AX173,2)</f>
      </c>
      <c r="AW173" s="50">
        <f>ROUND(G173*AO173,2)</f>
      </c>
      <c r="AX173" s="50">
        <f>ROUND(G173*AP173,2)</f>
      </c>
      <c r="AY173" s="52" t="s">
        <v>469</v>
      </c>
      <c r="AZ173" s="52" t="s">
        <v>453</v>
      </c>
      <c r="BA173" s="28" t="s">
        <v>356</v>
      </c>
      <c r="BC173" s="50">
        <f>AW173+AX173</f>
      </c>
      <c r="BD173" s="50">
        <f>H173/(100-BE173)*100</f>
      </c>
      <c r="BE173" s="50" t="n">
        <v>0</v>
      </c>
      <c r="BF173" s="50">
        <f>173</f>
      </c>
      <c r="BH173" s="50">
        <f>G173*AO173</f>
      </c>
      <c r="BI173" s="50">
        <f>G173*AP173</f>
      </c>
      <c r="BJ173" s="50">
        <f>G173*H173</f>
      </c>
      <c r="BK173" s="52" t="s">
        <v>65</v>
      </c>
      <c r="BL173" s="50" t="n">
        <v>89</v>
      </c>
      <c r="BW173" s="50" t="n">
        <v>21</v>
      </c>
      <c r="BX173" s="14" t="s">
        <v>502</v>
      </c>
    </row>
    <row r="174">
      <c r="A174" s="9" t="s">
        <v>503</v>
      </c>
      <c r="B174" s="10" t="s">
        <v>348</v>
      </c>
      <c r="C174" s="10" t="s">
        <v>504</v>
      </c>
      <c r="D174" s="14" t="s">
        <v>505</v>
      </c>
      <c r="E174" s="10"/>
      <c r="F174" s="10" t="s">
        <v>197</v>
      </c>
      <c r="G174" s="50" t="n">
        <v>1.24387</v>
      </c>
      <c r="H174" s="50" t="n">
        <v>0</v>
      </c>
      <c r="I174" s="50">
        <f>ROUND(G174*AO174,2)</f>
      </c>
      <c r="J174" s="50">
        <f>ROUND(G174*AP174,2)</f>
      </c>
      <c r="K174" s="50">
        <f>ROUND(G174*H174,2)</f>
      </c>
      <c r="L174" s="51" t="s">
        <v>400</v>
      </c>
      <c r="Z174" s="50">
        <f>ROUND(IF(AQ174="5",BJ174,0),2)</f>
      </c>
      <c r="AB174" s="50">
        <f>ROUND(IF(AQ174="1",BH174,0),2)</f>
      </c>
      <c r="AC174" s="50">
        <f>ROUND(IF(AQ174="1",BI174,0),2)</f>
      </c>
      <c r="AD174" s="50">
        <f>ROUND(IF(AQ174="7",BH174,0),2)</f>
      </c>
      <c r="AE174" s="50">
        <f>ROUND(IF(AQ174="7",BI174,0),2)</f>
      </c>
      <c r="AF174" s="50">
        <f>ROUND(IF(AQ174="2",BH174,0),2)</f>
      </c>
      <c r="AG174" s="50">
        <f>ROUND(IF(AQ174="2",BI174,0),2)</f>
      </c>
      <c r="AH174" s="50">
        <f>ROUND(IF(AQ174="0",BJ174,0),2)</f>
      </c>
      <c r="AI174" s="28" t="s">
        <v>348</v>
      </c>
      <c r="AJ174" s="50">
        <f>IF(AN174=0,K174,0)</f>
      </c>
      <c r="AK174" s="50">
        <f>IF(AN174=12,K174,0)</f>
      </c>
      <c r="AL174" s="50">
        <f>IF(AN174=21,K174,0)</f>
      </c>
      <c r="AN174" s="50" t="n">
        <v>21</v>
      </c>
      <c r="AO174" s="50">
        <f>H174*0</f>
      </c>
      <c r="AP174" s="50">
        <f>H174*(1-0)</f>
      </c>
      <c r="AQ174" s="52" t="s">
        <v>57</v>
      </c>
      <c r="AV174" s="50">
        <f>ROUND(AW174+AX174,2)</f>
      </c>
      <c r="AW174" s="50">
        <f>ROUND(G174*AO174,2)</f>
      </c>
      <c r="AX174" s="50">
        <f>ROUND(G174*AP174,2)</f>
      </c>
      <c r="AY174" s="52" t="s">
        <v>469</v>
      </c>
      <c r="AZ174" s="52" t="s">
        <v>453</v>
      </c>
      <c r="BA174" s="28" t="s">
        <v>356</v>
      </c>
      <c r="BC174" s="50">
        <f>AW174+AX174</f>
      </c>
      <c r="BD174" s="50">
        <f>H174/(100-BE174)*100</f>
      </c>
      <c r="BE174" s="50" t="n">
        <v>0</v>
      </c>
      <c r="BF174" s="50">
        <f>174</f>
      </c>
      <c r="BH174" s="50">
        <f>G174*AO174</f>
      </c>
      <c r="BI174" s="50">
        <f>G174*AP174</f>
      </c>
      <c r="BJ174" s="50">
        <f>G174*H174</f>
      </c>
      <c r="BK174" s="52" t="s">
        <v>65</v>
      </c>
      <c r="BL174" s="50" t="n">
        <v>89</v>
      </c>
      <c r="BW174" s="50" t="n">
        <v>21</v>
      </c>
      <c r="BX174" s="14" t="s">
        <v>505</v>
      </c>
    </row>
    <row r="175">
      <c r="A175" s="9" t="s">
        <v>506</v>
      </c>
      <c r="B175" s="10" t="s">
        <v>348</v>
      </c>
      <c r="C175" s="10" t="s">
        <v>507</v>
      </c>
      <c r="D175" s="14" t="s">
        <v>508</v>
      </c>
      <c r="E175" s="10"/>
      <c r="F175" s="10" t="s">
        <v>101</v>
      </c>
      <c r="G175" s="50" t="n">
        <v>92.1</v>
      </c>
      <c r="H175" s="50" t="n">
        <v>0</v>
      </c>
      <c r="I175" s="50">
        <f>ROUND(G175*AO175,2)</f>
      </c>
      <c r="J175" s="50">
        <f>ROUND(G175*AP175,2)</f>
      </c>
      <c r="K175" s="50">
        <f>ROUND(G175*H175,2)</f>
      </c>
      <c r="L175" s="51" t="s">
        <v>400</v>
      </c>
      <c r="Z175" s="50">
        <f>ROUND(IF(AQ175="5",BJ175,0),2)</f>
      </c>
      <c r="AB175" s="50">
        <f>ROUND(IF(AQ175="1",BH175,0),2)</f>
      </c>
      <c r="AC175" s="50">
        <f>ROUND(IF(AQ175="1",BI175,0),2)</f>
      </c>
      <c r="AD175" s="50">
        <f>ROUND(IF(AQ175="7",BH175,0),2)</f>
      </c>
      <c r="AE175" s="50">
        <f>ROUND(IF(AQ175="7",BI175,0),2)</f>
      </c>
      <c r="AF175" s="50">
        <f>ROUND(IF(AQ175="2",BH175,0),2)</f>
      </c>
      <c r="AG175" s="50">
        <f>ROUND(IF(AQ175="2",BI175,0),2)</f>
      </c>
      <c r="AH175" s="50">
        <f>ROUND(IF(AQ175="0",BJ175,0),2)</f>
      </c>
      <c r="AI175" s="28" t="s">
        <v>348</v>
      </c>
      <c r="AJ175" s="50">
        <f>IF(AN175=0,K175,0)</f>
      </c>
      <c r="AK175" s="50">
        <f>IF(AN175=12,K175,0)</f>
      </c>
      <c r="AL175" s="50">
        <f>IF(AN175=21,K175,0)</f>
      </c>
      <c r="AN175" s="50" t="n">
        <v>21</v>
      </c>
      <c r="AO175" s="50">
        <f>H175*0</f>
      </c>
      <c r="AP175" s="50">
        <f>H175*(1-0)</f>
      </c>
      <c r="AQ175" s="52" t="s">
        <v>57</v>
      </c>
      <c r="AV175" s="50">
        <f>ROUND(AW175+AX175,2)</f>
      </c>
      <c r="AW175" s="50">
        <f>ROUND(G175*AO175,2)</f>
      </c>
      <c r="AX175" s="50">
        <f>ROUND(G175*AP175,2)</f>
      </c>
      <c r="AY175" s="52" t="s">
        <v>469</v>
      </c>
      <c r="AZ175" s="52" t="s">
        <v>453</v>
      </c>
      <c r="BA175" s="28" t="s">
        <v>356</v>
      </c>
      <c r="BC175" s="50">
        <f>AW175+AX175</f>
      </c>
      <c r="BD175" s="50">
        <f>H175/(100-BE175)*100</f>
      </c>
      <c r="BE175" s="50" t="n">
        <v>0</v>
      </c>
      <c r="BF175" s="50">
        <f>175</f>
      </c>
      <c r="BH175" s="50">
        <f>G175*AO175</f>
      </c>
      <c r="BI175" s="50">
        <f>G175*AP175</f>
      </c>
      <c r="BJ175" s="50">
        <f>G175*H175</f>
      </c>
      <c r="BK175" s="52" t="s">
        <v>65</v>
      </c>
      <c r="BL175" s="50" t="n">
        <v>89</v>
      </c>
      <c r="BW175" s="50" t="n">
        <v>21</v>
      </c>
      <c r="BX175" s="14" t="s">
        <v>508</v>
      </c>
    </row>
    <row r="176">
      <c r="A176" s="45" t="s">
        <v>52</v>
      </c>
      <c r="B176" s="46" t="s">
        <v>348</v>
      </c>
      <c r="C176" s="46" t="s">
        <v>509</v>
      </c>
      <c r="D176" s="47" t="s">
        <v>510</v>
      </c>
      <c r="E176" s="46"/>
      <c r="F176" s="48" t="s">
        <v>8</v>
      </c>
      <c r="G176" s="48" t="s">
        <v>8</v>
      </c>
      <c r="H176" s="48" t="s">
        <v>8</v>
      </c>
      <c r="I176" s="2">
        <f>SUM(I177:I177)</f>
      </c>
      <c r="J176" s="2">
        <f>SUM(J177:J177)</f>
      </c>
      <c r="K176" s="2">
        <f>SUM(K177:K177)</f>
      </c>
      <c r="L176" s="49" t="s">
        <v>52</v>
      </c>
      <c r="AI176" s="28" t="s">
        <v>348</v>
      </c>
      <c r="AS176" s="2">
        <f>SUM(AJ177:AJ177)</f>
      </c>
      <c r="AT176" s="2">
        <f>SUM(AK177:AK177)</f>
      </c>
      <c r="AU176" s="2">
        <f>SUM(AL177:AL177)</f>
      </c>
    </row>
    <row r="177">
      <c r="A177" s="9" t="s">
        <v>511</v>
      </c>
      <c r="B177" s="10" t="s">
        <v>348</v>
      </c>
      <c r="C177" s="10" t="s">
        <v>512</v>
      </c>
      <c r="D177" s="14" t="s">
        <v>513</v>
      </c>
      <c r="E177" s="10"/>
      <c r="F177" s="10" t="s">
        <v>71</v>
      </c>
      <c r="G177" s="50" t="n">
        <v>110.22</v>
      </c>
      <c r="H177" s="50" t="n">
        <v>0</v>
      </c>
      <c r="I177" s="50">
        <f>ROUND(G177*AO177,2)</f>
      </c>
      <c r="J177" s="50">
        <f>ROUND(G177*AP177,2)</f>
      </c>
      <c r="K177" s="50">
        <f>ROUND(G177*H177,2)</f>
      </c>
      <c r="L177" s="51" t="s">
        <v>400</v>
      </c>
      <c r="Z177" s="50">
        <f>ROUND(IF(AQ177="5",BJ177,0),2)</f>
      </c>
      <c r="AB177" s="50">
        <f>ROUND(IF(AQ177="1",BH177,0),2)</f>
      </c>
      <c r="AC177" s="50">
        <f>ROUND(IF(AQ177="1",BI177,0),2)</f>
      </c>
      <c r="AD177" s="50">
        <f>ROUND(IF(AQ177="7",BH177,0),2)</f>
      </c>
      <c r="AE177" s="50">
        <f>ROUND(IF(AQ177="7",BI177,0),2)</f>
      </c>
      <c r="AF177" s="50">
        <f>ROUND(IF(AQ177="2",BH177,0),2)</f>
      </c>
      <c r="AG177" s="50">
        <f>ROUND(IF(AQ177="2",BI177,0),2)</f>
      </c>
      <c r="AH177" s="50">
        <f>ROUND(IF(AQ177="0",BJ177,0),2)</f>
      </c>
      <c r="AI177" s="28" t="s">
        <v>348</v>
      </c>
      <c r="AJ177" s="50">
        <f>IF(AN177=0,K177,0)</f>
      </c>
      <c r="AK177" s="50">
        <f>IF(AN177=12,K177,0)</f>
      </c>
      <c r="AL177" s="50">
        <f>IF(AN177=21,K177,0)</f>
      </c>
      <c r="AN177" s="50" t="n">
        <v>21</v>
      </c>
      <c r="AO177" s="50">
        <f>H177*0</f>
      </c>
      <c r="AP177" s="50">
        <f>H177*(1-0)</f>
      </c>
      <c r="AQ177" s="52" t="s">
        <v>72</v>
      </c>
      <c r="AV177" s="50">
        <f>ROUND(AW177+AX177,2)</f>
      </c>
      <c r="AW177" s="50">
        <f>ROUND(G177*AO177,2)</f>
      </c>
      <c r="AX177" s="50">
        <f>ROUND(G177*AP177,2)</f>
      </c>
      <c r="AY177" s="52" t="s">
        <v>514</v>
      </c>
      <c r="AZ177" s="52" t="s">
        <v>515</v>
      </c>
      <c r="BA177" s="28" t="s">
        <v>356</v>
      </c>
      <c r="BC177" s="50">
        <f>AW177+AX177</f>
      </c>
      <c r="BD177" s="50">
        <f>H177/(100-BE177)*100</f>
      </c>
      <c r="BE177" s="50" t="n">
        <v>0</v>
      </c>
      <c r="BF177" s="50">
        <f>177</f>
      </c>
      <c r="BH177" s="50">
        <f>G177*AO177</f>
      </c>
      <c r="BI177" s="50">
        <f>G177*AP177</f>
      </c>
      <c r="BJ177" s="50">
        <f>G177*H177</f>
      </c>
      <c r="BK177" s="52" t="s">
        <v>65</v>
      </c>
      <c r="BL177" s="50"/>
      <c r="BW177" s="50" t="n">
        <v>21</v>
      </c>
      <c r="BX177" s="14" t="s">
        <v>513</v>
      </c>
    </row>
    <row r="178">
      <c r="A178" s="45" t="s">
        <v>52</v>
      </c>
      <c r="B178" s="46" t="s">
        <v>348</v>
      </c>
      <c r="C178" s="46" t="s">
        <v>130</v>
      </c>
      <c r="D178" s="47" t="s">
        <v>131</v>
      </c>
      <c r="E178" s="46"/>
      <c r="F178" s="48" t="s">
        <v>8</v>
      </c>
      <c r="G178" s="48" t="s">
        <v>8</v>
      </c>
      <c r="H178" s="48" t="s">
        <v>8</v>
      </c>
      <c r="I178" s="2">
        <f>SUM(I179:I206)</f>
      </c>
      <c r="J178" s="2">
        <f>SUM(J179:J206)</f>
      </c>
      <c r="K178" s="2">
        <f>SUM(K179:K206)</f>
      </c>
      <c r="L178" s="49" t="s">
        <v>52</v>
      </c>
      <c r="AI178" s="28" t="s">
        <v>348</v>
      </c>
      <c r="AS178" s="2">
        <f>SUM(AJ179:AJ206)</f>
      </c>
      <c r="AT178" s="2">
        <f>SUM(AK179:AK206)</f>
      </c>
      <c r="AU178" s="2">
        <f>SUM(AL179:AL206)</f>
      </c>
    </row>
    <row r="179">
      <c r="A179" s="9" t="s">
        <v>516</v>
      </c>
      <c r="B179" s="10" t="s">
        <v>348</v>
      </c>
      <c r="C179" s="10" t="s">
        <v>517</v>
      </c>
      <c r="D179" s="14" t="s">
        <v>518</v>
      </c>
      <c r="E179" s="10"/>
      <c r="F179" s="10" t="s">
        <v>71</v>
      </c>
      <c r="G179" s="50" t="n">
        <v>54.44208</v>
      </c>
      <c r="H179" s="50" t="n">
        <v>0</v>
      </c>
      <c r="I179" s="50">
        <f>ROUND(G179*AO179,2)</f>
      </c>
      <c r="J179" s="50">
        <f>ROUND(G179*AP179,2)</f>
      </c>
      <c r="K179" s="50">
        <f>ROUND(G179*H179,2)</f>
      </c>
      <c r="L179" s="51" t="s">
        <v>61</v>
      </c>
      <c r="Z179" s="50">
        <f>ROUND(IF(AQ179="5",BJ179,0),2)</f>
      </c>
      <c r="AB179" s="50">
        <f>ROUND(IF(AQ179="1",BH179,0),2)</f>
      </c>
      <c r="AC179" s="50">
        <f>ROUND(IF(AQ179="1",BI179,0),2)</f>
      </c>
      <c r="AD179" s="50">
        <f>ROUND(IF(AQ179="7",BH179,0),2)</f>
      </c>
      <c r="AE179" s="50">
        <f>ROUND(IF(AQ179="7",BI179,0),2)</f>
      </c>
      <c r="AF179" s="50">
        <f>ROUND(IF(AQ179="2",BH179,0),2)</f>
      </c>
      <c r="AG179" s="50">
        <f>ROUND(IF(AQ179="2",BI179,0),2)</f>
      </c>
      <c r="AH179" s="50">
        <f>ROUND(IF(AQ179="0",BJ179,0),2)</f>
      </c>
      <c r="AI179" s="28" t="s">
        <v>348</v>
      </c>
      <c r="AJ179" s="50">
        <f>IF(AN179=0,K179,0)</f>
      </c>
      <c r="AK179" s="50">
        <f>IF(AN179=12,K179,0)</f>
      </c>
      <c r="AL179" s="50">
        <f>IF(AN179=21,K179,0)</f>
      </c>
      <c r="AN179" s="50" t="n">
        <v>21</v>
      </c>
      <c r="AO179" s="50">
        <f>H179*1</f>
      </c>
      <c r="AP179" s="50">
        <f>H179*(1-1)</f>
      </c>
      <c r="AQ179" s="52" t="s">
        <v>135</v>
      </c>
      <c r="AV179" s="50">
        <f>ROUND(AW179+AX179,2)</f>
      </c>
      <c r="AW179" s="50">
        <f>ROUND(G179*AO179,2)</f>
      </c>
      <c r="AX179" s="50">
        <f>ROUND(G179*AP179,2)</f>
      </c>
      <c r="AY179" s="52" t="s">
        <v>136</v>
      </c>
      <c r="AZ179" s="52" t="s">
        <v>519</v>
      </c>
      <c r="BA179" s="28" t="s">
        <v>356</v>
      </c>
      <c r="BC179" s="50">
        <f>AW179+AX179</f>
      </c>
      <c r="BD179" s="50">
        <f>H179/(100-BE179)*100</f>
      </c>
      <c r="BE179" s="50" t="n">
        <v>0</v>
      </c>
      <c r="BF179" s="50">
        <f>179</f>
      </c>
      <c r="BH179" s="50">
        <f>G179*AO179</f>
      </c>
      <c r="BI179" s="50">
        <f>G179*AP179</f>
      </c>
      <c r="BJ179" s="50">
        <f>G179*H179</f>
      </c>
      <c r="BK179" s="52" t="s">
        <v>130</v>
      </c>
      <c r="BL179" s="50"/>
      <c r="BW179" s="50" t="n">
        <v>21</v>
      </c>
      <c r="BX179" s="14" t="s">
        <v>518</v>
      </c>
    </row>
    <row r="180">
      <c r="A180" s="9" t="s">
        <v>520</v>
      </c>
      <c r="B180" s="10" t="s">
        <v>348</v>
      </c>
      <c r="C180" s="10" t="s">
        <v>521</v>
      </c>
      <c r="D180" s="14" t="s">
        <v>522</v>
      </c>
      <c r="E180" s="10"/>
      <c r="F180" s="10" t="s">
        <v>80</v>
      </c>
      <c r="G180" s="50" t="n">
        <v>64</v>
      </c>
      <c r="H180" s="50" t="n">
        <v>0</v>
      </c>
      <c r="I180" s="50">
        <f>ROUND(G180*AO180,2)</f>
      </c>
      <c r="J180" s="50">
        <f>ROUND(G180*AP180,2)</f>
      </c>
      <c r="K180" s="50">
        <f>ROUND(G180*H180,2)</f>
      </c>
      <c r="L180" s="51" t="s">
        <v>61</v>
      </c>
      <c r="Z180" s="50">
        <f>ROUND(IF(AQ180="5",BJ180,0),2)</f>
      </c>
      <c r="AB180" s="50">
        <f>ROUND(IF(AQ180="1",BH180,0),2)</f>
      </c>
      <c r="AC180" s="50">
        <f>ROUND(IF(AQ180="1",BI180,0),2)</f>
      </c>
      <c r="AD180" s="50">
        <f>ROUND(IF(AQ180="7",BH180,0),2)</f>
      </c>
      <c r="AE180" s="50">
        <f>ROUND(IF(AQ180="7",BI180,0),2)</f>
      </c>
      <c r="AF180" s="50">
        <f>ROUND(IF(AQ180="2",BH180,0),2)</f>
      </c>
      <c r="AG180" s="50">
        <f>ROUND(IF(AQ180="2",BI180,0),2)</f>
      </c>
      <c r="AH180" s="50">
        <f>ROUND(IF(AQ180="0",BJ180,0),2)</f>
      </c>
      <c r="AI180" s="28" t="s">
        <v>348</v>
      </c>
      <c r="AJ180" s="50">
        <f>IF(AN180=0,K180,0)</f>
      </c>
      <c r="AK180" s="50">
        <f>IF(AN180=12,K180,0)</f>
      </c>
      <c r="AL180" s="50">
        <f>IF(AN180=21,K180,0)</f>
      </c>
      <c r="AN180" s="50" t="n">
        <v>21</v>
      </c>
      <c r="AO180" s="50">
        <f>H180*1</f>
      </c>
      <c r="AP180" s="50">
        <f>H180*(1-1)</f>
      </c>
      <c r="AQ180" s="52" t="s">
        <v>135</v>
      </c>
      <c r="AV180" s="50">
        <f>ROUND(AW180+AX180,2)</f>
      </c>
      <c r="AW180" s="50">
        <f>ROUND(G180*AO180,2)</f>
      </c>
      <c r="AX180" s="50">
        <f>ROUND(G180*AP180,2)</f>
      </c>
      <c r="AY180" s="52" t="s">
        <v>136</v>
      </c>
      <c r="AZ180" s="52" t="s">
        <v>519</v>
      </c>
      <c r="BA180" s="28" t="s">
        <v>356</v>
      </c>
      <c r="BC180" s="50">
        <f>AW180+AX180</f>
      </c>
      <c r="BD180" s="50">
        <f>H180/(100-BE180)*100</f>
      </c>
      <c r="BE180" s="50" t="n">
        <v>0</v>
      </c>
      <c r="BF180" s="50">
        <f>180</f>
      </c>
      <c r="BH180" s="50">
        <f>G180*AO180</f>
      </c>
      <c r="BI180" s="50">
        <f>G180*AP180</f>
      </c>
      <c r="BJ180" s="50">
        <f>G180*H180</f>
      </c>
      <c r="BK180" s="52" t="s">
        <v>130</v>
      </c>
      <c r="BL180" s="50"/>
      <c r="BW180" s="50" t="n">
        <v>21</v>
      </c>
      <c r="BX180" s="14" t="s">
        <v>522</v>
      </c>
    </row>
    <row r="181">
      <c r="A181" s="9" t="s">
        <v>523</v>
      </c>
      <c r="B181" s="10" t="s">
        <v>348</v>
      </c>
      <c r="C181" s="10" t="s">
        <v>524</v>
      </c>
      <c r="D181" s="14" t="s">
        <v>525</v>
      </c>
      <c r="E181" s="10"/>
      <c r="F181" s="10" t="s">
        <v>270</v>
      </c>
      <c r="G181" s="50" t="n">
        <v>160</v>
      </c>
      <c r="H181" s="50" t="n">
        <v>0</v>
      </c>
      <c r="I181" s="50">
        <f>ROUND(G181*AO181,2)</f>
      </c>
      <c r="J181" s="50">
        <f>ROUND(G181*AP181,2)</f>
      </c>
      <c r="K181" s="50">
        <f>ROUND(G181*H181,2)</f>
      </c>
      <c r="L181" s="51" t="s">
        <v>61</v>
      </c>
      <c r="Z181" s="50">
        <f>ROUND(IF(AQ181="5",BJ181,0),2)</f>
      </c>
      <c r="AB181" s="50">
        <f>ROUND(IF(AQ181="1",BH181,0),2)</f>
      </c>
      <c r="AC181" s="50">
        <f>ROUND(IF(AQ181="1",BI181,0),2)</f>
      </c>
      <c r="AD181" s="50">
        <f>ROUND(IF(AQ181="7",BH181,0),2)</f>
      </c>
      <c r="AE181" s="50">
        <f>ROUND(IF(AQ181="7",BI181,0),2)</f>
      </c>
      <c r="AF181" s="50">
        <f>ROUND(IF(AQ181="2",BH181,0),2)</f>
      </c>
      <c r="AG181" s="50">
        <f>ROUND(IF(AQ181="2",BI181,0),2)</f>
      </c>
      <c r="AH181" s="50">
        <f>ROUND(IF(AQ181="0",BJ181,0),2)</f>
      </c>
      <c r="AI181" s="28" t="s">
        <v>348</v>
      </c>
      <c r="AJ181" s="50">
        <f>IF(AN181=0,K181,0)</f>
      </c>
      <c r="AK181" s="50">
        <f>IF(AN181=12,K181,0)</f>
      </c>
      <c r="AL181" s="50">
        <f>IF(AN181=21,K181,0)</f>
      </c>
      <c r="AN181" s="50" t="n">
        <v>21</v>
      </c>
      <c r="AO181" s="50">
        <f>H181*1</f>
      </c>
      <c r="AP181" s="50">
        <f>H181*(1-1)</f>
      </c>
      <c r="AQ181" s="52" t="s">
        <v>135</v>
      </c>
      <c r="AV181" s="50">
        <f>ROUND(AW181+AX181,2)</f>
      </c>
      <c r="AW181" s="50">
        <f>ROUND(G181*AO181,2)</f>
      </c>
      <c r="AX181" s="50">
        <f>ROUND(G181*AP181,2)</f>
      </c>
      <c r="AY181" s="52" t="s">
        <v>136</v>
      </c>
      <c r="AZ181" s="52" t="s">
        <v>519</v>
      </c>
      <c r="BA181" s="28" t="s">
        <v>356</v>
      </c>
      <c r="BC181" s="50">
        <f>AW181+AX181</f>
      </c>
      <c r="BD181" s="50">
        <f>H181/(100-BE181)*100</f>
      </c>
      <c r="BE181" s="50" t="n">
        <v>0</v>
      </c>
      <c r="BF181" s="50">
        <f>181</f>
      </c>
      <c r="BH181" s="50">
        <f>G181*AO181</f>
      </c>
      <c r="BI181" s="50">
        <f>G181*AP181</f>
      </c>
      <c r="BJ181" s="50">
        <f>G181*H181</f>
      </c>
      <c r="BK181" s="52" t="s">
        <v>130</v>
      </c>
      <c r="BL181" s="50"/>
      <c r="BW181" s="50" t="n">
        <v>21</v>
      </c>
      <c r="BX181" s="14" t="s">
        <v>525</v>
      </c>
    </row>
    <row r="182">
      <c r="A182" s="9" t="s">
        <v>526</v>
      </c>
      <c r="B182" s="10" t="s">
        <v>348</v>
      </c>
      <c r="C182" s="10" t="s">
        <v>527</v>
      </c>
      <c r="D182" s="14" t="s">
        <v>528</v>
      </c>
      <c r="E182" s="10"/>
      <c r="F182" s="10" t="s">
        <v>71</v>
      </c>
      <c r="G182" s="50" t="n">
        <v>3.26656</v>
      </c>
      <c r="H182" s="50" t="n">
        <v>0</v>
      </c>
      <c r="I182" s="50">
        <f>ROUND(G182*AO182,2)</f>
      </c>
      <c r="J182" s="50">
        <f>ROUND(G182*AP182,2)</f>
      </c>
      <c r="K182" s="50">
        <f>ROUND(G182*H182,2)</f>
      </c>
      <c r="L182" s="51" t="s">
        <v>61</v>
      </c>
      <c r="Z182" s="50">
        <f>ROUND(IF(AQ182="5",BJ182,0),2)</f>
      </c>
      <c r="AB182" s="50">
        <f>ROUND(IF(AQ182="1",BH182,0),2)</f>
      </c>
      <c r="AC182" s="50">
        <f>ROUND(IF(AQ182="1",BI182,0),2)</f>
      </c>
      <c r="AD182" s="50">
        <f>ROUND(IF(AQ182="7",BH182,0),2)</f>
      </c>
      <c r="AE182" s="50">
        <f>ROUND(IF(AQ182="7",BI182,0),2)</f>
      </c>
      <c r="AF182" s="50">
        <f>ROUND(IF(AQ182="2",BH182,0),2)</f>
      </c>
      <c r="AG182" s="50">
        <f>ROUND(IF(AQ182="2",BI182,0),2)</f>
      </c>
      <c r="AH182" s="50">
        <f>ROUND(IF(AQ182="0",BJ182,0),2)</f>
      </c>
      <c r="AI182" s="28" t="s">
        <v>348</v>
      </c>
      <c r="AJ182" s="50">
        <f>IF(AN182=0,K182,0)</f>
      </c>
      <c r="AK182" s="50">
        <f>IF(AN182=12,K182,0)</f>
      </c>
      <c r="AL182" s="50">
        <f>IF(AN182=21,K182,0)</f>
      </c>
      <c r="AN182" s="50" t="n">
        <v>21</v>
      </c>
      <c r="AO182" s="50">
        <f>H182*1</f>
      </c>
      <c r="AP182" s="50">
        <f>H182*(1-1)</f>
      </c>
      <c r="AQ182" s="52" t="s">
        <v>135</v>
      </c>
      <c r="AV182" s="50">
        <f>ROUND(AW182+AX182,2)</f>
      </c>
      <c r="AW182" s="50">
        <f>ROUND(G182*AO182,2)</f>
      </c>
      <c r="AX182" s="50">
        <f>ROUND(G182*AP182,2)</f>
      </c>
      <c r="AY182" s="52" t="s">
        <v>136</v>
      </c>
      <c r="AZ182" s="52" t="s">
        <v>519</v>
      </c>
      <c r="BA182" s="28" t="s">
        <v>356</v>
      </c>
      <c r="BC182" s="50">
        <f>AW182+AX182</f>
      </c>
      <c r="BD182" s="50">
        <f>H182/(100-BE182)*100</f>
      </c>
      <c r="BE182" s="50" t="n">
        <v>0</v>
      </c>
      <c r="BF182" s="50">
        <f>182</f>
      </c>
      <c r="BH182" s="50">
        <f>G182*AO182</f>
      </c>
      <c r="BI182" s="50">
        <f>G182*AP182</f>
      </c>
      <c r="BJ182" s="50">
        <f>G182*H182</f>
      </c>
      <c r="BK182" s="52" t="s">
        <v>130</v>
      </c>
      <c r="BL182" s="50"/>
      <c r="BW182" s="50" t="n">
        <v>21</v>
      </c>
      <c r="BX182" s="14" t="s">
        <v>528</v>
      </c>
    </row>
    <row r="183">
      <c r="A183" s="9" t="s">
        <v>529</v>
      </c>
      <c r="B183" s="10" t="s">
        <v>348</v>
      </c>
      <c r="C183" s="10" t="s">
        <v>530</v>
      </c>
      <c r="D183" s="14" t="s">
        <v>531</v>
      </c>
      <c r="E183" s="10"/>
      <c r="F183" s="10" t="s">
        <v>197</v>
      </c>
      <c r="G183" s="50" t="n">
        <v>139.104</v>
      </c>
      <c r="H183" s="50" t="n">
        <v>0</v>
      </c>
      <c r="I183" s="50">
        <f>ROUND(G183*AO183,2)</f>
      </c>
      <c r="J183" s="50">
        <f>ROUND(G183*AP183,2)</f>
      </c>
      <c r="K183" s="50">
        <f>ROUND(G183*H183,2)</f>
      </c>
      <c r="L183" s="51" t="s">
        <v>61</v>
      </c>
      <c r="Z183" s="50">
        <f>ROUND(IF(AQ183="5",BJ183,0),2)</f>
      </c>
      <c r="AB183" s="50">
        <f>ROUND(IF(AQ183="1",BH183,0),2)</f>
      </c>
      <c r="AC183" s="50">
        <f>ROUND(IF(AQ183="1",BI183,0),2)</f>
      </c>
      <c r="AD183" s="50">
        <f>ROUND(IF(AQ183="7",BH183,0),2)</f>
      </c>
      <c r="AE183" s="50">
        <f>ROUND(IF(AQ183="7",BI183,0),2)</f>
      </c>
      <c r="AF183" s="50">
        <f>ROUND(IF(AQ183="2",BH183,0),2)</f>
      </c>
      <c r="AG183" s="50">
        <f>ROUND(IF(AQ183="2",BI183,0),2)</f>
      </c>
      <c r="AH183" s="50">
        <f>ROUND(IF(AQ183="0",BJ183,0),2)</f>
      </c>
      <c r="AI183" s="28" t="s">
        <v>348</v>
      </c>
      <c r="AJ183" s="50">
        <f>IF(AN183=0,K183,0)</f>
      </c>
      <c r="AK183" s="50">
        <f>IF(AN183=12,K183,0)</f>
      </c>
      <c r="AL183" s="50">
        <f>IF(AN183=21,K183,0)</f>
      </c>
      <c r="AN183" s="50" t="n">
        <v>21</v>
      </c>
      <c r="AO183" s="50">
        <f>H183*1</f>
      </c>
      <c r="AP183" s="50">
        <f>H183*(1-1)</f>
      </c>
      <c r="AQ183" s="52" t="s">
        <v>135</v>
      </c>
      <c r="AV183" s="50">
        <f>ROUND(AW183+AX183,2)</f>
      </c>
      <c r="AW183" s="50">
        <f>ROUND(G183*AO183,2)</f>
      </c>
      <c r="AX183" s="50">
        <f>ROUND(G183*AP183,2)</f>
      </c>
      <c r="AY183" s="52" t="s">
        <v>136</v>
      </c>
      <c r="AZ183" s="52" t="s">
        <v>519</v>
      </c>
      <c r="BA183" s="28" t="s">
        <v>356</v>
      </c>
      <c r="BC183" s="50">
        <f>AW183+AX183</f>
      </c>
      <c r="BD183" s="50">
        <f>H183/(100-BE183)*100</f>
      </c>
      <c r="BE183" s="50" t="n">
        <v>0</v>
      </c>
      <c r="BF183" s="50">
        <f>183</f>
      </c>
      <c r="BH183" s="50">
        <f>G183*AO183</f>
      </c>
      <c r="BI183" s="50">
        <f>G183*AP183</f>
      </c>
      <c r="BJ183" s="50">
        <f>G183*H183</f>
      </c>
      <c r="BK183" s="52" t="s">
        <v>130</v>
      </c>
      <c r="BL183" s="50"/>
      <c r="BW183" s="50" t="n">
        <v>21</v>
      </c>
      <c r="BX183" s="14" t="s">
        <v>531</v>
      </c>
    </row>
    <row r="184">
      <c r="A184" s="9" t="s">
        <v>532</v>
      </c>
      <c r="B184" s="10" t="s">
        <v>348</v>
      </c>
      <c r="C184" s="10" t="s">
        <v>533</v>
      </c>
      <c r="D184" s="14" t="s">
        <v>534</v>
      </c>
      <c r="E184" s="10"/>
      <c r="F184" s="10" t="s">
        <v>80</v>
      </c>
      <c r="G184" s="50" t="n">
        <v>2</v>
      </c>
      <c r="H184" s="50" t="n">
        <v>0</v>
      </c>
      <c r="I184" s="50">
        <f>ROUND(G184*AO184,2)</f>
      </c>
      <c r="J184" s="50">
        <f>ROUND(G184*AP184,2)</f>
      </c>
      <c r="K184" s="50">
        <f>ROUND(G184*H184,2)</f>
      </c>
      <c r="L184" s="51" t="s">
        <v>61</v>
      </c>
      <c r="Z184" s="50">
        <f>ROUND(IF(AQ184="5",BJ184,0),2)</f>
      </c>
      <c r="AB184" s="50">
        <f>ROUND(IF(AQ184="1",BH184,0),2)</f>
      </c>
      <c r="AC184" s="50">
        <f>ROUND(IF(AQ184="1",BI184,0),2)</f>
      </c>
      <c r="AD184" s="50">
        <f>ROUND(IF(AQ184="7",BH184,0),2)</f>
      </c>
      <c r="AE184" s="50">
        <f>ROUND(IF(AQ184="7",BI184,0),2)</f>
      </c>
      <c r="AF184" s="50">
        <f>ROUND(IF(AQ184="2",BH184,0),2)</f>
      </c>
      <c r="AG184" s="50">
        <f>ROUND(IF(AQ184="2",BI184,0),2)</f>
      </c>
      <c r="AH184" s="50">
        <f>ROUND(IF(AQ184="0",BJ184,0),2)</f>
      </c>
      <c r="AI184" s="28" t="s">
        <v>348</v>
      </c>
      <c r="AJ184" s="50">
        <f>IF(AN184=0,K184,0)</f>
      </c>
      <c r="AK184" s="50">
        <f>IF(AN184=12,K184,0)</f>
      </c>
      <c r="AL184" s="50">
        <f>IF(AN184=21,K184,0)</f>
      </c>
      <c r="AN184" s="50" t="n">
        <v>21</v>
      </c>
      <c r="AO184" s="50">
        <f>H184*1</f>
      </c>
      <c r="AP184" s="50">
        <f>H184*(1-1)</f>
      </c>
      <c r="AQ184" s="52" t="s">
        <v>135</v>
      </c>
      <c r="AV184" s="50">
        <f>ROUND(AW184+AX184,2)</f>
      </c>
      <c r="AW184" s="50">
        <f>ROUND(G184*AO184,2)</f>
      </c>
      <c r="AX184" s="50">
        <f>ROUND(G184*AP184,2)</f>
      </c>
      <c r="AY184" s="52" t="s">
        <v>136</v>
      </c>
      <c r="AZ184" s="52" t="s">
        <v>519</v>
      </c>
      <c r="BA184" s="28" t="s">
        <v>356</v>
      </c>
      <c r="BC184" s="50">
        <f>AW184+AX184</f>
      </c>
      <c r="BD184" s="50">
        <f>H184/(100-BE184)*100</f>
      </c>
      <c r="BE184" s="50" t="n">
        <v>0</v>
      </c>
      <c r="BF184" s="50">
        <f>184</f>
      </c>
      <c r="BH184" s="50">
        <f>G184*AO184</f>
      </c>
      <c r="BI184" s="50">
        <f>G184*AP184</f>
      </c>
      <c r="BJ184" s="50">
        <f>G184*H184</f>
      </c>
      <c r="BK184" s="52" t="s">
        <v>130</v>
      </c>
      <c r="BL184" s="50"/>
      <c r="BW184" s="50" t="n">
        <v>21</v>
      </c>
      <c r="BX184" s="14" t="s">
        <v>534</v>
      </c>
    </row>
    <row r="185">
      <c r="A185" s="9" t="s">
        <v>535</v>
      </c>
      <c r="B185" s="10" t="s">
        <v>348</v>
      </c>
      <c r="C185" s="10" t="s">
        <v>536</v>
      </c>
      <c r="D185" s="14" t="s">
        <v>537</v>
      </c>
      <c r="E185" s="10"/>
      <c r="F185" s="10" t="s">
        <v>80</v>
      </c>
      <c r="G185" s="50" t="n">
        <v>2.02</v>
      </c>
      <c r="H185" s="50" t="n">
        <v>0</v>
      </c>
      <c r="I185" s="50">
        <f>ROUND(G185*AO185,2)</f>
      </c>
      <c r="J185" s="50">
        <f>ROUND(G185*AP185,2)</f>
      </c>
      <c r="K185" s="50">
        <f>ROUND(G185*H185,2)</f>
      </c>
      <c r="L185" s="51" t="s">
        <v>61</v>
      </c>
      <c r="Z185" s="50">
        <f>ROUND(IF(AQ185="5",BJ185,0),2)</f>
      </c>
      <c r="AB185" s="50">
        <f>ROUND(IF(AQ185="1",BH185,0),2)</f>
      </c>
      <c r="AC185" s="50">
        <f>ROUND(IF(AQ185="1",BI185,0),2)</f>
      </c>
      <c r="AD185" s="50">
        <f>ROUND(IF(AQ185="7",BH185,0),2)</f>
      </c>
      <c r="AE185" s="50">
        <f>ROUND(IF(AQ185="7",BI185,0),2)</f>
      </c>
      <c r="AF185" s="50">
        <f>ROUND(IF(AQ185="2",BH185,0),2)</f>
      </c>
      <c r="AG185" s="50">
        <f>ROUND(IF(AQ185="2",BI185,0),2)</f>
      </c>
      <c r="AH185" s="50">
        <f>ROUND(IF(AQ185="0",BJ185,0),2)</f>
      </c>
      <c r="AI185" s="28" t="s">
        <v>348</v>
      </c>
      <c r="AJ185" s="50">
        <f>IF(AN185=0,K185,0)</f>
      </c>
      <c r="AK185" s="50">
        <f>IF(AN185=12,K185,0)</f>
      </c>
      <c r="AL185" s="50">
        <f>IF(AN185=21,K185,0)</f>
      </c>
      <c r="AN185" s="50" t="n">
        <v>21</v>
      </c>
      <c r="AO185" s="50">
        <f>H185*1</f>
      </c>
      <c r="AP185" s="50">
        <f>H185*(1-1)</f>
      </c>
      <c r="AQ185" s="52" t="s">
        <v>135</v>
      </c>
      <c r="AV185" s="50">
        <f>ROUND(AW185+AX185,2)</f>
      </c>
      <c r="AW185" s="50">
        <f>ROUND(G185*AO185,2)</f>
      </c>
      <c r="AX185" s="50">
        <f>ROUND(G185*AP185,2)</f>
      </c>
      <c r="AY185" s="52" t="s">
        <v>136</v>
      </c>
      <c r="AZ185" s="52" t="s">
        <v>519</v>
      </c>
      <c r="BA185" s="28" t="s">
        <v>356</v>
      </c>
      <c r="BC185" s="50">
        <f>AW185+AX185</f>
      </c>
      <c r="BD185" s="50">
        <f>H185/(100-BE185)*100</f>
      </c>
      <c r="BE185" s="50" t="n">
        <v>0</v>
      </c>
      <c r="BF185" s="50">
        <f>185</f>
      </c>
      <c r="BH185" s="50">
        <f>G185*AO185</f>
      </c>
      <c r="BI185" s="50">
        <f>G185*AP185</f>
      </c>
      <c r="BJ185" s="50">
        <f>G185*H185</f>
      </c>
      <c r="BK185" s="52" t="s">
        <v>130</v>
      </c>
      <c r="BL185" s="50"/>
      <c r="BW185" s="50" t="n">
        <v>21</v>
      </c>
      <c r="BX185" s="14" t="s">
        <v>537</v>
      </c>
    </row>
    <row r="186">
      <c r="A186" s="9" t="s">
        <v>538</v>
      </c>
      <c r="B186" s="10" t="s">
        <v>348</v>
      </c>
      <c r="C186" s="10" t="s">
        <v>539</v>
      </c>
      <c r="D186" s="14" t="s">
        <v>540</v>
      </c>
      <c r="E186" s="10"/>
      <c r="F186" s="10" t="s">
        <v>80</v>
      </c>
      <c r="G186" s="50" t="n">
        <v>48</v>
      </c>
      <c r="H186" s="50" t="n">
        <v>0</v>
      </c>
      <c r="I186" s="50">
        <f>ROUND(G186*AO186,2)</f>
      </c>
      <c r="J186" s="50">
        <f>ROUND(G186*AP186,2)</f>
      </c>
      <c r="K186" s="50">
        <f>ROUND(G186*H186,2)</f>
      </c>
      <c r="L186" s="51" t="s">
        <v>61</v>
      </c>
      <c r="Z186" s="50">
        <f>ROUND(IF(AQ186="5",BJ186,0),2)</f>
      </c>
      <c r="AB186" s="50">
        <f>ROUND(IF(AQ186="1",BH186,0),2)</f>
      </c>
      <c r="AC186" s="50">
        <f>ROUND(IF(AQ186="1",BI186,0),2)</f>
      </c>
      <c r="AD186" s="50">
        <f>ROUND(IF(AQ186="7",BH186,0),2)</f>
      </c>
      <c r="AE186" s="50">
        <f>ROUND(IF(AQ186="7",BI186,0),2)</f>
      </c>
      <c r="AF186" s="50">
        <f>ROUND(IF(AQ186="2",BH186,0),2)</f>
      </c>
      <c r="AG186" s="50">
        <f>ROUND(IF(AQ186="2",BI186,0),2)</f>
      </c>
      <c r="AH186" s="50">
        <f>ROUND(IF(AQ186="0",BJ186,0),2)</f>
      </c>
      <c r="AI186" s="28" t="s">
        <v>348</v>
      </c>
      <c r="AJ186" s="50">
        <f>IF(AN186=0,K186,0)</f>
      </c>
      <c r="AK186" s="50">
        <f>IF(AN186=12,K186,0)</f>
      </c>
      <c r="AL186" s="50">
        <f>IF(AN186=21,K186,0)</f>
      </c>
      <c r="AN186" s="50" t="n">
        <v>21</v>
      </c>
      <c r="AO186" s="50">
        <f>H186*1</f>
      </c>
      <c r="AP186" s="50">
        <f>H186*(1-1)</f>
      </c>
      <c r="AQ186" s="52" t="s">
        <v>135</v>
      </c>
      <c r="AV186" s="50">
        <f>ROUND(AW186+AX186,2)</f>
      </c>
      <c r="AW186" s="50">
        <f>ROUND(G186*AO186,2)</f>
      </c>
      <c r="AX186" s="50">
        <f>ROUND(G186*AP186,2)</f>
      </c>
      <c r="AY186" s="52" t="s">
        <v>136</v>
      </c>
      <c r="AZ186" s="52" t="s">
        <v>519</v>
      </c>
      <c r="BA186" s="28" t="s">
        <v>356</v>
      </c>
      <c r="BC186" s="50">
        <f>AW186+AX186</f>
      </c>
      <c r="BD186" s="50">
        <f>H186/(100-BE186)*100</f>
      </c>
      <c r="BE186" s="50" t="n">
        <v>0</v>
      </c>
      <c r="BF186" s="50">
        <f>186</f>
      </c>
      <c r="BH186" s="50">
        <f>G186*AO186</f>
      </c>
      <c r="BI186" s="50">
        <f>G186*AP186</f>
      </c>
      <c r="BJ186" s="50">
        <f>G186*H186</f>
      </c>
      <c r="BK186" s="52" t="s">
        <v>130</v>
      </c>
      <c r="BL186" s="50"/>
      <c r="BW186" s="50" t="n">
        <v>21</v>
      </c>
      <c r="BX186" s="14" t="s">
        <v>540</v>
      </c>
    </row>
    <row r="187">
      <c r="A187" s="9" t="s">
        <v>541</v>
      </c>
      <c r="B187" s="10" t="s">
        <v>348</v>
      </c>
      <c r="C187" s="10" t="s">
        <v>542</v>
      </c>
      <c r="D187" s="14" t="s">
        <v>543</v>
      </c>
      <c r="E187" s="10"/>
      <c r="F187" s="10" t="s">
        <v>80</v>
      </c>
      <c r="G187" s="50" t="n">
        <v>47</v>
      </c>
      <c r="H187" s="50" t="n">
        <v>0</v>
      </c>
      <c r="I187" s="50">
        <f>ROUND(G187*AO187,2)</f>
      </c>
      <c r="J187" s="50">
        <f>ROUND(G187*AP187,2)</f>
      </c>
      <c r="K187" s="50">
        <f>ROUND(G187*H187,2)</f>
      </c>
      <c r="L187" s="51" t="s">
        <v>61</v>
      </c>
      <c r="Z187" s="50">
        <f>ROUND(IF(AQ187="5",BJ187,0),2)</f>
      </c>
      <c r="AB187" s="50">
        <f>ROUND(IF(AQ187="1",BH187,0),2)</f>
      </c>
      <c r="AC187" s="50">
        <f>ROUND(IF(AQ187="1",BI187,0),2)</f>
      </c>
      <c r="AD187" s="50">
        <f>ROUND(IF(AQ187="7",BH187,0),2)</f>
      </c>
      <c r="AE187" s="50">
        <f>ROUND(IF(AQ187="7",BI187,0),2)</f>
      </c>
      <c r="AF187" s="50">
        <f>ROUND(IF(AQ187="2",BH187,0),2)</f>
      </c>
      <c r="AG187" s="50">
        <f>ROUND(IF(AQ187="2",BI187,0),2)</f>
      </c>
      <c r="AH187" s="50">
        <f>ROUND(IF(AQ187="0",BJ187,0),2)</f>
      </c>
      <c r="AI187" s="28" t="s">
        <v>348</v>
      </c>
      <c r="AJ187" s="50">
        <f>IF(AN187=0,K187,0)</f>
      </c>
      <c r="AK187" s="50">
        <f>IF(AN187=12,K187,0)</f>
      </c>
      <c r="AL187" s="50">
        <f>IF(AN187=21,K187,0)</f>
      </c>
      <c r="AN187" s="50" t="n">
        <v>21</v>
      </c>
      <c r="AO187" s="50">
        <f>H187*1</f>
      </c>
      <c r="AP187" s="50">
        <f>H187*(1-1)</f>
      </c>
      <c r="AQ187" s="52" t="s">
        <v>135</v>
      </c>
      <c r="AV187" s="50">
        <f>ROUND(AW187+AX187,2)</f>
      </c>
      <c r="AW187" s="50">
        <f>ROUND(G187*AO187,2)</f>
      </c>
      <c r="AX187" s="50">
        <f>ROUND(G187*AP187,2)</f>
      </c>
      <c r="AY187" s="52" t="s">
        <v>136</v>
      </c>
      <c r="AZ187" s="52" t="s">
        <v>519</v>
      </c>
      <c r="BA187" s="28" t="s">
        <v>356</v>
      </c>
      <c r="BC187" s="50">
        <f>AW187+AX187</f>
      </c>
      <c r="BD187" s="50">
        <f>H187/(100-BE187)*100</f>
      </c>
      <c r="BE187" s="50" t="n">
        <v>0</v>
      </c>
      <c r="BF187" s="50">
        <f>187</f>
      </c>
      <c r="BH187" s="50">
        <f>G187*AO187</f>
      </c>
      <c r="BI187" s="50">
        <f>G187*AP187</f>
      </c>
      <c r="BJ187" s="50">
        <f>G187*H187</f>
      </c>
      <c r="BK187" s="52" t="s">
        <v>130</v>
      </c>
      <c r="BL187" s="50"/>
      <c r="BW187" s="50" t="n">
        <v>21</v>
      </c>
      <c r="BX187" s="14" t="s">
        <v>543</v>
      </c>
    </row>
    <row r="188">
      <c r="A188" s="9" t="s">
        <v>544</v>
      </c>
      <c r="B188" s="10" t="s">
        <v>348</v>
      </c>
      <c r="C188" s="10" t="s">
        <v>545</v>
      </c>
      <c r="D188" s="14" t="s">
        <v>546</v>
      </c>
      <c r="E188" s="10"/>
      <c r="F188" s="10" t="s">
        <v>80</v>
      </c>
      <c r="G188" s="50" t="n">
        <v>5</v>
      </c>
      <c r="H188" s="50" t="n">
        <v>0</v>
      </c>
      <c r="I188" s="50">
        <f>ROUND(G188*AO188,2)</f>
      </c>
      <c r="J188" s="50">
        <f>ROUND(G188*AP188,2)</f>
      </c>
      <c r="K188" s="50">
        <f>ROUND(G188*H188,2)</f>
      </c>
      <c r="L188" s="51" t="s">
        <v>61</v>
      </c>
      <c r="Z188" s="50">
        <f>ROUND(IF(AQ188="5",BJ188,0),2)</f>
      </c>
      <c r="AB188" s="50">
        <f>ROUND(IF(AQ188="1",BH188,0),2)</f>
      </c>
      <c r="AC188" s="50">
        <f>ROUND(IF(AQ188="1",BI188,0),2)</f>
      </c>
      <c r="AD188" s="50">
        <f>ROUND(IF(AQ188="7",BH188,0),2)</f>
      </c>
      <c r="AE188" s="50">
        <f>ROUND(IF(AQ188="7",BI188,0),2)</f>
      </c>
      <c r="AF188" s="50">
        <f>ROUND(IF(AQ188="2",BH188,0),2)</f>
      </c>
      <c r="AG188" s="50">
        <f>ROUND(IF(AQ188="2",BI188,0),2)</f>
      </c>
      <c r="AH188" s="50">
        <f>ROUND(IF(AQ188="0",BJ188,0),2)</f>
      </c>
      <c r="AI188" s="28" t="s">
        <v>348</v>
      </c>
      <c r="AJ188" s="50">
        <f>IF(AN188=0,K188,0)</f>
      </c>
      <c r="AK188" s="50">
        <f>IF(AN188=12,K188,0)</f>
      </c>
      <c r="AL188" s="50">
        <f>IF(AN188=21,K188,0)</f>
      </c>
      <c r="AN188" s="50" t="n">
        <v>21</v>
      </c>
      <c r="AO188" s="50">
        <f>H188*1</f>
      </c>
      <c r="AP188" s="50">
        <f>H188*(1-1)</f>
      </c>
      <c r="AQ188" s="52" t="s">
        <v>135</v>
      </c>
      <c r="AV188" s="50">
        <f>ROUND(AW188+AX188,2)</f>
      </c>
      <c r="AW188" s="50">
        <f>ROUND(G188*AO188,2)</f>
      </c>
      <c r="AX188" s="50">
        <f>ROUND(G188*AP188,2)</f>
      </c>
      <c r="AY188" s="52" t="s">
        <v>136</v>
      </c>
      <c r="AZ188" s="52" t="s">
        <v>519</v>
      </c>
      <c r="BA188" s="28" t="s">
        <v>356</v>
      </c>
      <c r="BC188" s="50">
        <f>AW188+AX188</f>
      </c>
      <c r="BD188" s="50">
        <f>H188/(100-BE188)*100</f>
      </c>
      <c r="BE188" s="50" t="n">
        <v>0</v>
      </c>
      <c r="BF188" s="50">
        <f>188</f>
      </c>
      <c r="BH188" s="50">
        <f>G188*AO188</f>
      </c>
      <c r="BI188" s="50">
        <f>G188*AP188</f>
      </c>
      <c r="BJ188" s="50">
        <f>G188*H188</f>
      </c>
      <c r="BK188" s="52" t="s">
        <v>130</v>
      </c>
      <c r="BL188" s="50"/>
      <c r="BW188" s="50" t="n">
        <v>21</v>
      </c>
      <c r="BX188" s="14" t="s">
        <v>546</v>
      </c>
    </row>
    <row r="189">
      <c r="A189" s="9" t="s">
        <v>547</v>
      </c>
      <c r="B189" s="10" t="s">
        <v>348</v>
      </c>
      <c r="C189" s="10" t="s">
        <v>548</v>
      </c>
      <c r="D189" s="14" t="s">
        <v>549</v>
      </c>
      <c r="E189" s="10"/>
      <c r="F189" s="10" t="s">
        <v>80</v>
      </c>
      <c r="G189" s="50" t="n">
        <v>2</v>
      </c>
      <c r="H189" s="50" t="n">
        <v>0</v>
      </c>
      <c r="I189" s="50">
        <f>ROUND(G189*AO189,2)</f>
      </c>
      <c r="J189" s="50">
        <f>ROUND(G189*AP189,2)</f>
      </c>
      <c r="K189" s="50">
        <f>ROUND(G189*H189,2)</f>
      </c>
      <c r="L189" s="51" t="s">
        <v>61</v>
      </c>
      <c r="Z189" s="50">
        <f>ROUND(IF(AQ189="5",BJ189,0),2)</f>
      </c>
      <c r="AB189" s="50">
        <f>ROUND(IF(AQ189="1",BH189,0),2)</f>
      </c>
      <c r="AC189" s="50">
        <f>ROUND(IF(AQ189="1",BI189,0),2)</f>
      </c>
      <c r="AD189" s="50">
        <f>ROUND(IF(AQ189="7",BH189,0),2)</f>
      </c>
      <c r="AE189" s="50">
        <f>ROUND(IF(AQ189="7",BI189,0),2)</f>
      </c>
      <c r="AF189" s="50">
        <f>ROUND(IF(AQ189="2",BH189,0),2)</f>
      </c>
      <c r="AG189" s="50">
        <f>ROUND(IF(AQ189="2",BI189,0),2)</f>
      </c>
      <c r="AH189" s="50">
        <f>ROUND(IF(AQ189="0",BJ189,0),2)</f>
      </c>
      <c r="AI189" s="28" t="s">
        <v>348</v>
      </c>
      <c r="AJ189" s="50">
        <f>IF(AN189=0,K189,0)</f>
      </c>
      <c r="AK189" s="50">
        <f>IF(AN189=12,K189,0)</f>
      </c>
      <c r="AL189" s="50">
        <f>IF(AN189=21,K189,0)</f>
      </c>
      <c r="AN189" s="50" t="n">
        <v>21</v>
      </c>
      <c r="AO189" s="50">
        <f>H189*1</f>
      </c>
      <c r="AP189" s="50">
        <f>H189*(1-1)</f>
      </c>
      <c r="AQ189" s="52" t="s">
        <v>135</v>
      </c>
      <c r="AV189" s="50">
        <f>ROUND(AW189+AX189,2)</f>
      </c>
      <c r="AW189" s="50">
        <f>ROUND(G189*AO189,2)</f>
      </c>
      <c r="AX189" s="50">
        <f>ROUND(G189*AP189,2)</f>
      </c>
      <c r="AY189" s="52" t="s">
        <v>136</v>
      </c>
      <c r="AZ189" s="52" t="s">
        <v>519</v>
      </c>
      <c r="BA189" s="28" t="s">
        <v>356</v>
      </c>
      <c r="BC189" s="50">
        <f>AW189+AX189</f>
      </c>
      <c r="BD189" s="50">
        <f>H189/(100-BE189)*100</f>
      </c>
      <c r="BE189" s="50" t="n">
        <v>0</v>
      </c>
      <c r="BF189" s="50">
        <f>189</f>
      </c>
      <c r="BH189" s="50">
        <f>G189*AO189</f>
      </c>
      <c r="BI189" s="50">
        <f>G189*AP189</f>
      </c>
      <c r="BJ189" s="50">
        <f>G189*H189</f>
      </c>
      <c r="BK189" s="52" t="s">
        <v>130</v>
      </c>
      <c r="BL189" s="50"/>
      <c r="BW189" s="50" t="n">
        <v>21</v>
      </c>
      <c r="BX189" s="14" t="s">
        <v>549</v>
      </c>
    </row>
    <row r="190">
      <c r="A190" s="9" t="s">
        <v>550</v>
      </c>
      <c r="B190" s="10" t="s">
        <v>348</v>
      </c>
      <c r="C190" s="10" t="s">
        <v>551</v>
      </c>
      <c r="D190" s="14" t="s">
        <v>552</v>
      </c>
      <c r="E190" s="10"/>
      <c r="F190" s="10" t="s">
        <v>80</v>
      </c>
      <c r="G190" s="50" t="n">
        <v>3</v>
      </c>
      <c r="H190" s="50" t="n">
        <v>0</v>
      </c>
      <c r="I190" s="50">
        <f>ROUND(G190*AO190,2)</f>
      </c>
      <c r="J190" s="50">
        <f>ROUND(G190*AP190,2)</f>
      </c>
      <c r="K190" s="50">
        <f>ROUND(G190*H190,2)</f>
      </c>
      <c r="L190" s="51" t="s">
        <v>61</v>
      </c>
      <c r="Z190" s="50">
        <f>ROUND(IF(AQ190="5",BJ190,0),2)</f>
      </c>
      <c r="AB190" s="50">
        <f>ROUND(IF(AQ190="1",BH190,0),2)</f>
      </c>
      <c r="AC190" s="50">
        <f>ROUND(IF(AQ190="1",BI190,0),2)</f>
      </c>
      <c r="AD190" s="50">
        <f>ROUND(IF(AQ190="7",BH190,0),2)</f>
      </c>
      <c r="AE190" s="50">
        <f>ROUND(IF(AQ190="7",BI190,0),2)</f>
      </c>
      <c r="AF190" s="50">
        <f>ROUND(IF(AQ190="2",BH190,0),2)</f>
      </c>
      <c r="AG190" s="50">
        <f>ROUND(IF(AQ190="2",BI190,0),2)</f>
      </c>
      <c r="AH190" s="50">
        <f>ROUND(IF(AQ190="0",BJ190,0),2)</f>
      </c>
      <c r="AI190" s="28" t="s">
        <v>348</v>
      </c>
      <c r="AJ190" s="50">
        <f>IF(AN190=0,K190,0)</f>
      </c>
      <c r="AK190" s="50">
        <f>IF(AN190=12,K190,0)</f>
      </c>
      <c r="AL190" s="50">
        <f>IF(AN190=21,K190,0)</f>
      </c>
      <c r="AN190" s="50" t="n">
        <v>21</v>
      </c>
      <c r="AO190" s="50">
        <f>H190*1</f>
      </c>
      <c r="AP190" s="50">
        <f>H190*(1-1)</f>
      </c>
      <c r="AQ190" s="52" t="s">
        <v>135</v>
      </c>
      <c r="AV190" s="50">
        <f>ROUND(AW190+AX190,2)</f>
      </c>
      <c r="AW190" s="50">
        <f>ROUND(G190*AO190,2)</f>
      </c>
      <c r="AX190" s="50">
        <f>ROUND(G190*AP190,2)</f>
      </c>
      <c r="AY190" s="52" t="s">
        <v>136</v>
      </c>
      <c r="AZ190" s="52" t="s">
        <v>519</v>
      </c>
      <c r="BA190" s="28" t="s">
        <v>356</v>
      </c>
      <c r="BC190" s="50">
        <f>AW190+AX190</f>
      </c>
      <c r="BD190" s="50">
        <f>H190/(100-BE190)*100</f>
      </c>
      <c r="BE190" s="50" t="n">
        <v>0</v>
      </c>
      <c r="BF190" s="50">
        <f>190</f>
      </c>
      <c r="BH190" s="50">
        <f>G190*AO190</f>
      </c>
      <c r="BI190" s="50">
        <f>G190*AP190</f>
      </c>
      <c r="BJ190" s="50">
        <f>G190*H190</f>
      </c>
      <c r="BK190" s="52" t="s">
        <v>130</v>
      </c>
      <c r="BL190" s="50"/>
      <c r="BW190" s="50" t="n">
        <v>21</v>
      </c>
      <c r="BX190" s="14" t="s">
        <v>552</v>
      </c>
    </row>
    <row r="191">
      <c r="A191" s="9" t="s">
        <v>553</v>
      </c>
      <c r="B191" s="10" t="s">
        <v>348</v>
      </c>
      <c r="C191" s="10" t="s">
        <v>554</v>
      </c>
      <c r="D191" s="14" t="s">
        <v>555</v>
      </c>
      <c r="E191" s="10"/>
      <c r="F191" s="10" t="s">
        <v>80</v>
      </c>
      <c r="G191" s="50" t="n">
        <v>3</v>
      </c>
      <c r="H191" s="50" t="n">
        <v>0</v>
      </c>
      <c r="I191" s="50">
        <f>ROUND(G191*AO191,2)</f>
      </c>
      <c r="J191" s="50">
        <f>ROUND(G191*AP191,2)</f>
      </c>
      <c r="K191" s="50">
        <f>ROUND(G191*H191,2)</f>
      </c>
      <c r="L191" s="51" t="s">
        <v>61</v>
      </c>
      <c r="Z191" s="50">
        <f>ROUND(IF(AQ191="5",BJ191,0),2)</f>
      </c>
      <c r="AB191" s="50">
        <f>ROUND(IF(AQ191="1",BH191,0),2)</f>
      </c>
      <c r="AC191" s="50">
        <f>ROUND(IF(AQ191="1",BI191,0),2)</f>
      </c>
      <c r="AD191" s="50">
        <f>ROUND(IF(AQ191="7",BH191,0),2)</f>
      </c>
      <c r="AE191" s="50">
        <f>ROUND(IF(AQ191="7",BI191,0),2)</f>
      </c>
      <c r="AF191" s="50">
        <f>ROUND(IF(AQ191="2",BH191,0),2)</f>
      </c>
      <c r="AG191" s="50">
        <f>ROUND(IF(AQ191="2",BI191,0),2)</f>
      </c>
      <c r="AH191" s="50">
        <f>ROUND(IF(AQ191="0",BJ191,0),2)</f>
      </c>
      <c r="AI191" s="28" t="s">
        <v>348</v>
      </c>
      <c r="AJ191" s="50">
        <f>IF(AN191=0,K191,0)</f>
      </c>
      <c r="AK191" s="50">
        <f>IF(AN191=12,K191,0)</f>
      </c>
      <c r="AL191" s="50">
        <f>IF(AN191=21,K191,0)</f>
      </c>
      <c r="AN191" s="50" t="n">
        <v>21</v>
      </c>
      <c r="AO191" s="50">
        <f>H191*1</f>
      </c>
      <c r="AP191" s="50">
        <f>H191*(1-1)</f>
      </c>
      <c r="AQ191" s="52" t="s">
        <v>135</v>
      </c>
      <c r="AV191" s="50">
        <f>ROUND(AW191+AX191,2)</f>
      </c>
      <c r="AW191" s="50">
        <f>ROUND(G191*AO191,2)</f>
      </c>
      <c r="AX191" s="50">
        <f>ROUND(G191*AP191,2)</f>
      </c>
      <c r="AY191" s="52" t="s">
        <v>136</v>
      </c>
      <c r="AZ191" s="52" t="s">
        <v>519</v>
      </c>
      <c r="BA191" s="28" t="s">
        <v>356</v>
      </c>
      <c r="BC191" s="50">
        <f>AW191+AX191</f>
      </c>
      <c r="BD191" s="50">
        <f>H191/(100-BE191)*100</f>
      </c>
      <c r="BE191" s="50" t="n">
        <v>0</v>
      </c>
      <c r="BF191" s="50">
        <f>191</f>
      </c>
      <c r="BH191" s="50">
        <f>G191*AO191</f>
      </c>
      <c r="BI191" s="50">
        <f>G191*AP191</f>
      </c>
      <c r="BJ191" s="50">
        <f>G191*H191</f>
      </c>
      <c r="BK191" s="52" t="s">
        <v>130</v>
      </c>
      <c r="BL191" s="50"/>
      <c r="BW191" s="50" t="n">
        <v>21</v>
      </c>
      <c r="BX191" s="14" t="s">
        <v>555</v>
      </c>
    </row>
    <row r="192">
      <c r="A192" s="9" t="s">
        <v>556</v>
      </c>
      <c r="B192" s="10" t="s">
        <v>348</v>
      </c>
      <c r="C192" s="10" t="s">
        <v>557</v>
      </c>
      <c r="D192" s="14" t="s">
        <v>558</v>
      </c>
      <c r="E192" s="10"/>
      <c r="F192" s="10" t="s">
        <v>80</v>
      </c>
      <c r="G192" s="50" t="n">
        <v>2</v>
      </c>
      <c r="H192" s="50" t="n">
        <v>0</v>
      </c>
      <c r="I192" s="50">
        <f>ROUND(G192*AO192,2)</f>
      </c>
      <c r="J192" s="50">
        <f>ROUND(G192*AP192,2)</f>
      </c>
      <c r="K192" s="50">
        <f>ROUND(G192*H192,2)</f>
      </c>
      <c r="L192" s="51" t="s">
        <v>61</v>
      </c>
      <c r="Z192" s="50">
        <f>ROUND(IF(AQ192="5",BJ192,0),2)</f>
      </c>
      <c r="AB192" s="50">
        <f>ROUND(IF(AQ192="1",BH192,0),2)</f>
      </c>
      <c r="AC192" s="50">
        <f>ROUND(IF(AQ192="1",BI192,0),2)</f>
      </c>
      <c r="AD192" s="50">
        <f>ROUND(IF(AQ192="7",BH192,0),2)</f>
      </c>
      <c r="AE192" s="50">
        <f>ROUND(IF(AQ192="7",BI192,0),2)</f>
      </c>
      <c r="AF192" s="50">
        <f>ROUND(IF(AQ192="2",BH192,0),2)</f>
      </c>
      <c r="AG192" s="50">
        <f>ROUND(IF(AQ192="2",BI192,0),2)</f>
      </c>
      <c r="AH192" s="50">
        <f>ROUND(IF(AQ192="0",BJ192,0),2)</f>
      </c>
      <c r="AI192" s="28" t="s">
        <v>348</v>
      </c>
      <c r="AJ192" s="50">
        <f>IF(AN192=0,K192,0)</f>
      </c>
      <c r="AK192" s="50">
        <f>IF(AN192=12,K192,0)</f>
      </c>
      <c r="AL192" s="50">
        <f>IF(AN192=21,K192,0)</f>
      </c>
      <c r="AN192" s="50" t="n">
        <v>21</v>
      </c>
      <c r="AO192" s="50">
        <f>H192*1</f>
      </c>
      <c r="AP192" s="50">
        <f>H192*(1-1)</f>
      </c>
      <c r="AQ192" s="52" t="s">
        <v>135</v>
      </c>
      <c r="AV192" s="50">
        <f>ROUND(AW192+AX192,2)</f>
      </c>
      <c r="AW192" s="50">
        <f>ROUND(G192*AO192,2)</f>
      </c>
      <c r="AX192" s="50">
        <f>ROUND(G192*AP192,2)</f>
      </c>
      <c r="AY192" s="52" t="s">
        <v>136</v>
      </c>
      <c r="AZ192" s="52" t="s">
        <v>519</v>
      </c>
      <c r="BA192" s="28" t="s">
        <v>356</v>
      </c>
      <c r="BC192" s="50">
        <f>AW192+AX192</f>
      </c>
      <c r="BD192" s="50">
        <f>H192/(100-BE192)*100</f>
      </c>
      <c r="BE192" s="50" t="n">
        <v>0</v>
      </c>
      <c r="BF192" s="50">
        <f>192</f>
      </c>
      <c r="BH192" s="50">
        <f>G192*AO192</f>
      </c>
      <c r="BI192" s="50">
        <f>G192*AP192</f>
      </c>
      <c r="BJ192" s="50">
        <f>G192*H192</f>
      </c>
      <c r="BK192" s="52" t="s">
        <v>130</v>
      </c>
      <c r="BL192" s="50"/>
      <c r="BW192" s="50" t="n">
        <v>21</v>
      </c>
      <c r="BX192" s="14" t="s">
        <v>558</v>
      </c>
    </row>
    <row r="193">
      <c r="A193" s="9" t="s">
        <v>559</v>
      </c>
      <c r="B193" s="10" t="s">
        <v>348</v>
      </c>
      <c r="C193" s="10" t="s">
        <v>560</v>
      </c>
      <c r="D193" s="14" t="s">
        <v>561</v>
      </c>
      <c r="E193" s="10"/>
      <c r="F193" s="10" t="s">
        <v>80</v>
      </c>
      <c r="G193" s="50" t="n">
        <v>2</v>
      </c>
      <c r="H193" s="50" t="n">
        <v>0</v>
      </c>
      <c r="I193" s="50">
        <f>ROUND(G193*AO193,2)</f>
      </c>
      <c r="J193" s="50">
        <f>ROUND(G193*AP193,2)</f>
      </c>
      <c r="K193" s="50">
        <f>ROUND(G193*H193,2)</f>
      </c>
      <c r="L193" s="51" t="s">
        <v>61</v>
      </c>
      <c r="Z193" s="50">
        <f>ROUND(IF(AQ193="5",BJ193,0),2)</f>
      </c>
      <c r="AB193" s="50">
        <f>ROUND(IF(AQ193="1",BH193,0),2)</f>
      </c>
      <c r="AC193" s="50">
        <f>ROUND(IF(AQ193="1",BI193,0),2)</f>
      </c>
      <c r="AD193" s="50">
        <f>ROUND(IF(AQ193="7",BH193,0),2)</f>
      </c>
      <c r="AE193" s="50">
        <f>ROUND(IF(AQ193="7",BI193,0),2)</f>
      </c>
      <c r="AF193" s="50">
        <f>ROUND(IF(AQ193="2",BH193,0),2)</f>
      </c>
      <c r="AG193" s="50">
        <f>ROUND(IF(AQ193="2",BI193,0),2)</f>
      </c>
      <c r="AH193" s="50">
        <f>ROUND(IF(AQ193="0",BJ193,0),2)</f>
      </c>
      <c r="AI193" s="28" t="s">
        <v>348</v>
      </c>
      <c r="AJ193" s="50">
        <f>IF(AN193=0,K193,0)</f>
      </c>
      <c r="AK193" s="50">
        <f>IF(AN193=12,K193,0)</f>
      </c>
      <c r="AL193" s="50">
        <f>IF(AN193=21,K193,0)</f>
      </c>
      <c r="AN193" s="50" t="n">
        <v>21</v>
      </c>
      <c r="AO193" s="50">
        <f>H193*1</f>
      </c>
      <c r="AP193" s="50">
        <f>H193*(1-1)</f>
      </c>
      <c r="AQ193" s="52" t="s">
        <v>135</v>
      </c>
      <c r="AV193" s="50">
        <f>ROUND(AW193+AX193,2)</f>
      </c>
      <c r="AW193" s="50">
        <f>ROUND(G193*AO193,2)</f>
      </c>
      <c r="AX193" s="50">
        <f>ROUND(G193*AP193,2)</f>
      </c>
      <c r="AY193" s="52" t="s">
        <v>136</v>
      </c>
      <c r="AZ193" s="52" t="s">
        <v>519</v>
      </c>
      <c r="BA193" s="28" t="s">
        <v>356</v>
      </c>
      <c r="BC193" s="50">
        <f>AW193+AX193</f>
      </c>
      <c r="BD193" s="50">
        <f>H193/(100-BE193)*100</f>
      </c>
      <c r="BE193" s="50" t="n">
        <v>0</v>
      </c>
      <c r="BF193" s="50">
        <f>193</f>
      </c>
      <c r="BH193" s="50">
        <f>G193*AO193</f>
      </c>
      <c r="BI193" s="50">
        <f>G193*AP193</f>
      </c>
      <c r="BJ193" s="50">
        <f>G193*H193</f>
      </c>
      <c r="BK193" s="52" t="s">
        <v>130</v>
      </c>
      <c r="BL193" s="50"/>
      <c r="BW193" s="50" t="n">
        <v>21</v>
      </c>
      <c r="BX193" s="14" t="s">
        <v>561</v>
      </c>
    </row>
    <row r="194">
      <c r="A194" s="9" t="s">
        <v>562</v>
      </c>
      <c r="B194" s="10" t="s">
        <v>348</v>
      </c>
      <c r="C194" s="10" t="s">
        <v>563</v>
      </c>
      <c r="D194" s="14" t="s">
        <v>564</v>
      </c>
      <c r="E194" s="10"/>
      <c r="F194" s="10" t="s">
        <v>80</v>
      </c>
      <c r="G194" s="50" t="n">
        <v>1</v>
      </c>
      <c r="H194" s="50" t="n">
        <v>0</v>
      </c>
      <c r="I194" s="50">
        <f>ROUND(G194*AO194,2)</f>
      </c>
      <c r="J194" s="50">
        <f>ROUND(G194*AP194,2)</f>
      </c>
      <c r="K194" s="50">
        <f>ROUND(G194*H194,2)</f>
      </c>
      <c r="L194" s="51" t="s">
        <v>61</v>
      </c>
      <c r="Z194" s="50">
        <f>ROUND(IF(AQ194="5",BJ194,0),2)</f>
      </c>
      <c r="AB194" s="50">
        <f>ROUND(IF(AQ194="1",BH194,0),2)</f>
      </c>
      <c r="AC194" s="50">
        <f>ROUND(IF(AQ194="1",BI194,0),2)</f>
      </c>
      <c r="AD194" s="50">
        <f>ROUND(IF(AQ194="7",BH194,0),2)</f>
      </c>
      <c r="AE194" s="50">
        <f>ROUND(IF(AQ194="7",BI194,0),2)</f>
      </c>
      <c r="AF194" s="50">
        <f>ROUND(IF(AQ194="2",BH194,0),2)</f>
      </c>
      <c r="AG194" s="50">
        <f>ROUND(IF(AQ194="2",BI194,0),2)</f>
      </c>
      <c r="AH194" s="50">
        <f>ROUND(IF(AQ194="0",BJ194,0),2)</f>
      </c>
      <c r="AI194" s="28" t="s">
        <v>348</v>
      </c>
      <c r="AJ194" s="50">
        <f>IF(AN194=0,K194,0)</f>
      </c>
      <c r="AK194" s="50">
        <f>IF(AN194=12,K194,0)</f>
      </c>
      <c r="AL194" s="50">
        <f>IF(AN194=21,K194,0)</f>
      </c>
      <c r="AN194" s="50" t="n">
        <v>21</v>
      </c>
      <c r="AO194" s="50">
        <f>H194*1</f>
      </c>
      <c r="AP194" s="50">
        <f>H194*(1-1)</f>
      </c>
      <c r="AQ194" s="52" t="s">
        <v>135</v>
      </c>
      <c r="AV194" s="50">
        <f>ROUND(AW194+AX194,2)</f>
      </c>
      <c r="AW194" s="50">
        <f>ROUND(G194*AO194,2)</f>
      </c>
      <c r="AX194" s="50">
        <f>ROUND(G194*AP194,2)</f>
      </c>
      <c r="AY194" s="52" t="s">
        <v>136</v>
      </c>
      <c r="AZ194" s="52" t="s">
        <v>519</v>
      </c>
      <c r="BA194" s="28" t="s">
        <v>356</v>
      </c>
      <c r="BC194" s="50">
        <f>AW194+AX194</f>
      </c>
      <c r="BD194" s="50">
        <f>H194/(100-BE194)*100</f>
      </c>
      <c r="BE194" s="50" t="n">
        <v>0</v>
      </c>
      <c r="BF194" s="50">
        <f>194</f>
      </c>
      <c r="BH194" s="50">
        <f>G194*AO194</f>
      </c>
      <c r="BI194" s="50">
        <f>G194*AP194</f>
      </c>
      <c r="BJ194" s="50">
        <f>G194*H194</f>
      </c>
      <c r="BK194" s="52" t="s">
        <v>130</v>
      </c>
      <c r="BL194" s="50"/>
      <c r="BW194" s="50" t="n">
        <v>21</v>
      </c>
      <c r="BX194" s="14" t="s">
        <v>564</v>
      </c>
    </row>
    <row r="195">
      <c r="A195" s="9" t="s">
        <v>565</v>
      </c>
      <c r="B195" s="10" t="s">
        <v>348</v>
      </c>
      <c r="C195" s="10" t="s">
        <v>566</v>
      </c>
      <c r="D195" s="14" t="s">
        <v>567</v>
      </c>
      <c r="E195" s="10"/>
      <c r="F195" s="10" t="s">
        <v>80</v>
      </c>
      <c r="G195" s="50" t="n">
        <v>2</v>
      </c>
      <c r="H195" s="50" t="n">
        <v>0</v>
      </c>
      <c r="I195" s="50">
        <f>ROUND(G195*AO195,2)</f>
      </c>
      <c r="J195" s="50">
        <f>ROUND(G195*AP195,2)</f>
      </c>
      <c r="K195" s="50">
        <f>ROUND(G195*H195,2)</f>
      </c>
      <c r="L195" s="51" t="s">
        <v>61</v>
      </c>
      <c r="Z195" s="50">
        <f>ROUND(IF(AQ195="5",BJ195,0),2)</f>
      </c>
      <c r="AB195" s="50">
        <f>ROUND(IF(AQ195="1",BH195,0),2)</f>
      </c>
      <c r="AC195" s="50">
        <f>ROUND(IF(AQ195="1",BI195,0),2)</f>
      </c>
      <c r="AD195" s="50">
        <f>ROUND(IF(AQ195="7",BH195,0),2)</f>
      </c>
      <c r="AE195" s="50">
        <f>ROUND(IF(AQ195="7",BI195,0),2)</f>
      </c>
      <c r="AF195" s="50">
        <f>ROUND(IF(AQ195="2",BH195,0),2)</f>
      </c>
      <c r="AG195" s="50">
        <f>ROUND(IF(AQ195="2",BI195,0),2)</f>
      </c>
      <c r="AH195" s="50">
        <f>ROUND(IF(AQ195="0",BJ195,0),2)</f>
      </c>
      <c r="AI195" s="28" t="s">
        <v>348</v>
      </c>
      <c r="AJ195" s="50">
        <f>IF(AN195=0,K195,0)</f>
      </c>
      <c r="AK195" s="50">
        <f>IF(AN195=12,K195,0)</f>
      </c>
      <c r="AL195" s="50">
        <f>IF(AN195=21,K195,0)</f>
      </c>
      <c r="AN195" s="50" t="n">
        <v>21</v>
      </c>
      <c r="AO195" s="50">
        <f>H195*1</f>
      </c>
      <c r="AP195" s="50">
        <f>H195*(1-1)</f>
      </c>
      <c r="AQ195" s="52" t="s">
        <v>135</v>
      </c>
      <c r="AV195" s="50">
        <f>ROUND(AW195+AX195,2)</f>
      </c>
      <c r="AW195" s="50">
        <f>ROUND(G195*AO195,2)</f>
      </c>
      <c r="AX195" s="50">
        <f>ROUND(G195*AP195,2)</f>
      </c>
      <c r="AY195" s="52" t="s">
        <v>136</v>
      </c>
      <c r="AZ195" s="52" t="s">
        <v>519</v>
      </c>
      <c r="BA195" s="28" t="s">
        <v>356</v>
      </c>
      <c r="BC195" s="50">
        <f>AW195+AX195</f>
      </c>
      <c r="BD195" s="50">
        <f>H195/(100-BE195)*100</f>
      </c>
      <c r="BE195" s="50" t="n">
        <v>0</v>
      </c>
      <c r="BF195" s="50">
        <f>195</f>
      </c>
      <c r="BH195" s="50">
        <f>G195*AO195</f>
      </c>
      <c r="BI195" s="50">
        <f>G195*AP195</f>
      </c>
      <c r="BJ195" s="50">
        <f>G195*H195</f>
      </c>
      <c r="BK195" s="52" t="s">
        <v>130</v>
      </c>
      <c r="BL195" s="50"/>
      <c r="BW195" s="50" t="n">
        <v>21</v>
      </c>
      <c r="BX195" s="14" t="s">
        <v>567</v>
      </c>
    </row>
    <row r="196">
      <c r="A196" s="9" t="s">
        <v>568</v>
      </c>
      <c r="B196" s="10" t="s">
        <v>348</v>
      </c>
      <c r="C196" s="10" t="s">
        <v>569</v>
      </c>
      <c r="D196" s="14" t="s">
        <v>570</v>
      </c>
      <c r="E196" s="10"/>
      <c r="F196" s="10" t="s">
        <v>80</v>
      </c>
      <c r="G196" s="50" t="n">
        <v>3</v>
      </c>
      <c r="H196" s="50" t="n">
        <v>0</v>
      </c>
      <c r="I196" s="50">
        <f>ROUND(G196*AO196,2)</f>
      </c>
      <c r="J196" s="50">
        <f>ROUND(G196*AP196,2)</f>
      </c>
      <c r="K196" s="50">
        <f>ROUND(G196*H196,2)</f>
      </c>
      <c r="L196" s="51" t="s">
        <v>61</v>
      </c>
      <c r="Z196" s="50">
        <f>ROUND(IF(AQ196="5",BJ196,0),2)</f>
      </c>
      <c r="AB196" s="50">
        <f>ROUND(IF(AQ196="1",BH196,0),2)</f>
      </c>
      <c r="AC196" s="50">
        <f>ROUND(IF(AQ196="1",BI196,0),2)</f>
      </c>
      <c r="AD196" s="50">
        <f>ROUND(IF(AQ196="7",BH196,0),2)</f>
      </c>
      <c r="AE196" s="50">
        <f>ROUND(IF(AQ196="7",BI196,0),2)</f>
      </c>
      <c r="AF196" s="50">
        <f>ROUND(IF(AQ196="2",BH196,0),2)</f>
      </c>
      <c r="AG196" s="50">
        <f>ROUND(IF(AQ196="2",BI196,0),2)</f>
      </c>
      <c r="AH196" s="50">
        <f>ROUND(IF(AQ196="0",BJ196,0),2)</f>
      </c>
      <c r="AI196" s="28" t="s">
        <v>348</v>
      </c>
      <c r="AJ196" s="50">
        <f>IF(AN196=0,K196,0)</f>
      </c>
      <c r="AK196" s="50">
        <f>IF(AN196=12,K196,0)</f>
      </c>
      <c r="AL196" s="50">
        <f>IF(AN196=21,K196,0)</f>
      </c>
      <c r="AN196" s="50" t="n">
        <v>21</v>
      </c>
      <c r="AO196" s="50">
        <f>H196*1</f>
      </c>
      <c r="AP196" s="50">
        <f>H196*(1-1)</f>
      </c>
      <c r="AQ196" s="52" t="s">
        <v>135</v>
      </c>
      <c r="AV196" s="50">
        <f>ROUND(AW196+AX196,2)</f>
      </c>
      <c r="AW196" s="50">
        <f>ROUND(G196*AO196,2)</f>
      </c>
      <c r="AX196" s="50">
        <f>ROUND(G196*AP196,2)</f>
      </c>
      <c r="AY196" s="52" t="s">
        <v>136</v>
      </c>
      <c r="AZ196" s="52" t="s">
        <v>519</v>
      </c>
      <c r="BA196" s="28" t="s">
        <v>356</v>
      </c>
      <c r="BC196" s="50">
        <f>AW196+AX196</f>
      </c>
      <c r="BD196" s="50">
        <f>H196/(100-BE196)*100</f>
      </c>
      <c r="BE196" s="50" t="n">
        <v>0</v>
      </c>
      <c r="BF196" s="50">
        <f>196</f>
      </c>
      <c r="BH196" s="50">
        <f>G196*AO196</f>
      </c>
      <c r="BI196" s="50">
        <f>G196*AP196</f>
      </c>
      <c r="BJ196" s="50">
        <f>G196*H196</f>
      </c>
      <c r="BK196" s="52" t="s">
        <v>130</v>
      </c>
      <c r="BL196" s="50"/>
      <c r="BW196" s="50" t="n">
        <v>21</v>
      </c>
      <c r="BX196" s="14" t="s">
        <v>570</v>
      </c>
    </row>
    <row r="197">
      <c r="A197" s="9" t="s">
        <v>571</v>
      </c>
      <c r="B197" s="10" t="s">
        <v>348</v>
      </c>
      <c r="C197" s="10" t="s">
        <v>572</v>
      </c>
      <c r="D197" s="14" t="s">
        <v>573</v>
      </c>
      <c r="E197" s="10"/>
      <c r="F197" s="10" t="s">
        <v>80</v>
      </c>
      <c r="G197" s="50" t="n">
        <v>7</v>
      </c>
      <c r="H197" s="50" t="n">
        <v>0</v>
      </c>
      <c r="I197" s="50">
        <f>ROUND(G197*AO197,2)</f>
      </c>
      <c r="J197" s="50">
        <f>ROUND(G197*AP197,2)</f>
      </c>
      <c r="K197" s="50">
        <f>ROUND(G197*H197,2)</f>
      </c>
      <c r="L197" s="51" t="s">
        <v>61</v>
      </c>
      <c r="Z197" s="50">
        <f>ROUND(IF(AQ197="5",BJ197,0),2)</f>
      </c>
      <c r="AB197" s="50">
        <f>ROUND(IF(AQ197="1",BH197,0),2)</f>
      </c>
      <c r="AC197" s="50">
        <f>ROUND(IF(AQ197="1",BI197,0),2)</f>
      </c>
      <c r="AD197" s="50">
        <f>ROUND(IF(AQ197="7",BH197,0),2)</f>
      </c>
      <c r="AE197" s="50">
        <f>ROUND(IF(AQ197="7",BI197,0),2)</f>
      </c>
      <c r="AF197" s="50">
        <f>ROUND(IF(AQ197="2",BH197,0),2)</f>
      </c>
      <c r="AG197" s="50">
        <f>ROUND(IF(AQ197="2",BI197,0),2)</f>
      </c>
      <c r="AH197" s="50">
        <f>ROUND(IF(AQ197="0",BJ197,0),2)</f>
      </c>
      <c r="AI197" s="28" t="s">
        <v>348</v>
      </c>
      <c r="AJ197" s="50">
        <f>IF(AN197=0,K197,0)</f>
      </c>
      <c r="AK197" s="50">
        <f>IF(AN197=12,K197,0)</f>
      </c>
      <c r="AL197" s="50">
        <f>IF(AN197=21,K197,0)</f>
      </c>
      <c r="AN197" s="50" t="n">
        <v>21</v>
      </c>
      <c r="AO197" s="50">
        <f>H197*1</f>
      </c>
      <c r="AP197" s="50">
        <f>H197*(1-1)</f>
      </c>
      <c r="AQ197" s="52" t="s">
        <v>135</v>
      </c>
      <c r="AV197" s="50">
        <f>ROUND(AW197+AX197,2)</f>
      </c>
      <c r="AW197" s="50">
        <f>ROUND(G197*AO197,2)</f>
      </c>
      <c r="AX197" s="50">
        <f>ROUND(G197*AP197,2)</f>
      </c>
      <c r="AY197" s="52" t="s">
        <v>136</v>
      </c>
      <c r="AZ197" s="52" t="s">
        <v>519</v>
      </c>
      <c r="BA197" s="28" t="s">
        <v>356</v>
      </c>
      <c r="BC197" s="50">
        <f>AW197+AX197</f>
      </c>
      <c r="BD197" s="50">
        <f>H197/(100-BE197)*100</f>
      </c>
      <c r="BE197" s="50" t="n">
        <v>0</v>
      </c>
      <c r="BF197" s="50">
        <f>197</f>
      </c>
      <c r="BH197" s="50">
        <f>G197*AO197</f>
      </c>
      <c r="BI197" s="50">
        <f>G197*AP197</f>
      </c>
      <c r="BJ197" s="50">
        <f>G197*H197</f>
      </c>
      <c r="BK197" s="52" t="s">
        <v>130</v>
      </c>
      <c r="BL197" s="50"/>
      <c r="BW197" s="50" t="n">
        <v>21</v>
      </c>
      <c r="BX197" s="14" t="s">
        <v>573</v>
      </c>
    </row>
    <row r="198">
      <c r="A198" s="9" t="s">
        <v>574</v>
      </c>
      <c r="B198" s="10" t="s">
        <v>348</v>
      </c>
      <c r="C198" s="10" t="s">
        <v>575</v>
      </c>
      <c r="D198" s="14" t="s">
        <v>576</v>
      </c>
      <c r="E198" s="10"/>
      <c r="F198" s="10" t="s">
        <v>80</v>
      </c>
      <c r="G198" s="50" t="n">
        <v>2</v>
      </c>
      <c r="H198" s="50" t="n">
        <v>0</v>
      </c>
      <c r="I198" s="50">
        <f>ROUND(G198*AO198,2)</f>
      </c>
      <c r="J198" s="50">
        <f>ROUND(G198*AP198,2)</f>
      </c>
      <c r="K198" s="50">
        <f>ROUND(G198*H198,2)</f>
      </c>
      <c r="L198" s="51" t="s">
        <v>61</v>
      </c>
      <c r="Z198" s="50">
        <f>ROUND(IF(AQ198="5",BJ198,0),2)</f>
      </c>
      <c r="AB198" s="50">
        <f>ROUND(IF(AQ198="1",BH198,0),2)</f>
      </c>
      <c r="AC198" s="50">
        <f>ROUND(IF(AQ198="1",BI198,0),2)</f>
      </c>
      <c r="AD198" s="50">
        <f>ROUND(IF(AQ198="7",BH198,0),2)</f>
      </c>
      <c r="AE198" s="50">
        <f>ROUND(IF(AQ198="7",BI198,0),2)</f>
      </c>
      <c r="AF198" s="50">
        <f>ROUND(IF(AQ198="2",BH198,0),2)</f>
      </c>
      <c r="AG198" s="50">
        <f>ROUND(IF(AQ198="2",BI198,0),2)</f>
      </c>
      <c r="AH198" s="50">
        <f>ROUND(IF(AQ198="0",BJ198,0),2)</f>
      </c>
      <c r="AI198" s="28" t="s">
        <v>348</v>
      </c>
      <c r="AJ198" s="50">
        <f>IF(AN198=0,K198,0)</f>
      </c>
      <c r="AK198" s="50">
        <f>IF(AN198=12,K198,0)</f>
      </c>
      <c r="AL198" s="50">
        <f>IF(AN198=21,K198,0)</f>
      </c>
      <c r="AN198" s="50" t="n">
        <v>21</v>
      </c>
      <c r="AO198" s="50">
        <f>H198*1</f>
      </c>
      <c r="AP198" s="50">
        <f>H198*(1-1)</f>
      </c>
      <c r="AQ198" s="52" t="s">
        <v>135</v>
      </c>
      <c r="AV198" s="50">
        <f>ROUND(AW198+AX198,2)</f>
      </c>
      <c r="AW198" s="50">
        <f>ROUND(G198*AO198,2)</f>
      </c>
      <c r="AX198" s="50">
        <f>ROUND(G198*AP198,2)</f>
      </c>
      <c r="AY198" s="52" t="s">
        <v>136</v>
      </c>
      <c r="AZ198" s="52" t="s">
        <v>519</v>
      </c>
      <c r="BA198" s="28" t="s">
        <v>356</v>
      </c>
      <c r="BC198" s="50">
        <f>AW198+AX198</f>
      </c>
      <c r="BD198" s="50">
        <f>H198/(100-BE198)*100</f>
      </c>
      <c r="BE198" s="50" t="n">
        <v>0</v>
      </c>
      <c r="BF198" s="50">
        <f>198</f>
      </c>
      <c r="BH198" s="50">
        <f>G198*AO198</f>
      </c>
      <c r="BI198" s="50">
        <f>G198*AP198</f>
      </c>
      <c r="BJ198" s="50">
        <f>G198*H198</f>
      </c>
      <c r="BK198" s="52" t="s">
        <v>130</v>
      </c>
      <c r="BL198" s="50"/>
      <c r="BW198" s="50" t="n">
        <v>21</v>
      </c>
      <c r="BX198" s="14" t="s">
        <v>576</v>
      </c>
    </row>
    <row r="199">
      <c r="A199" s="9" t="s">
        <v>577</v>
      </c>
      <c r="B199" s="10" t="s">
        <v>348</v>
      </c>
      <c r="C199" s="10" t="s">
        <v>578</v>
      </c>
      <c r="D199" s="14" t="s">
        <v>579</v>
      </c>
      <c r="E199" s="10"/>
      <c r="F199" s="10" t="s">
        <v>80</v>
      </c>
      <c r="G199" s="50" t="n">
        <v>7</v>
      </c>
      <c r="H199" s="50" t="n">
        <v>0</v>
      </c>
      <c r="I199" s="50">
        <f>ROUND(G199*AO199,2)</f>
      </c>
      <c r="J199" s="50">
        <f>ROUND(G199*AP199,2)</f>
      </c>
      <c r="K199" s="50">
        <f>ROUND(G199*H199,2)</f>
      </c>
      <c r="L199" s="51" t="s">
        <v>61</v>
      </c>
      <c r="Z199" s="50">
        <f>ROUND(IF(AQ199="5",BJ199,0),2)</f>
      </c>
      <c r="AB199" s="50">
        <f>ROUND(IF(AQ199="1",BH199,0),2)</f>
      </c>
      <c r="AC199" s="50">
        <f>ROUND(IF(AQ199="1",BI199,0),2)</f>
      </c>
      <c r="AD199" s="50">
        <f>ROUND(IF(AQ199="7",BH199,0),2)</f>
      </c>
      <c r="AE199" s="50">
        <f>ROUND(IF(AQ199="7",BI199,0),2)</f>
      </c>
      <c r="AF199" s="50">
        <f>ROUND(IF(AQ199="2",BH199,0),2)</f>
      </c>
      <c r="AG199" s="50">
        <f>ROUND(IF(AQ199="2",BI199,0),2)</f>
      </c>
      <c r="AH199" s="50">
        <f>ROUND(IF(AQ199="0",BJ199,0),2)</f>
      </c>
      <c r="AI199" s="28" t="s">
        <v>348</v>
      </c>
      <c r="AJ199" s="50">
        <f>IF(AN199=0,K199,0)</f>
      </c>
      <c r="AK199" s="50">
        <f>IF(AN199=12,K199,0)</f>
      </c>
      <c r="AL199" s="50">
        <f>IF(AN199=21,K199,0)</f>
      </c>
      <c r="AN199" s="50" t="n">
        <v>21</v>
      </c>
      <c r="AO199" s="50">
        <f>H199*1</f>
      </c>
      <c r="AP199" s="50">
        <f>H199*(1-1)</f>
      </c>
      <c r="AQ199" s="52" t="s">
        <v>135</v>
      </c>
      <c r="AV199" s="50">
        <f>ROUND(AW199+AX199,2)</f>
      </c>
      <c r="AW199" s="50">
        <f>ROUND(G199*AO199,2)</f>
      </c>
      <c r="AX199" s="50">
        <f>ROUND(G199*AP199,2)</f>
      </c>
      <c r="AY199" s="52" t="s">
        <v>136</v>
      </c>
      <c r="AZ199" s="52" t="s">
        <v>519</v>
      </c>
      <c r="BA199" s="28" t="s">
        <v>356</v>
      </c>
      <c r="BC199" s="50">
        <f>AW199+AX199</f>
      </c>
      <c r="BD199" s="50">
        <f>H199/(100-BE199)*100</f>
      </c>
      <c r="BE199" s="50" t="n">
        <v>0</v>
      </c>
      <c r="BF199" s="50">
        <f>199</f>
      </c>
      <c r="BH199" s="50">
        <f>G199*AO199</f>
      </c>
      <c r="BI199" s="50">
        <f>G199*AP199</f>
      </c>
      <c r="BJ199" s="50">
        <f>G199*H199</f>
      </c>
      <c r="BK199" s="52" t="s">
        <v>130</v>
      </c>
      <c r="BL199" s="50"/>
      <c r="BW199" s="50" t="n">
        <v>21</v>
      </c>
      <c r="BX199" s="14" t="s">
        <v>579</v>
      </c>
    </row>
    <row r="200">
      <c r="A200" s="9" t="s">
        <v>580</v>
      </c>
      <c r="B200" s="10" t="s">
        <v>348</v>
      </c>
      <c r="C200" s="10" t="s">
        <v>581</v>
      </c>
      <c r="D200" s="14" t="s">
        <v>582</v>
      </c>
      <c r="E200" s="10"/>
      <c r="F200" s="10" t="s">
        <v>80</v>
      </c>
      <c r="G200" s="50" t="n">
        <v>7.07</v>
      </c>
      <c r="H200" s="50" t="n">
        <v>0</v>
      </c>
      <c r="I200" s="50">
        <f>ROUND(G200*AO200,2)</f>
      </c>
      <c r="J200" s="50">
        <f>ROUND(G200*AP200,2)</f>
      </c>
      <c r="K200" s="50">
        <f>ROUND(G200*H200,2)</f>
      </c>
      <c r="L200" s="51" t="s">
        <v>61</v>
      </c>
      <c r="Z200" s="50">
        <f>ROUND(IF(AQ200="5",BJ200,0),2)</f>
      </c>
      <c r="AB200" s="50">
        <f>ROUND(IF(AQ200="1",BH200,0),2)</f>
      </c>
      <c r="AC200" s="50">
        <f>ROUND(IF(AQ200="1",BI200,0),2)</f>
      </c>
      <c r="AD200" s="50">
        <f>ROUND(IF(AQ200="7",BH200,0),2)</f>
      </c>
      <c r="AE200" s="50">
        <f>ROUND(IF(AQ200="7",BI200,0),2)</f>
      </c>
      <c r="AF200" s="50">
        <f>ROUND(IF(AQ200="2",BH200,0),2)</f>
      </c>
      <c r="AG200" s="50">
        <f>ROUND(IF(AQ200="2",BI200,0),2)</f>
      </c>
      <c r="AH200" s="50">
        <f>ROUND(IF(AQ200="0",BJ200,0),2)</f>
      </c>
      <c r="AI200" s="28" t="s">
        <v>348</v>
      </c>
      <c r="AJ200" s="50">
        <f>IF(AN200=0,K200,0)</f>
      </c>
      <c r="AK200" s="50">
        <f>IF(AN200=12,K200,0)</f>
      </c>
      <c r="AL200" s="50">
        <f>IF(AN200=21,K200,0)</f>
      </c>
      <c r="AN200" s="50" t="n">
        <v>21</v>
      </c>
      <c r="AO200" s="50">
        <f>H200*1</f>
      </c>
      <c r="AP200" s="50">
        <f>H200*(1-1)</f>
      </c>
      <c r="AQ200" s="52" t="s">
        <v>135</v>
      </c>
      <c r="AV200" s="50">
        <f>ROUND(AW200+AX200,2)</f>
      </c>
      <c r="AW200" s="50">
        <f>ROUND(G200*AO200,2)</f>
      </c>
      <c r="AX200" s="50">
        <f>ROUND(G200*AP200,2)</f>
      </c>
      <c r="AY200" s="52" t="s">
        <v>136</v>
      </c>
      <c r="AZ200" s="52" t="s">
        <v>519</v>
      </c>
      <c r="BA200" s="28" t="s">
        <v>356</v>
      </c>
      <c r="BC200" s="50">
        <f>AW200+AX200</f>
      </c>
      <c r="BD200" s="50">
        <f>H200/(100-BE200)*100</f>
      </c>
      <c r="BE200" s="50" t="n">
        <v>0</v>
      </c>
      <c r="BF200" s="50">
        <f>200</f>
      </c>
      <c r="BH200" s="50">
        <f>G200*AO200</f>
      </c>
      <c r="BI200" s="50">
        <f>G200*AP200</f>
      </c>
      <c r="BJ200" s="50">
        <f>G200*H200</f>
      </c>
      <c r="BK200" s="52" t="s">
        <v>130</v>
      </c>
      <c r="BL200" s="50"/>
      <c r="BW200" s="50" t="n">
        <v>21</v>
      </c>
      <c r="BX200" s="14" t="s">
        <v>582</v>
      </c>
    </row>
    <row r="201">
      <c r="A201" s="9" t="s">
        <v>583</v>
      </c>
      <c r="B201" s="10" t="s">
        <v>348</v>
      </c>
      <c r="C201" s="10" t="s">
        <v>584</v>
      </c>
      <c r="D201" s="14" t="s">
        <v>585</v>
      </c>
      <c r="E201" s="10"/>
      <c r="F201" s="10" t="s">
        <v>80</v>
      </c>
      <c r="G201" s="50" t="n">
        <v>7.07</v>
      </c>
      <c r="H201" s="50" t="n">
        <v>0</v>
      </c>
      <c r="I201" s="50">
        <f>ROUND(G201*AO201,2)</f>
      </c>
      <c r="J201" s="50">
        <f>ROUND(G201*AP201,2)</f>
      </c>
      <c r="K201" s="50">
        <f>ROUND(G201*H201,2)</f>
      </c>
      <c r="L201" s="51" t="s">
        <v>61</v>
      </c>
      <c r="Z201" s="50">
        <f>ROUND(IF(AQ201="5",BJ201,0),2)</f>
      </c>
      <c r="AB201" s="50">
        <f>ROUND(IF(AQ201="1",BH201,0),2)</f>
      </c>
      <c r="AC201" s="50">
        <f>ROUND(IF(AQ201="1",BI201,0),2)</f>
      </c>
      <c r="AD201" s="50">
        <f>ROUND(IF(AQ201="7",BH201,0),2)</f>
      </c>
      <c r="AE201" s="50">
        <f>ROUND(IF(AQ201="7",BI201,0),2)</f>
      </c>
      <c r="AF201" s="50">
        <f>ROUND(IF(AQ201="2",BH201,0),2)</f>
      </c>
      <c r="AG201" s="50">
        <f>ROUND(IF(AQ201="2",BI201,0),2)</f>
      </c>
      <c r="AH201" s="50">
        <f>ROUND(IF(AQ201="0",BJ201,0),2)</f>
      </c>
      <c r="AI201" s="28" t="s">
        <v>348</v>
      </c>
      <c r="AJ201" s="50">
        <f>IF(AN201=0,K201,0)</f>
      </c>
      <c r="AK201" s="50">
        <f>IF(AN201=12,K201,0)</f>
      </c>
      <c r="AL201" s="50">
        <f>IF(AN201=21,K201,0)</f>
      </c>
      <c r="AN201" s="50" t="n">
        <v>21</v>
      </c>
      <c r="AO201" s="50">
        <f>H201*1</f>
      </c>
      <c r="AP201" s="50">
        <f>H201*(1-1)</f>
      </c>
      <c r="AQ201" s="52" t="s">
        <v>135</v>
      </c>
      <c r="AV201" s="50">
        <f>ROUND(AW201+AX201,2)</f>
      </c>
      <c r="AW201" s="50">
        <f>ROUND(G201*AO201,2)</f>
      </c>
      <c r="AX201" s="50">
        <f>ROUND(G201*AP201,2)</f>
      </c>
      <c r="AY201" s="52" t="s">
        <v>136</v>
      </c>
      <c r="AZ201" s="52" t="s">
        <v>519</v>
      </c>
      <c r="BA201" s="28" t="s">
        <v>356</v>
      </c>
      <c r="BC201" s="50">
        <f>AW201+AX201</f>
      </c>
      <c r="BD201" s="50">
        <f>H201/(100-BE201)*100</f>
      </c>
      <c r="BE201" s="50" t="n">
        <v>0</v>
      </c>
      <c r="BF201" s="50">
        <f>201</f>
      </c>
      <c r="BH201" s="50">
        <f>G201*AO201</f>
      </c>
      <c r="BI201" s="50">
        <f>G201*AP201</f>
      </c>
      <c r="BJ201" s="50">
        <f>G201*H201</f>
      </c>
      <c r="BK201" s="52" t="s">
        <v>130</v>
      </c>
      <c r="BL201" s="50"/>
      <c r="BW201" s="50" t="n">
        <v>21</v>
      </c>
      <c r="BX201" s="14" t="s">
        <v>585</v>
      </c>
    </row>
    <row r="202">
      <c r="A202" s="9" t="s">
        <v>586</v>
      </c>
      <c r="B202" s="10" t="s">
        <v>348</v>
      </c>
      <c r="C202" s="10" t="s">
        <v>587</v>
      </c>
      <c r="D202" s="14" t="s">
        <v>588</v>
      </c>
      <c r="E202" s="10"/>
      <c r="F202" s="10" t="s">
        <v>80</v>
      </c>
      <c r="G202" s="50" t="n">
        <v>6.06</v>
      </c>
      <c r="H202" s="50" t="n">
        <v>0</v>
      </c>
      <c r="I202" s="50">
        <f>ROUND(G202*AO202,2)</f>
      </c>
      <c r="J202" s="50">
        <f>ROUND(G202*AP202,2)</f>
      </c>
      <c r="K202" s="50">
        <f>ROUND(G202*H202,2)</f>
      </c>
      <c r="L202" s="51" t="s">
        <v>61</v>
      </c>
      <c r="Z202" s="50">
        <f>ROUND(IF(AQ202="5",BJ202,0),2)</f>
      </c>
      <c r="AB202" s="50">
        <f>ROUND(IF(AQ202="1",BH202,0),2)</f>
      </c>
      <c r="AC202" s="50">
        <f>ROUND(IF(AQ202="1",BI202,0),2)</f>
      </c>
      <c r="AD202" s="50">
        <f>ROUND(IF(AQ202="7",BH202,0),2)</f>
      </c>
      <c r="AE202" s="50">
        <f>ROUND(IF(AQ202="7",BI202,0),2)</f>
      </c>
      <c r="AF202" s="50">
        <f>ROUND(IF(AQ202="2",BH202,0),2)</f>
      </c>
      <c r="AG202" s="50">
        <f>ROUND(IF(AQ202="2",BI202,0),2)</f>
      </c>
      <c r="AH202" s="50">
        <f>ROUND(IF(AQ202="0",BJ202,0),2)</f>
      </c>
      <c r="AI202" s="28" t="s">
        <v>348</v>
      </c>
      <c r="AJ202" s="50">
        <f>IF(AN202=0,K202,0)</f>
      </c>
      <c r="AK202" s="50">
        <f>IF(AN202=12,K202,0)</f>
      </c>
      <c r="AL202" s="50">
        <f>IF(AN202=21,K202,0)</f>
      </c>
      <c r="AN202" s="50" t="n">
        <v>21</v>
      </c>
      <c r="AO202" s="50">
        <f>H202*1</f>
      </c>
      <c r="AP202" s="50">
        <f>H202*(1-1)</f>
      </c>
      <c r="AQ202" s="52" t="s">
        <v>135</v>
      </c>
      <c r="AV202" s="50">
        <f>ROUND(AW202+AX202,2)</f>
      </c>
      <c r="AW202" s="50">
        <f>ROUND(G202*AO202,2)</f>
      </c>
      <c r="AX202" s="50">
        <f>ROUND(G202*AP202,2)</f>
      </c>
      <c r="AY202" s="52" t="s">
        <v>136</v>
      </c>
      <c r="AZ202" s="52" t="s">
        <v>519</v>
      </c>
      <c r="BA202" s="28" t="s">
        <v>356</v>
      </c>
      <c r="BC202" s="50">
        <f>AW202+AX202</f>
      </c>
      <c r="BD202" s="50">
        <f>H202/(100-BE202)*100</f>
      </c>
      <c r="BE202" s="50" t="n">
        <v>0</v>
      </c>
      <c r="BF202" s="50">
        <f>202</f>
      </c>
      <c r="BH202" s="50">
        <f>G202*AO202</f>
      </c>
      <c r="BI202" s="50">
        <f>G202*AP202</f>
      </c>
      <c r="BJ202" s="50">
        <f>G202*H202</f>
      </c>
      <c r="BK202" s="52" t="s">
        <v>130</v>
      </c>
      <c r="BL202" s="50"/>
      <c r="BW202" s="50" t="n">
        <v>21</v>
      </c>
      <c r="BX202" s="14" t="s">
        <v>588</v>
      </c>
    </row>
    <row r="203">
      <c r="A203" s="9" t="s">
        <v>589</v>
      </c>
      <c r="B203" s="10" t="s">
        <v>348</v>
      </c>
      <c r="C203" s="10" t="s">
        <v>590</v>
      </c>
      <c r="D203" s="14" t="s">
        <v>591</v>
      </c>
      <c r="E203" s="10"/>
      <c r="F203" s="10" t="s">
        <v>80</v>
      </c>
      <c r="G203" s="50" t="n">
        <v>2.02</v>
      </c>
      <c r="H203" s="50" t="n">
        <v>0</v>
      </c>
      <c r="I203" s="50">
        <f>ROUND(G203*AO203,2)</f>
      </c>
      <c r="J203" s="50">
        <f>ROUND(G203*AP203,2)</f>
      </c>
      <c r="K203" s="50">
        <f>ROUND(G203*H203,2)</f>
      </c>
      <c r="L203" s="51" t="s">
        <v>61</v>
      </c>
      <c r="Z203" s="50">
        <f>ROUND(IF(AQ203="5",BJ203,0),2)</f>
      </c>
      <c r="AB203" s="50">
        <f>ROUND(IF(AQ203="1",BH203,0),2)</f>
      </c>
      <c r="AC203" s="50">
        <f>ROUND(IF(AQ203="1",BI203,0),2)</f>
      </c>
      <c r="AD203" s="50">
        <f>ROUND(IF(AQ203="7",BH203,0),2)</f>
      </c>
      <c r="AE203" s="50">
        <f>ROUND(IF(AQ203="7",BI203,0),2)</f>
      </c>
      <c r="AF203" s="50">
        <f>ROUND(IF(AQ203="2",BH203,0),2)</f>
      </c>
      <c r="AG203" s="50">
        <f>ROUND(IF(AQ203="2",BI203,0),2)</f>
      </c>
      <c r="AH203" s="50">
        <f>ROUND(IF(AQ203="0",BJ203,0),2)</f>
      </c>
      <c r="AI203" s="28" t="s">
        <v>348</v>
      </c>
      <c r="AJ203" s="50">
        <f>IF(AN203=0,K203,0)</f>
      </c>
      <c r="AK203" s="50">
        <f>IF(AN203=12,K203,0)</f>
      </c>
      <c r="AL203" s="50">
        <f>IF(AN203=21,K203,0)</f>
      </c>
      <c r="AN203" s="50" t="n">
        <v>21</v>
      </c>
      <c r="AO203" s="50">
        <f>H203*1</f>
      </c>
      <c r="AP203" s="50">
        <f>H203*(1-1)</f>
      </c>
      <c r="AQ203" s="52" t="s">
        <v>135</v>
      </c>
      <c r="AV203" s="50">
        <f>ROUND(AW203+AX203,2)</f>
      </c>
      <c r="AW203" s="50">
        <f>ROUND(G203*AO203,2)</f>
      </c>
      <c r="AX203" s="50">
        <f>ROUND(G203*AP203,2)</f>
      </c>
      <c r="AY203" s="52" t="s">
        <v>136</v>
      </c>
      <c r="AZ203" s="52" t="s">
        <v>519</v>
      </c>
      <c r="BA203" s="28" t="s">
        <v>356</v>
      </c>
      <c r="BC203" s="50">
        <f>AW203+AX203</f>
      </c>
      <c r="BD203" s="50">
        <f>H203/(100-BE203)*100</f>
      </c>
      <c r="BE203" s="50" t="n">
        <v>0</v>
      </c>
      <c r="BF203" s="50">
        <f>203</f>
      </c>
      <c r="BH203" s="50">
        <f>G203*AO203</f>
      </c>
      <c r="BI203" s="50">
        <f>G203*AP203</f>
      </c>
      <c r="BJ203" s="50">
        <f>G203*H203</f>
      </c>
      <c r="BK203" s="52" t="s">
        <v>130</v>
      </c>
      <c r="BL203" s="50"/>
      <c r="BW203" s="50" t="n">
        <v>21</v>
      </c>
      <c r="BX203" s="14" t="s">
        <v>591</v>
      </c>
    </row>
    <row r="204">
      <c r="A204" s="9" t="s">
        <v>592</v>
      </c>
      <c r="B204" s="10" t="s">
        <v>348</v>
      </c>
      <c r="C204" s="10" t="s">
        <v>593</v>
      </c>
      <c r="D204" s="14" t="s">
        <v>594</v>
      </c>
      <c r="E204" s="10"/>
      <c r="F204" s="10" t="s">
        <v>80</v>
      </c>
      <c r="G204" s="50" t="n">
        <v>7.07</v>
      </c>
      <c r="H204" s="50" t="n">
        <v>0</v>
      </c>
      <c r="I204" s="50">
        <f>ROUND(G204*AO204,2)</f>
      </c>
      <c r="J204" s="50">
        <f>ROUND(G204*AP204,2)</f>
      </c>
      <c r="K204" s="50">
        <f>ROUND(G204*H204,2)</f>
      </c>
      <c r="L204" s="51" t="s">
        <v>61</v>
      </c>
      <c r="Z204" s="50">
        <f>ROUND(IF(AQ204="5",BJ204,0),2)</f>
      </c>
      <c r="AB204" s="50">
        <f>ROUND(IF(AQ204="1",BH204,0),2)</f>
      </c>
      <c r="AC204" s="50">
        <f>ROUND(IF(AQ204="1",BI204,0),2)</f>
      </c>
      <c r="AD204" s="50">
        <f>ROUND(IF(AQ204="7",BH204,0),2)</f>
      </c>
      <c r="AE204" s="50">
        <f>ROUND(IF(AQ204="7",BI204,0),2)</f>
      </c>
      <c r="AF204" s="50">
        <f>ROUND(IF(AQ204="2",BH204,0),2)</f>
      </c>
      <c r="AG204" s="50">
        <f>ROUND(IF(AQ204="2",BI204,0),2)</f>
      </c>
      <c r="AH204" s="50">
        <f>ROUND(IF(AQ204="0",BJ204,0),2)</f>
      </c>
      <c r="AI204" s="28" t="s">
        <v>348</v>
      </c>
      <c r="AJ204" s="50">
        <f>IF(AN204=0,K204,0)</f>
      </c>
      <c r="AK204" s="50">
        <f>IF(AN204=12,K204,0)</f>
      </c>
      <c r="AL204" s="50">
        <f>IF(AN204=21,K204,0)</f>
      </c>
      <c r="AN204" s="50" t="n">
        <v>21</v>
      </c>
      <c r="AO204" s="50">
        <f>H204*1</f>
      </c>
      <c r="AP204" s="50">
        <f>H204*(1-1)</f>
      </c>
      <c r="AQ204" s="52" t="s">
        <v>135</v>
      </c>
      <c r="AV204" s="50">
        <f>ROUND(AW204+AX204,2)</f>
      </c>
      <c r="AW204" s="50">
        <f>ROUND(G204*AO204,2)</f>
      </c>
      <c r="AX204" s="50">
        <f>ROUND(G204*AP204,2)</f>
      </c>
      <c r="AY204" s="52" t="s">
        <v>136</v>
      </c>
      <c r="AZ204" s="52" t="s">
        <v>519</v>
      </c>
      <c r="BA204" s="28" t="s">
        <v>356</v>
      </c>
      <c r="BC204" s="50">
        <f>AW204+AX204</f>
      </c>
      <c r="BD204" s="50">
        <f>H204/(100-BE204)*100</f>
      </c>
      <c r="BE204" s="50" t="n">
        <v>0</v>
      </c>
      <c r="BF204" s="50">
        <f>204</f>
      </c>
      <c r="BH204" s="50">
        <f>G204*AO204</f>
      </c>
      <c r="BI204" s="50">
        <f>G204*AP204</f>
      </c>
      <c r="BJ204" s="50">
        <f>G204*H204</f>
      </c>
      <c r="BK204" s="52" t="s">
        <v>130</v>
      </c>
      <c r="BL204" s="50"/>
      <c r="BW204" s="50" t="n">
        <v>21</v>
      </c>
      <c r="BX204" s="14" t="s">
        <v>594</v>
      </c>
    </row>
    <row r="205">
      <c r="A205" s="9" t="s">
        <v>595</v>
      </c>
      <c r="B205" s="10" t="s">
        <v>348</v>
      </c>
      <c r="C205" s="10" t="s">
        <v>596</v>
      </c>
      <c r="D205" s="14" t="s">
        <v>597</v>
      </c>
      <c r="E205" s="10"/>
      <c r="F205" s="10" t="s">
        <v>80</v>
      </c>
      <c r="G205" s="50" t="n">
        <v>7.07</v>
      </c>
      <c r="H205" s="50" t="n">
        <v>0</v>
      </c>
      <c r="I205" s="50">
        <f>ROUND(G205*AO205,2)</f>
      </c>
      <c r="J205" s="50">
        <f>ROUND(G205*AP205,2)</f>
      </c>
      <c r="K205" s="50">
        <f>ROUND(G205*H205,2)</f>
      </c>
      <c r="L205" s="51" t="s">
        <v>61</v>
      </c>
      <c r="Z205" s="50">
        <f>ROUND(IF(AQ205="5",BJ205,0),2)</f>
      </c>
      <c r="AB205" s="50">
        <f>ROUND(IF(AQ205="1",BH205,0),2)</f>
      </c>
      <c r="AC205" s="50">
        <f>ROUND(IF(AQ205="1",BI205,0),2)</f>
      </c>
      <c r="AD205" s="50">
        <f>ROUND(IF(AQ205="7",BH205,0),2)</f>
      </c>
      <c r="AE205" s="50">
        <f>ROUND(IF(AQ205="7",BI205,0),2)</f>
      </c>
      <c r="AF205" s="50">
        <f>ROUND(IF(AQ205="2",BH205,0),2)</f>
      </c>
      <c r="AG205" s="50">
        <f>ROUND(IF(AQ205="2",BI205,0),2)</f>
      </c>
      <c r="AH205" s="50">
        <f>ROUND(IF(AQ205="0",BJ205,0),2)</f>
      </c>
      <c r="AI205" s="28" t="s">
        <v>348</v>
      </c>
      <c r="AJ205" s="50">
        <f>IF(AN205=0,K205,0)</f>
      </c>
      <c r="AK205" s="50">
        <f>IF(AN205=12,K205,0)</f>
      </c>
      <c r="AL205" s="50">
        <f>IF(AN205=21,K205,0)</f>
      </c>
      <c r="AN205" s="50" t="n">
        <v>21</v>
      </c>
      <c r="AO205" s="50">
        <f>H205*1</f>
      </c>
      <c r="AP205" s="50">
        <f>H205*(1-1)</f>
      </c>
      <c r="AQ205" s="52" t="s">
        <v>135</v>
      </c>
      <c r="AV205" s="50">
        <f>ROUND(AW205+AX205,2)</f>
      </c>
      <c r="AW205" s="50">
        <f>ROUND(G205*AO205,2)</f>
      </c>
      <c r="AX205" s="50">
        <f>ROUND(G205*AP205,2)</f>
      </c>
      <c r="AY205" s="52" t="s">
        <v>136</v>
      </c>
      <c r="AZ205" s="52" t="s">
        <v>519</v>
      </c>
      <c r="BA205" s="28" t="s">
        <v>356</v>
      </c>
      <c r="BC205" s="50">
        <f>AW205+AX205</f>
      </c>
      <c r="BD205" s="50">
        <f>H205/(100-BE205)*100</f>
      </c>
      <c r="BE205" s="50" t="n">
        <v>0</v>
      </c>
      <c r="BF205" s="50">
        <f>205</f>
      </c>
      <c r="BH205" s="50">
        <f>G205*AO205</f>
      </c>
      <c r="BI205" s="50">
        <f>G205*AP205</f>
      </c>
      <c r="BJ205" s="50">
        <f>G205*H205</f>
      </c>
      <c r="BK205" s="52" t="s">
        <v>130</v>
      </c>
      <c r="BL205" s="50"/>
      <c r="BW205" s="50" t="n">
        <v>21</v>
      </c>
      <c r="BX205" s="14" t="s">
        <v>597</v>
      </c>
    </row>
    <row r="206">
      <c r="A206" s="58" t="s">
        <v>598</v>
      </c>
      <c r="B206" s="59" t="s">
        <v>348</v>
      </c>
      <c r="C206" s="59" t="s">
        <v>599</v>
      </c>
      <c r="D206" s="60" t="s">
        <v>600</v>
      </c>
      <c r="E206" s="59"/>
      <c r="F206" s="59" t="s">
        <v>80</v>
      </c>
      <c r="G206" s="61" t="n">
        <v>8</v>
      </c>
      <c r="H206" s="61" t="n">
        <v>0</v>
      </c>
      <c r="I206" s="61">
        <f>ROUND(G206*AO206,2)</f>
      </c>
      <c r="J206" s="61">
        <f>ROUND(G206*AP206,2)</f>
      </c>
      <c r="K206" s="61">
        <f>ROUND(G206*H206,2)</f>
      </c>
      <c r="L206" s="62" t="s">
        <v>61</v>
      </c>
      <c r="Z206" s="50">
        <f>ROUND(IF(AQ206="5",BJ206,0),2)</f>
      </c>
      <c r="AB206" s="50">
        <f>ROUND(IF(AQ206="1",BH206,0),2)</f>
      </c>
      <c r="AC206" s="50">
        <f>ROUND(IF(AQ206="1",BI206,0),2)</f>
      </c>
      <c r="AD206" s="50">
        <f>ROUND(IF(AQ206="7",BH206,0),2)</f>
      </c>
      <c r="AE206" s="50">
        <f>ROUND(IF(AQ206="7",BI206,0),2)</f>
      </c>
      <c r="AF206" s="50">
        <f>ROUND(IF(AQ206="2",BH206,0),2)</f>
      </c>
      <c r="AG206" s="50">
        <f>ROUND(IF(AQ206="2",BI206,0),2)</f>
      </c>
      <c r="AH206" s="50">
        <f>ROUND(IF(AQ206="0",BJ206,0),2)</f>
      </c>
      <c r="AI206" s="28" t="s">
        <v>348</v>
      </c>
      <c r="AJ206" s="50">
        <f>IF(AN206=0,K206,0)</f>
      </c>
      <c r="AK206" s="50">
        <f>IF(AN206=12,K206,0)</f>
      </c>
      <c r="AL206" s="50">
        <f>IF(AN206=21,K206,0)</f>
      </c>
      <c r="AN206" s="50" t="n">
        <v>21</v>
      </c>
      <c r="AO206" s="50">
        <f>H206*1</f>
      </c>
      <c r="AP206" s="50">
        <f>H206*(1-1)</f>
      </c>
      <c r="AQ206" s="52" t="s">
        <v>135</v>
      </c>
      <c r="AV206" s="50">
        <f>ROUND(AW206+AX206,2)</f>
      </c>
      <c r="AW206" s="50">
        <f>ROUND(G206*AO206,2)</f>
      </c>
      <c r="AX206" s="50">
        <f>ROUND(G206*AP206,2)</f>
      </c>
      <c r="AY206" s="52" t="s">
        <v>136</v>
      </c>
      <c r="AZ206" s="52" t="s">
        <v>519</v>
      </c>
      <c r="BA206" s="28" t="s">
        <v>356</v>
      </c>
      <c r="BC206" s="50">
        <f>AW206+AX206</f>
      </c>
      <c r="BD206" s="50">
        <f>H206/(100-BE206)*100</f>
      </c>
      <c r="BE206" s="50" t="n">
        <v>0</v>
      </c>
      <c r="BF206" s="50">
        <f>206</f>
      </c>
      <c r="BH206" s="50">
        <f>G206*AO206</f>
      </c>
      <c r="BI206" s="50">
        <f>G206*AP206</f>
      </c>
      <c r="BJ206" s="50">
        <f>G206*H206</f>
      </c>
      <c r="BK206" s="52" t="s">
        <v>130</v>
      </c>
      <c r="BL206" s="50"/>
      <c r="BW206" s="50" t="n">
        <v>21</v>
      </c>
      <c r="BX206" s="14" t="s">
        <v>600</v>
      </c>
    </row>
    <row r="207">
      <c r="I207" s="63" t="s">
        <v>601</v>
      </c>
      <c r="J207" s="63"/>
      <c r="K207" s="64">
        <f>ROUND(K13+K15+K17+K21+K24+K30+K35+K45+K47+K49+K52+K59+K61+K63+K65+K68+K73+K78+K87+K89+K91+K93+K95+K99+K105+K112+K114+K117+K122+K127+K133+K137+K139+K142+K145+K147+K152+K154+K156+K161+K176+K178,2)</f>
      </c>
    </row>
    <row r="208">
      <c r="A208" s="65" t="s">
        <v>191</v>
      </c>
    </row>
    <row r="209" customHeight="true" ht="12.75">
      <c r="A209" s="14" t="s">
        <v>52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</sheetData>
  <mergeCells>
    <mergeCell ref="A1:L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8:E9"/>
    <mergeCell ref="H2:H3"/>
    <mergeCell ref="H4:H5"/>
    <mergeCell ref="H6:H7"/>
    <mergeCell ref="H8:H9"/>
    <mergeCell ref="J2:L3"/>
    <mergeCell ref="J4:L5"/>
    <mergeCell ref="J6:L7"/>
    <mergeCell ref="J8:L9"/>
    <mergeCell ref="D10:E10"/>
    <mergeCell ref="D11:E11"/>
    <mergeCell ref="I10:K10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L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L102"/>
    <mergeCell ref="D103:E103"/>
    <mergeCell ref="D104:E104"/>
    <mergeCell ref="D105:E105"/>
    <mergeCell ref="D106:E106"/>
    <mergeCell ref="D107:E107"/>
    <mergeCell ref="D108:E108"/>
    <mergeCell ref="D109:E109"/>
    <mergeCell ref="D110:L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I207:J207"/>
    <mergeCell ref="A209:L209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7"/>
  <sheetViews>
    <sheetView workbookViewId="0" showZeros="true" showFormulas="false" showGridLines="true" showRowColHeaders="true">
      <selection sqref="A37:I37" activeCell="A37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7.140625" customWidth="true"/>
    <col max="4" min="4" style="0" width="10" customWidth="true"/>
    <col max="5" min="5" style="0" width="14" customWidth="true"/>
    <col max="6" min="6" style="0" width="27.140625" customWidth="true"/>
    <col max="7" min="7" style="0" width="9.140625" customWidth="true"/>
    <col max="8" min="8" style="0" width="12.85546875" customWidth="true"/>
    <col max="9" min="9" style="0" width="27.140625" customWidth="true"/>
  </cols>
  <sheetData>
    <row r="1" customHeight="true" ht="54.75">
      <c r="A1" s="66" t="s">
        <v>602</v>
      </c>
      <c r="B1" s="1"/>
      <c r="C1" s="1"/>
      <c r="D1" s="1"/>
      <c r="E1" s="1"/>
      <c r="F1" s="1"/>
      <c r="G1" s="1"/>
      <c r="H1" s="1"/>
      <c r="I1" s="1"/>
    </row>
    <row r="2">
      <c r="A2" s="3" t="s">
        <v>1</v>
      </c>
      <c r="B2" s="4"/>
      <c r="C2" s="5">
        <f>'Stavební rozpočet'!D2</f>
      </c>
      <c r="D2" s="6"/>
      <c r="E2" s="7" t="s">
        <v>5</v>
      </c>
      <c r="F2" s="7">
        <f>'Stavební rozpočet'!J2</f>
      </c>
      <c r="G2" s="4"/>
      <c r="H2" s="7" t="s">
        <v>603</v>
      </c>
      <c r="I2" s="8" t="s">
        <v>52</v>
      </c>
    </row>
    <row r="3" customHeight="true" ht="15">
      <c r="A3" s="9"/>
      <c r="B3" s="10"/>
      <c r="C3" s="11"/>
      <c r="D3" s="11"/>
      <c r="E3" s="10"/>
      <c r="F3" s="10"/>
      <c r="G3" s="10"/>
      <c r="H3" s="10"/>
      <c r="I3" s="12"/>
    </row>
    <row r="4">
      <c r="A4" s="13" t="s">
        <v>7</v>
      </c>
      <c r="B4" s="10"/>
      <c r="C4" s="14">
        <f>'Stavební rozpočet'!D4</f>
      </c>
      <c r="D4" s="10"/>
      <c r="E4" s="14" t="s">
        <v>11</v>
      </c>
      <c r="F4" s="14">
        <f>'Stavební rozpočet'!J4</f>
      </c>
      <c r="G4" s="10"/>
      <c r="H4" s="14" t="s">
        <v>603</v>
      </c>
      <c r="I4" s="12" t="s">
        <v>52</v>
      </c>
    </row>
    <row r="5" customHeight="true" ht="15">
      <c r="A5" s="9"/>
      <c r="B5" s="10"/>
      <c r="C5" s="10"/>
      <c r="D5" s="10"/>
      <c r="E5" s="10"/>
      <c r="F5" s="10"/>
      <c r="G5" s="10"/>
      <c r="H5" s="10"/>
      <c r="I5" s="12"/>
    </row>
    <row r="6">
      <c r="A6" s="13" t="s">
        <v>12</v>
      </c>
      <c r="B6" s="10"/>
      <c r="C6" s="14">
        <f>'Stavební rozpočet'!D6</f>
      </c>
      <c r="D6" s="10"/>
      <c r="E6" s="14" t="s">
        <v>16</v>
      </c>
      <c r="F6" s="14">
        <f>'Stavební rozpočet'!J6</f>
      </c>
      <c r="G6" s="10"/>
      <c r="H6" s="14" t="s">
        <v>603</v>
      </c>
      <c r="I6" s="12" t="s">
        <v>52</v>
      </c>
    </row>
    <row r="7" customHeight="true" ht="15">
      <c r="A7" s="9"/>
      <c r="B7" s="10"/>
      <c r="C7" s="10"/>
      <c r="D7" s="10"/>
      <c r="E7" s="10"/>
      <c r="F7" s="10"/>
      <c r="G7" s="10"/>
      <c r="H7" s="10"/>
      <c r="I7" s="12"/>
    </row>
    <row r="8">
      <c r="A8" s="13" t="s">
        <v>9</v>
      </c>
      <c r="B8" s="10"/>
      <c r="C8" s="14">
        <f>'Stavební rozpočet'!H4</f>
      </c>
      <c r="D8" s="10"/>
      <c r="E8" s="14" t="s">
        <v>14</v>
      </c>
      <c r="F8" s="14">
        <f>'Stavební rozpočet'!H6</f>
      </c>
      <c r="G8" s="10"/>
      <c r="H8" s="10" t="s">
        <v>604</v>
      </c>
      <c r="I8" s="67" t="n">
        <v>145</v>
      </c>
    </row>
    <row r="9">
      <c r="A9" s="9"/>
      <c r="B9" s="10"/>
      <c r="C9" s="10"/>
      <c r="D9" s="10"/>
      <c r="E9" s="10"/>
      <c r="F9" s="10"/>
      <c r="G9" s="10"/>
      <c r="H9" s="10"/>
      <c r="I9" s="12"/>
    </row>
    <row r="10">
      <c r="A10" s="13" t="s">
        <v>17</v>
      </c>
      <c r="B10" s="10"/>
      <c r="C10" s="14">
        <f>'Stavební rozpočet'!D8</f>
      </c>
      <c r="D10" s="10"/>
      <c r="E10" s="14" t="s">
        <v>20</v>
      </c>
      <c r="F10" s="14">
        <f>'Stavební rozpočet'!J8</f>
      </c>
      <c r="G10" s="10"/>
      <c r="H10" s="10" t="s">
        <v>605</v>
      </c>
      <c r="I10" s="68">
        <f>'Stavební rozpočet'!H8</f>
      </c>
    </row>
    <row r="11">
      <c r="A11" s="58"/>
      <c r="B11" s="59"/>
      <c r="C11" s="59"/>
      <c r="D11" s="59"/>
      <c r="E11" s="59"/>
      <c r="F11" s="59"/>
      <c r="G11" s="59"/>
      <c r="H11" s="59"/>
      <c r="I11" s="69"/>
    </row>
    <row r="12">
      <c r="A12" s="70" t="s">
        <v>606</v>
      </c>
      <c r="B12" s="70"/>
      <c r="C12" s="70"/>
      <c r="D12" s="70"/>
      <c r="E12" s="70"/>
      <c r="F12" s="70"/>
      <c r="G12" s="70"/>
      <c r="H12" s="70"/>
      <c r="I12" s="70"/>
    </row>
    <row r="13" customHeight="true" ht="26.25">
      <c r="A13" s="71" t="s">
        <v>607</v>
      </c>
      <c r="B13" s="72" t="s">
        <v>608</v>
      </c>
      <c r="C13" s="73"/>
      <c r="D13" s="74" t="s">
        <v>609</v>
      </c>
      <c r="E13" s="72" t="s">
        <v>610</v>
      </c>
      <c r="F13" s="73"/>
      <c r="G13" s="74" t="s">
        <v>611</v>
      </c>
      <c r="H13" s="72" t="s">
        <v>612</v>
      </c>
      <c r="I13" s="73"/>
    </row>
    <row r="14">
      <c r="A14" s="75" t="s">
        <v>613</v>
      </c>
      <c r="B14" s="76" t="s">
        <v>614</v>
      </c>
      <c r="C14" s="77">
        <f>SUM('Stavební rozpočet'!AB12:AB412)</f>
      </c>
      <c r="D14" s="78" t="s">
        <v>615</v>
      </c>
      <c r="E14" s="79"/>
      <c r="F14" s="77">
        <f>VORN!I15</f>
      </c>
      <c r="G14" s="78" t="s">
        <v>163</v>
      </c>
      <c r="H14" s="79"/>
      <c r="I14" s="80">
        <f>VORN!I21</f>
      </c>
    </row>
    <row r="15">
      <c r="A15" s="81" t="s">
        <v>52</v>
      </c>
      <c r="B15" s="76" t="s">
        <v>37</v>
      </c>
      <c r="C15" s="77">
        <f>SUM('Stavební rozpočet'!AC12:AC412)</f>
      </c>
      <c r="D15" s="78" t="s">
        <v>616</v>
      </c>
      <c r="E15" s="79"/>
      <c r="F15" s="77">
        <f>VORN!I16</f>
      </c>
      <c r="G15" s="78" t="s">
        <v>617</v>
      </c>
      <c r="H15" s="79"/>
      <c r="I15" s="80">
        <f>VORN!I22</f>
      </c>
    </row>
    <row r="16">
      <c r="A16" s="75" t="s">
        <v>618</v>
      </c>
      <c r="B16" s="76" t="s">
        <v>614</v>
      </c>
      <c r="C16" s="77">
        <f>SUM('Stavební rozpočet'!AD12:AD412)</f>
      </c>
      <c r="D16" s="78" t="s">
        <v>619</v>
      </c>
      <c r="E16" s="79"/>
      <c r="F16" s="77">
        <f>VORN!I17</f>
      </c>
      <c r="G16" s="78" t="s">
        <v>620</v>
      </c>
      <c r="H16" s="79"/>
      <c r="I16" s="80">
        <f>VORN!I23</f>
      </c>
    </row>
    <row r="17">
      <c r="A17" s="81" t="s">
        <v>52</v>
      </c>
      <c r="B17" s="76" t="s">
        <v>37</v>
      </c>
      <c r="C17" s="77">
        <f>SUM('Stavební rozpočet'!AE12:AE412)</f>
      </c>
      <c r="D17" s="78" t="s">
        <v>52</v>
      </c>
      <c r="E17" s="79"/>
      <c r="F17" s="80" t="s">
        <v>52</v>
      </c>
      <c r="G17" s="78" t="s">
        <v>177</v>
      </c>
      <c r="H17" s="79"/>
      <c r="I17" s="80">
        <f>VORN!I24</f>
      </c>
    </row>
    <row r="18">
      <c r="A18" s="75" t="s">
        <v>621</v>
      </c>
      <c r="B18" s="76" t="s">
        <v>614</v>
      </c>
      <c r="C18" s="77">
        <f>SUM('Stavební rozpočet'!AF12:AF412)</f>
      </c>
      <c r="D18" s="78" t="s">
        <v>52</v>
      </c>
      <c r="E18" s="79"/>
      <c r="F18" s="80" t="s">
        <v>52</v>
      </c>
      <c r="G18" s="78" t="s">
        <v>622</v>
      </c>
      <c r="H18" s="79"/>
      <c r="I18" s="80">
        <f>VORN!I25</f>
      </c>
    </row>
    <row r="19">
      <c r="A19" s="81" t="s">
        <v>52</v>
      </c>
      <c r="B19" s="76" t="s">
        <v>37</v>
      </c>
      <c r="C19" s="77">
        <f>SUM('Stavební rozpočet'!AG12:AG412)</f>
      </c>
      <c r="D19" s="78" t="s">
        <v>52</v>
      </c>
      <c r="E19" s="79"/>
      <c r="F19" s="80" t="s">
        <v>52</v>
      </c>
      <c r="G19" s="78" t="s">
        <v>623</v>
      </c>
      <c r="H19" s="79"/>
      <c r="I19" s="80">
        <f>VORN!I26</f>
      </c>
    </row>
    <row r="20">
      <c r="A20" s="82" t="s">
        <v>131</v>
      </c>
      <c r="B20" s="83"/>
      <c r="C20" s="77">
        <f>SUM('Stavební rozpočet'!AH12:AH412)</f>
      </c>
      <c r="D20" s="78" t="s">
        <v>52</v>
      </c>
      <c r="E20" s="79"/>
      <c r="F20" s="80" t="s">
        <v>52</v>
      </c>
      <c r="G20" s="78" t="s">
        <v>52</v>
      </c>
      <c r="H20" s="79"/>
      <c r="I20" s="80" t="s">
        <v>52</v>
      </c>
    </row>
    <row r="21">
      <c r="A21" s="84" t="s">
        <v>624</v>
      </c>
      <c r="B21" s="85"/>
      <c r="C21" s="86">
        <f>SUM('Stavební rozpočet'!Z12:Z412)</f>
      </c>
      <c r="D21" s="87" t="s">
        <v>52</v>
      </c>
      <c r="E21" s="88"/>
      <c r="F21" s="89" t="s">
        <v>52</v>
      </c>
      <c r="G21" s="87" t="s">
        <v>52</v>
      </c>
      <c r="H21" s="88"/>
      <c r="I21" s="89" t="s">
        <v>52</v>
      </c>
    </row>
    <row r="22" customHeight="true" ht="16.5">
      <c r="A22" s="90" t="s">
        <v>625</v>
      </c>
      <c r="B22" s="91"/>
      <c r="C22" s="92">
        <f>ROUND(SUM(C14:C21),2)</f>
      </c>
      <c r="D22" s="93" t="s">
        <v>626</v>
      </c>
      <c r="E22" s="91"/>
      <c r="F22" s="92">
        <f>SUM(F14:F21)</f>
      </c>
      <c r="G22" s="93" t="s">
        <v>627</v>
      </c>
      <c r="H22" s="91"/>
      <c r="I22" s="92">
        <f>SUM(I14:I21)</f>
      </c>
    </row>
    <row r="23">
      <c r="D23" s="82" t="s">
        <v>628</v>
      </c>
      <c r="E23" s="83"/>
      <c r="F23" s="94" t="n">
        <v>0</v>
      </c>
      <c r="G23" s="95" t="s">
        <v>629</v>
      </c>
      <c r="H23" s="83"/>
      <c r="I23" s="77" t="n">
        <v>0</v>
      </c>
    </row>
    <row r="24">
      <c r="G24" s="82" t="s">
        <v>630</v>
      </c>
      <c r="H24" s="83"/>
      <c r="I24" s="86">
        <f>vorn_sum</f>
      </c>
    </row>
    <row r="25">
      <c r="G25" s="82" t="s">
        <v>631</v>
      </c>
      <c r="H25" s="83"/>
      <c r="I25" s="92" t="n">
        <v>0</v>
      </c>
    </row>
    <row r="27">
      <c r="A27" s="96" t="s">
        <v>632</v>
      </c>
      <c r="B27" s="97"/>
      <c r="C27" s="98">
        <f>ROUND(SUM('Stavební rozpočet'!AJ12:AJ412),2)</f>
      </c>
    </row>
    <row r="28">
      <c r="A28" s="99" t="s">
        <v>633</v>
      </c>
      <c r="B28" s="100"/>
      <c r="C28" s="101">
        <f>ROUND(SUM('Stavební rozpočet'!AK12:AK412),2)</f>
      </c>
      <c r="D28" s="102" t="s">
        <v>634</v>
      </c>
      <c r="E28" s="97"/>
      <c r="F28" s="98">
        <f>ROUND(C28*(12/100),2)</f>
      </c>
      <c r="G28" s="102" t="s">
        <v>635</v>
      </c>
      <c r="H28" s="97"/>
      <c r="I28" s="98">
        <f>ROUND(SUM(C27:C29),2)</f>
      </c>
    </row>
    <row r="29">
      <c r="A29" s="99" t="s">
        <v>636</v>
      </c>
      <c r="B29" s="100"/>
      <c r="C29" s="101">
        <f>ROUND(SUM('Stavební rozpočet'!AL12:AL412),2)</f>
      </c>
      <c r="D29" s="103" t="s">
        <v>637</v>
      </c>
      <c r="E29" s="100"/>
      <c r="F29" s="101">
        <f>ROUND(C29*(21/100),2)</f>
      </c>
      <c r="G29" s="103" t="s">
        <v>638</v>
      </c>
      <c r="H29" s="100"/>
      <c r="I29" s="101">
        <f>ROUND(SUM(F28:F29)+I28,2)</f>
      </c>
    </row>
    <row r="31">
      <c r="A31" s="104" t="s">
        <v>639</v>
      </c>
      <c r="B31" s="105"/>
      <c r="C31" s="106"/>
      <c r="D31" s="107" t="s">
        <v>640</v>
      </c>
      <c r="E31" s="105"/>
      <c r="F31" s="106"/>
      <c r="G31" s="107" t="s">
        <v>641</v>
      </c>
      <c r="H31" s="105"/>
      <c r="I31" s="106"/>
    </row>
    <row r="32">
      <c r="A32" s="108" t="s">
        <v>52</v>
      </c>
      <c r="B32" s="109"/>
      <c r="C32" s="110"/>
      <c r="D32" s="111" t="s">
        <v>52</v>
      </c>
      <c r="E32" s="109"/>
      <c r="F32" s="110"/>
      <c r="G32" s="111" t="s">
        <v>52</v>
      </c>
      <c r="H32" s="109"/>
      <c r="I32" s="110"/>
    </row>
    <row r="33">
      <c r="A33" s="108" t="s">
        <v>52</v>
      </c>
      <c r="B33" s="109"/>
      <c r="C33" s="110"/>
      <c r="D33" s="111" t="s">
        <v>52</v>
      </c>
      <c r="E33" s="109"/>
      <c r="F33" s="110"/>
      <c r="G33" s="111" t="s">
        <v>52</v>
      </c>
      <c r="H33" s="109"/>
      <c r="I33" s="110"/>
    </row>
    <row r="34">
      <c r="A34" s="108" t="s">
        <v>52</v>
      </c>
      <c r="B34" s="109"/>
      <c r="C34" s="110"/>
      <c r="D34" s="111" t="s">
        <v>52</v>
      </c>
      <c r="E34" s="109"/>
      <c r="F34" s="110"/>
      <c r="G34" s="111" t="s">
        <v>52</v>
      </c>
      <c r="H34" s="109"/>
      <c r="I34" s="110"/>
    </row>
    <row r="35">
      <c r="A35" s="112" t="s">
        <v>642</v>
      </c>
      <c r="B35" s="113"/>
      <c r="C35" s="114"/>
      <c r="D35" s="115" t="s">
        <v>642</v>
      </c>
      <c r="E35" s="113"/>
      <c r="F35" s="114"/>
      <c r="G35" s="115" t="s">
        <v>642</v>
      </c>
      <c r="H35" s="113"/>
      <c r="I35" s="114"/>
    </row>
    <row r="36">
      <c r="A36" s="116" t="s">
        <v>191</v>
      </c>
    </row>
    <row r="37" customHeight="true" ht="12.75">
      <c r="A37" s="14" t="s">
        <v>52</v>
      </c>
      <c r="B37" s="10"/>
      <c r="C37" s="10"/>
      <c r="D37" s="10"/>
      <c r="E37" s="10"/>
      <c r="F37" s="10"/>
      <c r="G37" s="10"/>
      <c r="H37" s="10"/>
      <c r="I37" s="10"/>
    </row>
  </sheetData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I2:I3"/>
    <mergeCell ref="I4:I5"/>
    <mergeCell ref="I6:I7"/>
    <mergeCell ref="I8:I9"/>
    <mergeCell ref="I10:I11"/>
    <mergeCell ref="A12:I12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1:C31"/>
    <mergeCell ref="A32:C32"/>
    <mergeCell ref="A33:C33"/>
    <mergeCell ref="A34:C34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  <mergeCell ref="A37:I37"/>
  </mergeCells>
  <pageMargins left="0.393999993801117" top="0.591000020503998" right="0.393999993801117" bottom="0.591000020503998" header="0" footer="0"/>
  <pageSetup orientation="landscape" fitToHeight="1" fitToWidth="1" cellComments="none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45"/>
  <sheetViews>
    <sheetView workbookViewId="0" showZeros="true" showFormulas="false" showGridLines="true" showRowColHeaders="true">
      <selection sqref="A45:E45" activeCell="A45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2.85546875" customWidth="true"/>
    <col max="4" min="4" style="0" width="10" customWidth="true"/>
    <col max="5" min="5" style="0" width="14" customWidth="true"/>
    <col max="6" min="6" style="0" width="22.85546875" customWidth="true"/>
    <col max="7" min="7" style="0" width="9.140625" customWidth="true"/>
    <col max="8" min="8" style="0" width="17.140625" customWidth="true"/>
    <col max="9" min="9" style="0" width="22.85546875" customWidth="true"/>
  </cols>
  <sheetData>
    <row r="1" customHeight="true" ht="54.75">
      <c r="A1" s="66" t="s">
        <v>161</v>
      </c>
      <c r="B1" s="1"/>
      <c r="C1" s="1"/>
      <c r="D1" s="1"/>
      <c r="E1" s="1"/>
      <c r="F1" s="1"/>
      <c r="G1" s="1"/>
      <c r="H1" s="1"/>
      <c r="I1" s="1"/>
    </row>
    <row r="2">
      <c r="A2" s="3" t="s">
        <v>1</v>
      </c>
      <c r="B2" s="4"/>
      <c r="C2" s="5">
        <f>'Stavební rozpočet'!D2</f>
      </c>
      <c r="D2" s="6"/>
      <c r="E2" s="7" t="s">
        <v>5</v>
      </c>
      <c r="F2" s="7">
        <f>'Stavební rozpočet'!J2</f>
      </c>
      <c r="G2" s="4"/>
      <c r="H2" s="7" t="s">
        <v>603</v>
      </c>
      <c r="I2" s="8" t="s">
        <v>52</v>
      </c>
    </row>
    <row r="3" customHeight="true" ht="15">
      <c r="A3" s="9"/>
      <c r="B3" s="10"/>
      <c r="C3" s="11"/>
      <c r="D3" s="11"/>
      <c r="E3" s="10"/>
      <c r="F3" s="10"/>
      <c r="G3" s="10"/>
      <c r="H3" s="10"/>
      <c r="I3" s="12"/>
    </row>
    <row r="4">
      <c r="A4" s="13" t="s">
        <v>7</v>
      </c>
      <c r="B4" s="10"/>
      <c r="C4" s="14">
        <f>'Stavební rozpočet'!D4</f>
      </c>
      <c r="D4" s="10"/>
      <c r="E4" s="14" t="s">
        <v>11</v>
      </c>
      <c r="F4" s="14">
        <f>'Stavební rozpočet'!J4</f>
      </c>
      <c r="G4" s="10"/>
      <c r="H4" s="14" t="s">
        <v>603</v>
      </c>
      <c r="I4" s="12" t="s">
        <v>52</v>
      </c>
    </row>
    <row r="5" customHeight="true" ht="15">
      <c r="A5" s="9"/>
      <c r="B5" s="10"/>
      <c r="C5" s="10"/>
      <c r="D5" s="10"/>
      <c r="E5" s="10"/>
      <c r="F5" s="10"/>
      <c r="G5" s="10"/>
      <c r="H5" s="10"/>
      <c r="I5" s="12"/>
    </row>
    <row r="6">
      <c r="A6" s="13" t="s">
        <v>12</v>
      </c>
      <c r="B6" s="10"/>
      <c r="C6" s="14">
        <f>'Stavební rozpočet'!D6</f>
      </c>
      <c r="D6" s="10"/>
      <c r="E6" s="14" t="s">
        <v>16</v>
      </c>
      <c r="F6" s="14">
        <f>'Stavební rozpočet'!J6</f>
      </c>
      <c r="G6" s="10"/>
      <c r="H6" s="14" t="s">
        <v>603</v>
      </c>
      <c r="I6" s="12" t="s">
        <v>52</v>
      </c>
    </row>
    <row r="7" customHeight="true" ht="15">
      <c r="A7" s="9"/>
      <c r="B7" s="10"/>
      <c r="C7" s="10"/>
      <c r="D7" s="10"/>
      <c r="E7" s="10"/>
      <c r="F7" s="10"/>
      <c r="G7" s="10"/>
      <c r="H7" s="10"/>
      <c r="I7" s="12"/>
    </row>
    <row r="8">
      <c r="A8" s="13" t="s">
        <v>9</v>
      </c>
      <c r="B8" s="10"/>
      <c r="C8" s="14">
        <f>'Stavební rozpočet'!H4</f>
      </c>
      <c r="D8" s="10"/>
      <c r="E8" s="14" t="s">
        <v>14</v>
      </c>
      <c r="F8" s="14">
        <f>'Stavební rozpočet'!H6</f>
      </c>
      <c r="G8" s="10"/>
      <c r="H8" s="10" t="s">
        <v>604</v>
      </c>
      <c r="I8" s="67" t="n">
        <v>145</v>
      </c>
    </row>
    <row r="9">
      <c r="A9" s="9"/>
      <c r="B9" s="10"/>
      <c r="C9" s="10"/>
      <c r="D9" s="10"/>
      <c r="E9" s="10"/>
      <c r="F9" s="10"/>
      <c r="G9" s="10"/>
      <c r="H9" s="10"/>
      <c r="I9" s="12"/>
    </row>
    <row r="10">
      <c r="A10" s="13" t="s">
        <v>17</v>
      </c>
      <c r="B10" s="10"/>
      <c r="C10" s="14">
        <f>'Stavební rozpočet'!D8</f>
      </c>
      <c r="D10" s="10"/>
      <c r="E10" s="14" t="s">
        <v>20</v>
      </c>
      <c r="F10" s="14">
        <f>'Stavební rozpočet'!J8</f>
      </c>
      <c r="G10" s="10"/>
      <c r="H10" s="10" t="s">
        <v>605</v>
      </c>
      <c r="I10" s="68">
        <f>'Stavební rozpočet'!H8</f>
      </c>
    </row>
    <row r="11">
      <c r="A11" s="58"/>
      <c r="B11" s="59"/>
      <c r="C11" s="59"/>
      <c r="D11" s="59"/>
      <c r="E11" s="59"/>
      <c r="F11" s="59"/>
      <c r="G11" s="59"/>
      <c r="H11" s="59"/>
      <c r="I11" s="69"/>
    </row>
    <row r="13">
      <c r="A13" s="117" t="s">
        <v>643</v>
      </c>
      <c r="B13" s="117"/>
      <c r="C13" s="117"/>
      <c r="D13" s="117"/>
      <c r="E13" s="117"/>
    </row>
    <row r="14">
      <c r="A14" s="118" t="s">
        <v>644</v>
      </c>
      <c r="B14" s="119"/>
      <c r="C14" s="119"/>
      <c r="D14" s="119"/>
      <c r="E14" s="120"/>
      <c r="F14" s="121" t="s">
        <v>645</v>
      </c>
      <c r="G14" s="121" t="s">
        <v>646</v>
      </c>
      <c r="H14" s="121" t="s">
        <v>647</v>
      </c>
      <c r="I14" s="121" t="s">
        <v>645</v>
      </c>
    </row>
    <row r="15">
      <c r="A15" s="122" t="s">
        <v>615</v>
      </c>
      <c r="B15" s="123"/>
      <c r="C15" s="123"/>
      <c r="D15" s="123"/>
      <c r="E15" s="124"/>
      <c r="F15" s="125" t="n">
        <v>0</v>
      </c>
      <c r="G15" s="126" t="s">
        <v>52</v>
      </c>
      <c r="H15" s="126" t="s">
        <v>52</v>
      </c>
      <c r="I15" s="125">
        <f>F15</f>
      </c>
    </row>
    <row r="16">
      <c r="A16" s="122" t="s">
        <v>616</v>
      </c>
      <c r="B16" s="123"/>
      <c r="C16" s="123"/>
      <c r="D16" s="123"/>
      <c r="E16" s="124"/>
      <c r="F16" s="125" t="n">
        <v>0</v>
      </c>
      <c r="G16" s="126" t="s">
        <v>52</v>
      </c>
      <c r="H16" s="126" t="s">
        <v>52</v>
      </c>
      <c r="I16" s="125">
        <f>F16</f>
      </c>
    </row>
    <row r="17">
      <c r="A17" s="127" t="s">
        <v>619</v>
      </c>
      <c r="B17" s="128"/>
      <c r="C17" s="128"/>
      <c r="D17" s="128"/>
      <c r="E17" s="129"/>
      <c r="F17" s="130" t="n">
        <v>0</v>
      </c>
      <c r="G17" s="131" t="s">
        <v>52</v>
      </c>
      <c r="H17" s="131" t="s">
        <v>52</v>
      </c>
      <c r="I17" s="130">
        <f>F17</f>
      </c>
    </row>
    <row r="18">
      <c r="A18" s="132" t="s">
        <v>648</v>
      </c>
      <c r="B18" s="133"/>
      <c r="C18" s="133"/>
      <c r="D18" s="133"/>
      <c r="E18" s="134"/>
      <c r="F18" s="135" t="s">
        <v>52</v>
      </c>
      <c r="G18" s="136" t="s">
        <v>52</v>
      </c>
      <c r="H18" s="136" t="s">
        <v>52</v>
      </c>
      <c r="I18" s="137">
        <f>SUM(I15:I17)</f>
      </c>
    </row>
    <row r="20">
      <c r="A20" s="118" t="s">
        <v>612</v>
      </c>
      <c r="B20" s="119"/>
      <c r="C20" s="119"/>
      <c r="D20" s="119"/>
      <c r="E20" s="120"/>
      <c r="F20" s="121" t="s">
        <v>645</v>
      </c>
      <c r="G20" s="121" t="s">
        <v>646</v>
      </c>
      <c r="H20" s="121" t="s">
        <v>647</v>
      </c>
      <c r="I20" s="121" t="s">
        <v>645</v>
      </c>
    </row>
    <row r="21">
      <c r="A21" s="122" t="s">
        <v>163</v>
      </c>
      <c r="B21" s="123"/>
      <c r="C21" s="123"/>
      <c r="D21" s="123"/>
      <c r="E21" s="124"/>
      <c r="F21" s="125" t="n">
        <v>0</v>
      </c>
      <c r="G21" s="126" t="s">
        <v>52</v>
      </c>
      <c r="H21" s="126" t="s">
        <v>52</v>
      </c>
      <c r="I21" s="125">
        <f>F21</f>
      </c>
    </row>
    <row r="22">
      <c r="A22" s="122" t="s">
        <v>617</v>
      </c>
      <c r="B22" s="123"/>
      <c r="C22" s="123"/>
      <c r="D22" s="123"/>
      <c r="E22" s="124"/>
      <c r="F22" s="125" t="n">
        <v>0</v>
      </c>
      <c r="G22" s="126" t="s">
        <v>52</v>
      </c>
      <c r="H22" s="126" t="s">
        <v>52</v>
      </c>
      <c r="I22" s="125">
        <f>F22</f>
      </c>
    </row>
    <row r="23">
      <c r="A23" s="122" t="s">
        <v>620</v>
      </c>
      <c r="B23" s="123"/>
      <c r="C23" s="123"/>
      <c r="D23" s="123"/>
      <c r="E23" s="124"/>
      <c r="F23" s="125" t="n">
        <v>0</v>
      </c>
      <c r="G23" s="126" t="s">
        <v>52</v>
      </c>
      <c r="H23" s="126" t="s">
        <v>52</v>
      </c>
      <c r="I23" s="125">
        <f>F23</f>
      </c>
    </row>
    <row r="24">
      <c r="A24" s="122" t="s">
        <v>177</v>
      </c>
      <c r="B24" s="123"/>
      <c r="C24" s="123"/>
      <c r="D24" s="123"/>
      <c r="E24" s="124"/>
      <c r="F24" s="125" t="n">
        <v>0</v>
      </c>
      <c r="G24" s="126" t="s">
        <v>52</v>
      </c>
      <c r="H24" s="126" t="s">
        <v>52</v>
      </c>
      <c r="I24" s="125">
        <f>F24</f>
      </c>
    </row>
    <row r="25">
      <c r="A25" s="122" t="s">
        <v>622</v>
      </c>
      <c r="B25" s="123"/>
      <c r="C25" s="123"/>
      <c r="D25" s="123"/>
      <c r="E25" s="124"/>
      <c r="F25" s="125" t="n">
        <v>0</v>
      </c>
      <c r="G25" s="126" t="s">
        <v>52</v>
      </c>
      <c r="H25" s="126" t="s">
        <v>52</v>
      </c>
      <c r="I25" s="125">
        <f>F25</f>
      </c>
    </row>
    <row r="26">
      <c r="A26" s="127" t="s">
        <v>623</v>
      </c>
      <c r="B26" s="128"/>
      <c r="C26" s="128"/>
      <c r="D26" s="128"/>
      <c r="E26" s="129"/>
      <c r="F26" s="130" t="n">
        <v>0</v>
      </c>
      <c r="G26" s="131" t="s">
        <v>52</v>
      </c>
      <c r="H26" s="131" t="s">
        <v>52</v>
      </c>
      <c r="I26" s="130">
        <f>F26</f>
      </c>
    </row>
    <row r="27">
      <c r="A27" s="132" t="s">
        <v>649</v>
      </c>
      <c r="B27" s="133"/>
      <c r="C27" s="133"/>
      <c r="D27" s="133"/>
      <c r="E27" s="134"/>
      <c r="F27" s="135" t="s">
        <v>52</v>
      </c>
      <c r="G27" s="136" t="s">
        <v>52</v>
      </c>
      <c r="H27" s="136" t="s">
        <v>52</v>
      </c>
      <c r="I27" s="137">
        <f>SUM(I21:I26)</f>
      </c>
    </row>
    <row r="29">
      <c r="A29" s="138" t="s">
        <v>650</v>
      </c>
      <c r="B29" s="139"/>
      <c r="C29" s="139"/>
      <c r="D29" s="139"/>
      <c r="E29" s="140"/>
      <c r="F29" s="141">
        <f>I18+I27</f>
      </c>
      <c r="G29" s="142"/>
      <c r="H29" s="142"/>
      <c r="I29" s="143"/>
    </row>
    <row r="33">
      <c r="A33" s="117" t="s">
        <v>651</v>
      </c>
      <c r="B33" s="117"/>
      <c r="C33" s="117"/>
      <c r="D33" s="117"/>
      <c r="E33" s="117"/>
    </row>
    <row r="34">
      <c r="A34" s="118" t="s">
        <v>652</v>
      </c>
      <c r="B34" s="119"/>
      <c r="C34" s="119"/>
      <c r="D34" s="119"/>
      <c r="E34" s="120"/>
      <c r="F34" s="121" t="s">
        <v>645</v>
      </c>
      <c r="G34" s="121" t="s">
        <v>646</v>
      </c>
      <c r="H34" s="121" t="s">
        <v>647</v>
      </c>
      <c r="I34" s="121" t="s">
        <v>645</v>
      </c>
    </row>
    <row r="35">
      <c r="A35" s="122" t="s">
        <v>328</v>
      </c>
      <c r="B35" s="123"/>
      <c r="C35" s="123"/>
      <c r="D35" s="123"/>
      <c r="E35" s="124"/>
      <c r="F35" s="125">
        <f>SUM('Stavební rozpočet'!BM12:BM412)</f>
      </c>
      <c r="G35" s="126" t="s">
        <v>52</v>
      </c>
      <c r="H35" s="126" t="s">
        <v>52</v>
      </c>
      <c r="I35" s="125">
        <f>F35</f>
      </c>
    </row>
    <row r="36">
      <c r="A36" s="122" t="s">
        <v>653</v>
      </c>
      <c r="B36" s="123"/>
      <c r="C36" s="123"/>
      <c r="D36" s="123"/>
      <c r="E36" s="124"/>
      <c r="F36" s="125">
        <f>SUM('Stavební rozpočet'!BN12:BN412)</f>
      </c>
      <c r="G36" s="126" t="s">
        <v>52</v>
      </c>
      <c r="H36" s="126" t="s">
        <v>52</v>
      </c>
      <c r="I36" s="125">
        <f>F36</f>
      </c>
    </row>
    <row r="37">
      <c r="A37" s="122" t="s">
        <v>163</v>
      </c>
      <c r="B37" s="123"/>
      <c r="C37" s="123"/>
      <c r="D37" s="123"/>
      <c r="E37" s="124"/>
      <c r="F37" s="125">
        <f>SUM('Stavební rozpočet'!BO12:BO412)</f>
      </c>
      <c r="G37" s="126" t="s">
        <v>52</v>
      </c>
      <c r="H37" s="126" t="s">
        <v>52</v>
      </c>
      <c r="I37" s="125">
        <f>F37</f>
      </c>
    </row>
    <row r="38">
      <c r="A38" s="122" t="s">
        <v>171</v>
      </c>
      <c r="B38" s="123"/>
      <c r="C38" s="123"/>
      <c r="D38" s="123"/>
      <c r="E38" s="124"/>
      <c r="F38" s="125">
        <f>SUM('Stavební rozpočet'!BP12:BP412)</f>
      </c>
      <c r="G38" s="126" t="s">
        <v>52</v>
      </c>
      <c r="H38" s="126" t="s">
        <v>52</v>
      </c>
      <c r="I38" s="125">
        <f>F38</f>
      </c>
    </row>
    <row r="39">
      <c r="A39" s="122" t="s">
        <v>654</v>
      </c>
      <c r="B39" s="123"/>
      <c r="C39" s="123"/>
      <c r="D39" s="123"/>
      <c r="E39" s="124"/>
      <c r="F39" s="125">
        <f>SUM('Stavební rozpočet'!BQ12:BQ412)</f>
      </c>
      <c r="G39" s="126" t="s">
        <v>52</v>
      </c>
      <c r="H39" s="126" t="s">
        <v>52</v>
      </c>
      <c r="I39" s="125">
        <f>F39</f>
      </c>
    </row>
    <row r="40">
      <c r="A40" s="122" t="s">
        <v>620</v>
      </c>
      <c r="B40" s="123"/>
      <c r="C40" s="123"/>
      <c r="D40" s="123"/>
      <c r="E40" s="124"/>
      <c r="F40" s="125">
        <f>SUM('Stavební rozpočet'!BR12:BR412)</f>
      </c>
      <c r="G40" s="126" t="s">
        <v>52</v>
      </c>
      <c r="H40" s="126" t="s">
        <v>52</v>
      </c>
      <c r="I40" s="125">
        <f>F40</f>
      </c>
    </row>
    <row r="41">
      <c r="A41" s="122" t="s">
        <v>177</v>
      </c>
      <c r="B41" s="123"/>
      <c r="C41" s="123"/>
      <c r="D41" s="123"/>
      <c r="E41" s="124"/>
      <c r="F41" s="125">
        <f>SUM('Stavební rozpočet'!BS12:BS412)</f>
      </c>
      <c r="G41" s="126" t="s">
        <v>52</v>
      </c>
      <c r="H41" s="126" t="s">
        <v>52</v>
      </c>
      <c r="I41" s="125">
        <f>F41</f>
      </c>
    </row>
    <row r="42">
      <c r="A42" s="122" t="s">
        <v>655</v>
      </c>
      <c r="B42" s="123"/>
      <c r="C42" s="123"/>
      <c r="D42" s="123"/>
      <c r="E42" s="124"/>
      <c r="F42" s="125">
        <f>SUM('Stavební rozpočet'!BT12:BT412)</f>
      </c>
      <c r="G42" s="126" t="s">
        <v>52</v>
      </c>
      <c r="H42" s="126" t="s">
        <v>52</v>
      </c>
      <c r="I42" s="125">
        <f>F42</f>
      </c>
    </row>
    <row r="43">
      <c r="A43" s="122" t="s">
        <v>656</v>
      </c>
      <c r="B43" s="123"/>
      <c r="C43" s="123"/>
      <c r="D43" s="123"/>
      <c r="E43" s="124"/>
      <c r="F43" s="125">
        <f>SUM('Stavební rozpočet'!BU12:BU412)</f>
      </c>
      <c r="G43" s="126" t="s">
        <v>52</v>
      </c>
      <c r="H43" s="126" t="s">
        <v>52</v>
      </c>
      <c r="I43" s="125">
        <f>F43</f>
      </c>
    </row>
    <row r="44">
      <c r="A44" s="127" t="s">
        <v>657</v>
      </c>
      <c r="B44" s="128"/>
      <c r="C44" s="128"/>
      <c r="D44" s="128"/>
      <c r="E44" s="129"/>
      <c r="F44" s="130">
        <f>SUM('Stavební rozpočet'!BV12:BV412)</f>
      </c>
      <c r="G44" s="131" t="s">
        <v>52</v>
      </c>
      <c r="H44" s="131" t="s">
        <v>52</v>
      </c>
      <c r="I44" s="130">
        <f>F44</f>
      </c>
    </row>
    <row r="45">
      <c r="A45" s="132" t="s">
        <v>658</v>
      </c>
      <c r="B45" s="133"/>
      <c r="C45" s="133"/>
      <c r="D45" s="133"/>
      <c r="E45" s="134"/>
      <c r="F45" s="135" t="s">
        <v>52</v>
      </c>
      <c r="G45" s="136" t="s">
        <v>52</v>
      </c>
      <c r="H45" s="136" t="s">
        <v>52</v>
      </c>
      <c r="I45" s="137">
        <f>SUM(I35:I44)</f>
      </c>
    </row>
  </sheetData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I2:I3"/>
    <mergeCell ref="I4:I5"/>
    <mergeCell ref="I6:I7"/>
    <mergeCell ref="I8:I9"/>
    <mergeCell ref="I10:I11"/>
    <mergeCell ref="A13:E13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>HP</dc:creator>
  <cp:lastModifiedBy>HP</cp:lastModifiedBy>
  <dcterms:created xsi:type="dcterms:W3CDTF">2021-06-10T20:06:38.031Z</dcterms:created>
  <dcterms:modified xsi:type="dcterms:W3CDTF">2021-06-10T20:06:38.351Z</dcterms:modified>
</cp:coreProperties>
</file>