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 fullPrecision="0"/>
</workbook>
</file>

<file path=xl/sharedStrings.xml><?xml version="1.0" encoding="utf-8"?>
<sst xmlns="http://schemas.openxmlformats.org/spreadsheetml/2006/main" count="2795" uniqueCount="1080">
  <si>
    <t>Stavební rozpočet</t>
  </si>
  <si>
    <t>Název stavby:</t>
  </si>
  <si>
    <t>ZATEPLENÍ OBJEKTU BD Č.P.3014</t>
  </si>
  <si>
    <t>Doba výstavby:</t>
  </si>
  <si>
    <t xml:space="preserve"> </t>
  </si>
  <si>
    <t>Objednatel:</t>
  </si>
  <si>
    <t>MĚSTO VARNSDORF</t>
  </si>
  <si>
    <t>Druh stavby:</t>
  </si>
  <si>
    <t>STAVEBNÍ PRÁCE</t>
  </si>
  <si>
    <t>Začátek výstavby:</t>
  </si>
  <si>
    <t>Projektant:</t>
  </si>
  <si>
    <t>Ing. Jiří Drahota</t>
  </si>
  <si>
    <t>Lokalita:</t>
  </si>
  <si>
    <t>VARNSDORF,KAROLÍNY SVĚTLÉ Č.P.3014</t>
  </si>
  <si>
    <t>Konec výstavby:</t>
  </si>
  <si>
    <t>Zhotovitel:</t>
  </si>
  <si>
    <t>BUDE VYBRÁN VÝBĚROVÝM ŘÍZENÍM</t>
  </si>
  <si>
    <t>JKSO:</t>
  </si>
  <si>
    <t>Zpracováno dne:</t>
  </si>
  <si>
    <t>Zpracoval:</t>
  </si>
  <si>
    <t>Ing. Jiří Drahota, Jiří Trojan</t>
  </si>
  <si>
    <t>Č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</si>
  <si>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</si>
  <si>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</si>
  <si>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</si>
  <si>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</si>
  <si>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</si>
  <si>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</si>
  <si>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</si>
  <si>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</si>
  <si>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</si>
  <si>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</si>
  <si>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</si>
  <si>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</si>
  <si>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</si>
  <si>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</si>
  <si>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</si>
  <si>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</si>
  <si>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</si>
  <si>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</si>
  <si>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</si>
  <si>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</si>
  <si>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</si>
  <si>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</si>
  <si>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</si>
  <si>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</si>
  <si>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</si>
  <si>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</si>
  <si>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</si>
  <si>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</si>
  <si>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</si>
  <si>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</t>
  </si>
  <si>
    <t>Všeobecné konstrukce a práce</t>
  </si>
  <si>
    <t>1</t>
  </si>
  <si>
    <t>011123110</t>
  </si>
  <si>
    <t>Průzkumy a výtažné zkoušky</t>
  </si>
  <si>
    <t>soub</t>
  </si>
  <si>
    <t>RTS II / 2023</t>
  </si>
  <si>
    <t>0_</t>
  </si>
  <si>
    <t>_</t>
  </si>
  <si>
    <t>2</t>
  </si>
  <si>
    <t>011123120</t>
  </si>
  <si>
    <t>Dokumentace skutečného provedení</t>
  </si>
  <si>
    <t>3</t>
  </si>
  <si>
    <t>011123260</t>
  </si>
  <si>
    <t>Mimostaveništní doprava</t>
  </si>
  <si>
    <t>4</t>
  </si>
  <si>
    <t>011123510</t>
  </si>
  <si>
    <t>Územní vlivy</t>
  </si>
  <si>
    <t>zajištění proti účinkům větru,odvodnění při větších dešťových srážkách,vlivy klimatických podmínek</t>
  </si>
  <si>
    <t>5</t>
  </si>
  <si>
    <t>011123520</t>
  </si>
  <si>
    <t>Provozní vlivy</t>
  </si>
  <si>
    <t>práce za provozu,pohyb osob,městská doprava,parkování vozidel obyvatelů,atd.</t>
  </si>
  <si>
    <t>6</t>
  </si>
  <si>
    <t>011123610</t>
  </si>
  <si>
    <t>Zařízení staveniště</t>
  </si>
  <si>
    <t>přípravné práce,vybavení staveniště,pronájem ploch,skládky na staveništi</t>
  </si>
  <si>
    <t>připojení na inž.sítě,potřebné oplocení,potřebné osvětlení,dopravní značení atd.</t>
  </si>
  <si>
    <t>likvidace zařízení staveniště,úprava terénu a úklid</t>
  </si>
  <si>
    <t>11</t>
  </si>
  <si>
    <t>Přípravné a přidružené práce</t>
  </si>
  <si>
    <t>7</t>
  </si>
  <si>
    <t>113106032RA0</t>
  </si>
  <si>
    <t>Odstranění zám.dlažby 8 cm vč.podkladu,pl.do 50m2</t>
  </si>
  <si>
    <t>m2</t>
  </si>
  <si>
    <t>RTS I / 2023</t>
  </si>
  <si>
    <t>11_</t>
  </si>
  <si>
    <t>1_</t>
  </si>
  <si>
    <t>2,45*2,1</t>
  </si>
  <si>
    <t>8</t>
  </si>
  <si>
    <t>113201012RAC</t>
  </si>
  <si>
    <t>Vytrhání obrubníků chodníkových a parkových</t>
  </si>
  <si>
    <t>m</t>
  </si>
  <si>
    <t>2,45+2,45+2,1</t>
  </si>
  <si>
    <t>13</t>
  </si>
  <si>
    <t>Hloubené vykopávky</t>
  </si>
  <si>
    <t>9</t>
  </si>
  <si>
    <t>139600011RA0</t>
  </si>
  <si>
    <t>Ruční výkop v hornině 1-2</t>
  </si>
  <si>
    <t>m3</t>
  </si>
  <si>
    <t>13_</t>
  </si>
  <si>
    <t>(29,35+29,35+14,35+14,35)*0,2*0,7</t>
  </si>
  <si>
    <t>pro okapový chodník</t>
  </si>
  <si>
    <t>16</t>
  </si>
  <si>
    <t>Přemístění výkopku</t>
  </si>
  <si>
    <t>10</t>
  </si>
  <si>
    <t>167101101R00</t>
  </si>
  <si>
    <t>Nakládání výkopku z hor.1-4 v množství do 100 m3</t>
  </si>
  <si>
    <t>16_</t>
  </si>
  <si>
    <t>162501102R00</t>
  </si>
  <si>
    <t>Vodorovné přemístění výkopku z hor.1-4 do 3000 m</t>
  </si>
  <si>
    <t>EKO SERVIS Varnsdorf</t>
  </si>
  <si>
    <t>17</t>
  </si>
  <si>
    <t>Konstrukce ze zemin</t>
  </si>
  <si>
    <t>12</t>
  </si>
  <si>
    <t>199000002R00</t>
  </si>
  <si>
    <t>Poplatek za skládku horniny 1- 4</t>
  </si>
  <si>
    <t>17_</t>
  </si>
  <si>
    <t>18</t>
  </si>
  <si>
    <t>Povrchové úpravy terénu</t>
  </si>
  <si>
    <t>180404111R00</t>
  </si>
  <si>
    <t>Založení  trávníku výsevem na ornici</t>
  </si>
  <si>
    <t>18_</t>
  </si>
  <si>
    <t>87,4*1</t>
  </si>
  <si>
    <t>38</t>
  </si>
  <si>
    <t>Různé kompletní konstrukce nedělitelné do stav. dílů</t>
  </si>
  <si>
    <t>14</t>
  </si>
  <si>
    <t>389381001RT4</t>
  </si>
  <si>
    <t>Dobetonování prefabrikovaných konstrukcí čela lodžií</t>
  </si>
  <si>
    <t>38_</t>
  </si>
  <si>
    <t>3_</t>
  </si>
  <si>
    <t>3,75*2*12*0,2*0,1</t>
  </si>
  <si>
    <t>2,45*2*12*0,2*0,1</t>
  </si>
  <si>
    <t>41</t>
  </si>
  <si>
    <t>Stropy a stropní konstrukce (pro pozemní stavby)</t>
  </si>
  <si>
    <t>15</t>
  </si>
  <si>
    <t>416021121R00</t>
  </si>
  <si>
    <t>Podhledy SDK, kovová.kce CD. 1x deska RB 12,5 mm</t>
  </si>
  <si>
    <t>41_</t>
  </si>
  <si>
    <t>4_</t>
  </si>
  <si>
    <t>(2,26+0,08+1,71)*(2,33+0,08+4,04)</t>
  </si>
  <si>
    <t>vstupní hala,kočárkána,akustická deska MA(DF)12,5mm</t>
  </si>
  <si>
    <t>čedičová vata 80mm</t>
  </si>
  <si>
    <t>59</t>
  </si>
  <si>
    <t>Kryty pozemních komunikací, letišť a ploch dlážděných (předlažby)</t>
  </si>
  <si>
    <t>596100030RAD</t>
  </si>
  <si>
    <t>Chodník z dlažby betonové, podklad štěrkodrť</t>
  </si>
  <si>
    <t>59_</t>
  </si>
  <si>
    <t>5_</t>
  </si>
  <si>
    <t>87,4*0,5</t>
  </si>
  <si>
    <t>dlažba HBB 50x50x5cm</t>
  </si>
  <si>
    <t>596215021R00</t>
  </si>
  <si>
    <t>Kladení zámkové dlažby tl. 6 cm do drtě tl. 4 cm</t>
  </si>
  <si>
    <t>4,8*2,4</t>
  </si>
  <si>
    <t>59248030</t>
  </si>
  <si>
    <t>Dlažba zámková dle PD</t>
  </si>
  <si>
    <t>16,65</t>
  </si>
  <si>
    <t>200/200/60 (např.BEST KARO) v loži ze štěrkodrti,</t>
  </si>
  <si>
    <t>;ztratné 4%; 0,666</t>
  </si>
  <si>
    <t>19</t>
  </si>
  <si>
    <t>597073404RT2</t>
  </si>
  <si>
    <t>Venkovní rohož 750/500/80mm</t>
  </si>
  <si>
    <t>kus</t>
  </si>
  <si>
    <t>pozinkovaný rám a rošt,vana z polymerbetonu,odtok svisle zkrz podestu,s napojením</t>
  </si>
  <si>
    <t>20</t>
  </si>
  <si>
    <t>597073403R00</t>
  </si>
  <si>
    <t>Dvorní vpusť 300/300/440mm</t>
  </si>
  <si>
    <t>litinový rám a rošt,integrovaný pachový uzávěr,kalový koš</t>
  </si>
  <si>
    <t>21</t>
  </si>
  <si>
    <t>998223011R00</t>
  </si>
  <si>
    <t>Přesun hmot, pozemní komunikace, kryt dlážděný</t>
  </si>
  <si>
    <t>t</t>
  </si>
  <si>
    <t>33,324</t>
  </si>
  <si>
    <t>61</t>
  </si>
  <si>
    <t>Úprava povrchů vnitřní</t>
  </si>
  <si>
    <t>22</t>
  </si>
  <si>
    <t>612401191RT2</t>
  </si>
  <si>
    <t>Omítka malých ploch vnitřních stěn do 0,09 m2</t>
  </si>
  <si>
    <t>61_</t>
  </si>
  <si>
    <t>6_</t>
  </si>
  <si>
    <t>začištění otvorů kolem mřížek</t>
  </si>
  <si>
    <t>62</t>
  </si>
  <si>
    <t>Úprava povrchů vnější</t>
  </si>
  <si>
    <t>23</t>
  </si>
  <si>
    <t>622311024R00</t>
  </si>
  <si>
    <t>Založení na montážní lať</t>
  </si>
  <si>
    <t>62_</t>
  </si>
  <si>
    <t>87,4</t>
  </si>
  <si>
    <t>24</t>
  </si>
  <si>
    <t>622311111R00</t>
  </si>
  <si>
    <t>Dilatační profil KZS průběžný</t>
  </si>
  <si>
    <t>34,75*2+1,25*2</t>
  </si>
  <si>
    <t>25</t>
  </si>
  <si>
    <t>622311732R00</t>
  </si>
  <si>
    <t>Zatepl.syst. etics, fasáda, miner.desky PV 100 mm soklová část</t>
  </si>
  <si>
    <t>14,50*0,85</t>
  </si>
  <si>
    <t>29,50*0,8</t>
  </si>
  <si>
    <t>29,50*2,25</t>
  </si>
  <si>
    <t>26</t>
  </si>
  <si>
    <t>629481111R00</t>
  </si>
  <si>
    <t>Příplatek na lepidlo(nerovnosti)</t>
  </si>
  <si>
    <t>183,33+2316,64+85,68+220,32</t>
  </si>
  <si>
    <t>zvýšená spotřeba za lepidlo 4kg/m2</t>
  </si>
  <si>
    <t>27</t>
  </si>
  <si>
    <t>622311754R00</t>
  </si>
  <si>
    <t>Zatepl.syst.ETICS, ostění, miner.desky PV 30-50mm</t>
  </si>
  <si>
    <t>(1,2+1,45+1,45)*7*12*0,2</t>
  </si>
  <si>
    <t>ostění oken</t>
  </si>
  <si>
    <t>(2,4+1,45+1,45)*5*12*0,2</t>
  </si>
  <si>
    <t>(3,65+2,55+2,55)*2*12*0,2</t>
  </si>
  <si>
    <t>lodžie</t>
  </si>
  <si>
    <t>(2,45+2,55+2,55)*2*12*0,2</t>
  </si>
  <si>
    <t>(1+2+2)*0,2</t>
  </si>
  <si>
    <t>dveře</t>
  </si>
  <si>
    <t>(2,4+2,15+215)*0,2</t>
  </si>
  <si>
    <t>28</t>
  </si>
  <si>
    <t>938902122R00</t>
  </si>
  <si>
    <t>Čištění ploch betonových konstrukcí tlakovou vodou</t>
  </si>
  <si>
    <t>2316,64</t>
  </si>
  <si>
    <t>29</t>
  </si>
  <si>
    <t>627456135R00</t>
  </si>
  <si>
    <t>Začištění poškozeného betonového zdiva reprofilační maltou předpokládaný rozsah</t>
  </si>
  <si>
    <t>50</t>
  </si>
  <si>
    <t>stěny,rampa vstupů</t>
  </si>
  <si>
    <t>30</t>
  </si>
  <si>
    <t>620991121R00</t>
  </si>
  <si>
    <t>Zakrývání výplní vnějších otvorů z lešení</t>
  </si>
  <si>
    <t>114,75+78,03+74,97+111,69+41,76+83,52+104,4+125,28+1,8+5,6</t>
  </si>
  <si>
    <t>31</t>
  </si>
  <si>
    <t>622319051RT1</t>
  </si>
  <si>
    <t>Montáž lišt profilem s tkaninou</t>
  </si>
  <si>
    <t>3316,20</t>
  </si>
  <si>
    <t>32</t>
  </si>
  <si>
    <t>620991005R00</t>
  </si>
  <si>
    <t>Začišťovací okenní lišta parapetní</t>
  </si>
  <si>
    <t>2,6*2*12</t>
  </si>
  <si>
    <t>1,65*2*12</t>
  </si>
  <si>
    <t>1,2*7*12</t>
  </si>
  <si>
    <t>2,4*4*12</t>
  </si>
  <si>
    <t>33</t>
  </si>
  <si>
    <t>620991004R00</t>
  </si>
  <si>
    <t>Začišťovací okenní lišta APU</t>
  </si>
  <si>
    <t>921,2</t>
  </si>
  <si>
    <t>okna</t>
  </si>
  <si>
    <t>285,7</t>
  </si>
  <si>
    <t>dveře lodžie</t>
  </si>
  <si>
    <t>34</t>
  </si>
  <si>
    <t>55392762</t>
  </si>
  <si>
    <t>Lišta rohová s tkaninou</t>
  </si>
  <si>
    <t>1323</t>
  </si>
  <si>
    <t>570</t>
  </si>
  <si>
    <t>233,9</t>
  </si>
  <si>
    <t>35</t>
  </si>
  <si>
    <t>28350261</t>
  </si>
  <si>
    <t>Lišta s okapničkou</t>
  </si>
  <si>
    <t>523</t>
  </si>
  <si>
    <t>36</t>
  </si>
  <si>
    <t>622311732RT5</t>
  </si>
  <si>
    <t>Zatepl.syst. ETICS, fasáda, miner.desky PV 100 mm</t>
  </si>
  <si>
    <t>87,4*2,25</t>
  </si>
  <si>
    <t>kamínková úprava</t>
  </si>
  <si>
    <t>-(1,8*0,6*7)</t>
  </si>
  <si>
    <t>-(1,2*0,6*8)</t>
  </si>
  <si>
    <t>37</t>
  </si>
  <si>
    <t>622311733RT5</t>
  </si>
  <si>
    <t>Zatepl.syst. ETICS, fasáda, miner.desky PV 120 mm</t>
  </si>
  <si>
    <t>(29,50+29,50+14,50+14,50)*34,75</t>
  </si>
  <si>
    <t>-(3,75*2,55*12)</t>
  </si>
  <si>
    <t>-(2,55*2,55*12)</t>
  </si>
  <si>
    <t>-(2,45*2,55*12)</t>
  </si>
  <si>
    <t>-(3,65*2,55*12)</t>
  </si>
  <si>
    <t>-1,2*1,45*24</t>
  </si>
  <si>
    <t>-2,4*1,45*24</t>
  </si>
  <si>
    <t>-1,2*1,45*5*12</t>
  </si>
  <si>
    <t>okna východní strana</t>
  </si>
  <si>
    <t>-2,4*1,45*3*12</t>
  </si>
  <si>
    <t>-0,9*2</t>
  </si>
  <si>
    <t>-2,4*2,15</t>
  </si>
  <si>
    <t>0,35*8*2,55*12</t>
  </si>
  <si>
    <t>lodžie u okna a dveří</t>
  </si>
  <si>
    <t>(5,35+5,35+5,37+5,37)*3,65</t>
  </si>
  <si>
    <t>výtah</t>
  </si>
  <si>
    <t>39</t>
  </si>
  <si>
    <t>622311735RT5</t>
  </si>
  <si>
    <t>Zatepl.syst.ETICS, fasáda, miner.desky PV 160 mm</t>
  </si>
  <si>
    <t>0,9*2,55*8*12</t>
  </si>
  <si>
    <t>boky lodžií</t>
  </si>
  <si>
    <t>40</t>
  </si>
  <si>
    <t>622324730R00</t>
  </si>
  <si>
    <t>Zatepl.syst.ETICS na stroech lodžií, min.vlna PV, tl.30</t>
  </si>
  <si>
    <t>198,899</t>
  </si>
  <si>
    <t>620452101R00</t>
  </si>
  <si>
    <t>Vnější úpravy povrchů rampy reprofilační maltou</t>
  </si>
  <si>
    <t>42</t>
  </si>
  <si>
    <t>999281212R00</t>
  </si>
  <si>
    <t>Přesun hmot, opravy vněj. plášťů výšky do 36 m</t>
  </si>
  <si>
    <t>104,821</t>
  </si>
  <si>
    <t>63</t>
  </si>
  <si>
    <t>Podlahy a podlahové konstrukce</t>
  </si>
  <si>
    <t>43</t>
  </si>
  <si>
    <t>632411135RT1</t>
  </si>
  <si>
    <t>Ochranný vyrovnávací potěr tl.min 35mm</t>
  </si>
  <si>
    <t>63_</t>
  </si>
  <si>
    <t>rampa vstupu</t>
  </si>
  <si>
    <t>44</t>
  </si>
  <si>
    <t>632922991R00</t>
  </si>
  <si>
    <t>Úprava spodní hrany rampy a boky polymerakrylátovou stěrkou,mozaiková omítka boků</t>
  </si>
  <si>
    <t>4,8*2</t>
  </si>
  <si>
    <t>45</t>
  </si>
  <si>
    <t>632411104R00</t>
  </si>
  <si>
    <t>Vyspravení povrchů podlah  lodžií</t>
  </si>
  <si>
    <t>64</t>
  </si>
  <si>
    <t>Výplně otvorů</t>
  </si>
  <si>
    <t>46</t>
  </si>
  <si>
    <t>641940023RA0</t>
  </si>
  <si>
    <t>Osazení a dodávka oken dle PD 1200x630</t>
  </si>
  <si>
    <t>64_</t>
  </si>
  <si>
    <t>47</t>
  </si>
  <si>
    <t>642940010RAA</t>
  </si>
  <si>
    <t>Dveře jednokřídlové plast dle PD 960x1900 s montáží</t>
  </si>
  <si>
    <t>včetně zapravení ostění</t>
  </si>
  <si>
    <t>711</t>
  </si>
  <si>
    <t>Izolace proti vodě</t>
  </si>
  <si>
    <t>48</t>
  </si>
  <si>
    <t>711142559RY1</t>
  </si>
  <si>
    <t>Provedení izolace proti vlhkosti na ploše svislé, z polymer-akrylátové stěrky dle PD soklová část</t>
  </si>
  <si>
    <t>711_</t>
  </si>
  <si>
    <t>71_</t>
  </si>
  <si>
    <t>(29,5+29,5+14,50+14,50)*0,95*2</t>
  </si>
  <si>
    <t>výkres č.D.1.1.b.18</t>
  </si>
  <si>
    <t>49</t>
  </si>
  <si>
    <t>711111001RZ1</t>
  </si>
  <si>
    <t>Provedení izolace proti vlhkosti na ploše vodorovné, 1x asfaltovým penetračním nátěrem</t>
  </si>
  <si>
    <t>včetně laku ALP,rampa vstupu</t>
  </si>
  <si>
    <t>711141559RY2</t>
  </si>
  <si>
    <t>Provedení izolace proti vlhkosti na ploše vodorovné, asfaltovými pásy přitavením</t>
  </si>
  <si>
    <t>včetně materiálu,rampa vstupu</t>
  </si>
  <si>
    <t>51</t>
  </si>
  <si>
    <t>998711103R00</t>
  </si>
  <si>
    <t>Přesun hmot pro izolace proti vodě, výšky do 60 m</t>
  </si>
  <si>
    <t>1,088</t>
  </si>
  <si>
    <t>763</t>
  </si>
  <si>
    <t>Úpravy stěny lodžií</t>
  </si>
  <si>
    <t>52</t>
  </si>
  <si>
    <t>762111811R00</t>
  </si>
  <si>
    <t>Demontáž stěn palubky,vata 100mm, a rošt</t>
  </si>
  <si>
    <t>763_</t>
  </si>
  <si>
    <t>76_</t>
  </si>
  <si>
    <t>2,55*2,55*3</t>
  </si>
  <si>
    <t>48*0,9*2,2</t>
  </si>
  <si>
    <t>53</t>
  </si>
  <si>
    <t>762134122RT2</t>
  </si>
  <si>
    <t>Montáž bednění stěn, OSB deska,parotěs,min.vata</t>
  </si>
  <si>
    <t>19,507</t>
  </si>
  <si>
    <t>54</t>
  </si>
  <si>
    <t>3,132</t>
  </si>
  <si>
    <t>712</t>
  </si>
  <si>
    <t>Izolace střech (živičné krytiny)</t>
  </si>
  <si>
    <t>55</t>
  </si>
  <si>
    <t>712491176R00</t>
  </si>
  <si>
    <t>Připevnění izolace kotvicími terči včetně dodávky  polyamidových teleskopů dle PD</t>
  </si>
  <si>
    <t>712_</t>
  </si>
  <si>
    <t>3058</t>
  </si>
  <si>
    <t>mechanicky kotvené v podélném a příčném přesahu pomocí střešních šroubů a polyamidových teleskopů do</t>
  </si>
  <si>
    <t>(29,90+29,90+14,50+14,50)*0,65</t>
  </si>
  <si>
    <t>atika</t>
  </si>
  <si>
    <t>56</t>
  </si>
  <si>
    <t>712990816RT1</t>
  </si>
  <si>
    <t>Příplatek za  provizorní zakrývání střech ochranými plachtami v průběhu výstavby</t>
  </si>
  <si>
    <t>375,50</t>
  </si>
  <si>
    <t>5,35*5,37</t>
  </si>
  <si>
    <t>střecha strojovny</t>
  </si>
  <si>
    <t>57</t>
  </si>
  <si>
    <t>712391587R00</t>
  </si>
  <si>
    <t>Celoplošné nalepení  pásů samolepících</t>
  </si>
  <si>
    <t>461,949</t>
  </si>
  <si>
    <t>58</t>
  </si>
  <si>
    <t>62852269</t>
  </si>
  <si>
    <t>Pás modif. asfalt samolep SBS modifikovaný s vložkoum ze skleněné rohože ,tl.3mm</t>
  </si>
  <si>
    <t>;ztratné 15%; 69,29235</t>
  </si>
  <si>
    <t>712341559RT1</t>
  </si>
  <si>
    <t>Povlaková krytina střech do 10°, NAIP přitavením</t>
  </si>
  <si>
    <t>60</t>
  </si>
  <si>
    <t>628522531</t>
  </si>
  <si>
    <t>Pás modifikovaný asfalt s vložkou ze skelné tkaniny a polyesterové rohože</t>
  </si>
  <si>
    <t>s břidličným posypem min. tl. 4,2mm plnoplošně nataven</t>
  </si>
  <si>
    <t>998713104R00</t>
  </si>
  <si>
    <t>Přesun hmot pro izolace tepelné, výšky do 36 m</t>
  </si>
  <si>
    <t>5,117</t>
  </si>
  <si>
    <t>713</t>
  </si>
  <si>
    <t>Izolace tepelné</t>
  </si>
  <si>
    <t>713141313R00</t>
  </si>
  <si>
    <t>Izolace tepelná střech do tl.200 mm,2vrstvy,kotvy</t>
  </si>
  <si>
    <t>713_</t>
  </si>
  <si>
    <t>404,229</t>
  </si>
  <si>
    <t>28375766.A</t>
  </si>
  <si>
    <t>Deska izolační polystyrén  EPS 150-S tl.100mm</t>
  </si>
  <si>
    <t>404,229*0,2</t>
  </si>
  <si>
    <t>dvě vrstvy po 100mm</t>
  </si>
  <si>
    <t>;ztratné 8%; 6,467664</t>
  </si>
  <si>
    <t>713131141R00</t>
  </si>
  <si>
    <t>Montáž tepelné izolace stěn</t>
  </si>
  <si>
    <t>(29,35+29,35+14,35+14,35)*0,6</t>
  </si>
  <si>
    <t>65</t>
  </si>
  <si>
    <t>28375768.A</t>
  </si>
  <si>
    <t>Deska izolační polystyrén  EPS 150</t>
  </si>
  <si>
    <t>52,44*0,12</t>
  </si>
  <si>
    <t>;ztratné 6%; 0,377568</t>
  </si>
  <si>
    <t>66</t>
  </si>
  <si>
    <t>713121111RT1</t>
  </si>
  <si>
    <t>Montáž tepelné izolace podlah na sucho, jednovrstvá</t>
  </si>
  <si>
    <t>67</t>
  </si>
  <si>
    <t>198,899*0,05</t>
  </si>
  <si>
    <t>;ztratné 6%; 0,596697</t>
  </si>
  <si>
    <t>68</t>
  </si>
  <si>
    <t>998713103R00</t>
  </si>
  <si>
    <t>2,177</t>
  </si>
  <si>
    <t>721</t>
  </si>
  <si>
    <t>Vnitřní kanalizace</t>
  </si>
  <si>
    <t>69</t>
  </si>
  <si>
    <t>721273200RT3</t>
  </si>
  <si>
    <t>Souprava ventilační střešní HL DN 150 PVC</t>
  </si>
  <si>
    <t>721_</t>
  </si>
  <si>
    <t>72_</t>
  </si>
  <si>
    <t>s nástavcem připojení</t>
  </si>
  <si>
    <t>70</t>
  </si>
  <si>
    <t>55162207.A</t>
  </si>
  <si>
    <t xml:space="preserve"> střešní vtok svislý výrobek č.1 viz výkres střechy s montáží</t>
  </si>
  <si>
    <t>71</t>
  </si>
  <si>
    <t>721110806R00</t>
  </si>
  <si>
    <t>Demontáž potrubí střešní vpusť</t>
  </si>
  <si>
    <t>72</t>
  </si>
  <si>
    <t>721273144R00</t>
  </si>
  <si>
    <t>Demontáž hlavice odvětrání</t>
  </si>
  <si>
    <t>728</t>
  </si>
  <si>
    <t>Vzduchotechnika-úprava vzduchotechnických objektů</t>
  </si>
  <si>
    <t>73</t>
  </si>
  <si>
    <t>713131131R00</t>
  </si>
  <si>
    <t>Izolace tepelná  lepením-úprava VZT objektů na střeše</t>
  </si>
  <si>
    <t>728_</t>
  </si>
  <si>
    <t>(1,25+1,15)*2*0,2*5</t>
  </si>
  <si>
    <t>včetně XPS 100mm stěny</t>
  </si>
  <si>
    <t>1,25*1,15*5</t>
  </si>
  <si>
    <t>vodorovné,sraženy hrany po obvodu</t>
  </si>
  <si>
    <t>74</t>
  </si>
  <si>
    <t>767135 R-05</t>
  </si>
  <si>
    <t>kotevní rám -montáž a dodávka-tenkostěnné pozinkované profily L 60x60x5mm</t>
  </si>
  <si>
    <t>(0,95+1,05)*2*5</t>
  </si>
  <si>
    <t>úprava sběrných komor VZT</t>
  </si>
  <si>
    <t>75</t>
  </si>
  <si>
    <t>31171801.A</t>
  </si>
  <si>
    <t>Kotva chemická - ampule maxima M10</t>
  </si>
  <si>
    <t>8*5</t>
  </si>
  <si>
    <t>76</t>
  </si>
  <si>
    <t>766111110R00</t>
  </si>
  <si>
    <t>Bednění boků deskami z vodo vzdorné překlížky tl.18mm včetně vrutů</t>
  </si>
  <si>
    <t>(0,95+1,05)*2*0,5*5</t>
  </si>
  <si>
    <t>včetně materiálů</t>
  </si>
  <si>
    <t>77</t>
  </si>
  <si>
    <t>766111210R00</t>
  </si>
  <si>
    <t>Bednění střech deskami z vodovzdorné překlížky tl.30mm včetně vrutů</t>
  </si>
  <si>
    <t>1,05*1,05*5</t>
  </si>
  <si>
    <t>78</t>
  </si>
  <si>
    <t>762112110R00</t>
  </si>
  <si>
    <t>Montáž a dodávka hranolků v rozích</t>
  </si>
  <si>
    <t>(0,95+1,05)*2*5+0,4*4*5</t>
  </si>
  <si>
    <t>včetně hranolků 50/50</t>
  </si>
  <si>
    <t>79</t>
  </si>
  <si>
    <t>712211559R00</t>
  </si>
  <si>
    <t>Deska XPS 100mm kotvená do překližky</t>
  </si>
  <si>
    <t>1,05*1,15*5</t>
  </si>
  <si>
    <t>80</t>
  </si>
  <si>
    <t>713131131RT2</t>
  </si>
  <si>
    <t>Izolace tepelná stěn lepením ETICS EPS 100F opatřen asf.pásy</t>
  </si>
  <si>
    <t>(1,05+1,15)*2*0,45*5</t>
  </si>
  <si>
    <t>81</t>
  </si>
  <si>
    <t>728611218R00</t>
  </si>
  <si>
    <t xml:space="preserve"> Montáž a dodávka střešního ventilátoru</t>
  </si>
  <si>
    <t>zařízení č.1-větrání soc.zařízení</t>
  </si>
  <si>
    <t>odvod 990m3/h,disp.tlak 350Pa,příkon 180W,napětí 230V,akustický tlak ve 3m 51 dB(A)</t>
  </si>
  <si>
    <t>82</t>
  </si>
  <si>
    <t>728312115R00</t>
  </si>
  <si>
    <t xml:space="preserve"> montáže a dodávka soklový  tlumič hluku</t>
  </si>
  <si>
    <t>83</t>
  </si>
  <si>
    <t>728616212R00</t>
  </si>
  <si>
    <t xml:space="preserve"> montáž a dodávka volné příruby</t>
  </si>
  <si>
    <t>84</t>
  </si>
  <si>
    <t>728413521R00</t>
  </si>
  <si>
    <t>Montáž a dodávka talířového ventilu kruhového do d 100 mm s el.pohonem</t>
  </si>
  <si>
    <t>110</t>
  </si>
  <si>
    <t>85</t>
  </si>
  <si>
    <t>728415811R00</t>
  </si>
  <si>
    <t xml:space="preserve"> Demontáž mřížky větrací nebo ventilační  na soc.zařízení</t>
  </si>
  <si>
    <t>86</t>
  </si>
  <si>
    <t>728611857R00</t>
  </si>
  <si>
    <t>Dmtž ventilátoru včetně podstavců</t>
  </si>
  <si>
    <t>87</t>
  </si>
  <si>
    <t>728212411R00</t>
  </si>
  <si>
    <t>Případná úpravan napojení na stávající páteřní rozvod</t>
  </si>
  <si>
    <t>88</t>
  </si>
  <si>
    <t>728414612R00</t>
  </si>
  <si>
    <t xml:space="preserve"> Montáž a dodávka digestoře s ventilátorem,tukovým filtrem a osvětlením</t>
  </si>
  <si>
    <t xml:space="preserve"> odvod 230m3/h,přikon 180 w,napětí 230 V</t>
  </si>
  <si>
    <t>montáž 30 ks digestoří,10 ks digestoří dodá investor, zhotovitel dodá 20 ks digestoří</t>
  </si>
  <si>
    <t>89</t>
  </si>
  <si>
    <t>728314115R00</t>
  </si>
  <si>
    <t xml:space="preserve"> Montáž a dodávka protidešť. žaluzie</t>
  </si>
  <si>
    <t>90</t>
  </si>
  <si>
    <t>728115111R00</t>
  </si>
  <si>
    <t xml:space="preserve"> ohebné potrubí 125 montáž a dodávka</t>
  </si>
  <si>
    <t>91</t>
  </si>
  <si>
    <t>728414862R00</t>
  </si>
  <si>
    <t xml:space="preserve"> Demontáž digestoře</t>
  </si>
  <si>
    <t>92</t>
  </si>
  <si>
    <t xml:space="preserve"> případná úprava napojení na stávající páteřní rozvod</t>
  </si>
  <si>
    <t>93</t>
  </si>
  <si>
    <t>42972862</t>
  </si>
  <si>
    <t>Mřížka venkovní nerezová se síťkou proti hmyzu D 100,trubka PVC D 100 a vnitřní plastová větrací mřížka s regulací 150/150 mm</t>
  </si>
  <si>
    <t>94</t>
  </si>
  <si>
    <t>998725104R00</t>
  </si>
  <si>
    <t>Přesun hmot pro VZT, výšky do 36 m</t>
  </si>
  <si>
    <t>1,343</t>
  </si>
  <si>
    <t>762</t>
  </si>
  <si>
    <t>Konstrukce tesařské</t>
  </si>
  <si>
    <t>95</t>
  </si>
  <si>
    <t>762512115R00</t>
  </si>
  <si>
    <t>Položení  desek na pero a drážku-atiky</t>
  </si>
  <si>
    <t>762_</t>
  </si>
  <si>
    <t>(29,50+29,50+14,50+14,50)*0,95</t>
  </si>
  <si>
    <t>(30+30+35) RŠ atiky</t>
  </si>
  <si>
    <t>96</t>
  </si>
  <si>
    <t>60624194</t>
  </si>
  <si>
    <t>Překližka foliovaná hladká vodovzdorná tl. 15 mm, F/F</t>
  </si>
  <si>
    <t>83,60</t>
  </si>
  <si>
    <t>3,8*2*12*0,2+2,55*2*12*0,2</t>
  </si>
  <si>
    <t>čela lodžií</t>
  </si>
  <si>
    <t>;ztratné 4%; 4,5632</t>
  </si>
  <si>
    <t>97</t>
  </si>
  <si>
    <t>766417111R00</t>
  </si>
  <si>
    <t>Podkladový rošt pod obložení stěn dle PD atika</t>
  </si>
  <si>
    <t>včetně fošen a oc.úhelníků</t>
  </si>
  <si>
    <t>98</t>
  </si>
  <si>
    <t>762132811R00</t>
  </si>
  <si>
    <t>Montáž bednění stěn z vodovzdorné překližky</t>
  </si>
  <si>
    <t>30,48</t>
  </si>
  <si>
    <t>99</t>
  </si>
  <si>
    <t>998762104R00</t>
  </si>
  <si>
    <t>Přesun hmot pro tesařské konstrukce, výšky do 36 m</t>
  </si>
  <si>
    <t>1,96</t>
  </si>
  <si>
    <t>764</t>
  </si>
  <si>
    <t>Konstrukce klempířské</t>
  </si>
  <si>
    <t>100</t>
  </si>
  <si>
    <t>59160889.A3</t>
  </si>
  <si>
    <t>Výlez na střechu 80x110 výrobek  výkres č.6 dle PD s osazením</t>
  </si>
  <si>
    <t>764_</t>
  </si>
  <si>
    <t>101</t>
  </si>
  <si>
    <t>764410850R00</t>
  </si>
  <si>
    <t>Demontáž oplechování parapetů,rš od 100 do 330 mm</t>
  </si>
  <si>
    <t>1,2*9*12</t>
  </si>
  <si>
    <t>2,4*6*12</t>
  </si>
  <si>
    <t>102</t>
  </si>
  <si>
    <t>764410340R00</t>
  </si>
  <si>
    <t>Oplechování parapetů-exterierový lakovaný ocelpozinkovaný š.250mm</t>
  </si>
  <si>
    <t>302,4</t>
  </si>
  <si>
    <t>s plastovými bočnicemi</t>
  </si>
  <si>
    <t>103</t>
  </si>
  <si>
    <t>764354292R00</t>
  </si>
  <si>
    <t>1/K přítlačná lišta rš.50</t>
  </si>
  <si>
    <t>25,5</t>
  </si>
  <si>
    <t>dle PD</t>
  </si>
  <si>
    <t>104</t>
  </si>
  <si>
    <t>764354391R00</t>
  </si>
  <si>
    <t>2/K krycí lišta rš.150</t>
  </si>
  <si>
    <t>105</t>
  </si>
  <si>
    <t>764354392R00</t>
  </si>
  <si>
    <t>3/K stahovací objímka dl.500</t>
  </si>
  <si>
    <t>106</t>
  </si>
  <si>
    <t>764323220R00</t>
  </si>
  <si>
    <t>4/K oplechování okapů Pz,  rš 250 mm</t>
  </si>
  <si>
    <t>5,2</t>
  </si>
  <si>
    <t>107</t>
  </si>
  <si>
    <t>8/K žlabový kotlík</t>
  </si>
  <si>
    <t>108</t>
  </si>
  <si>
    <t>764391210R00</t>
  </si>
  <si>
    <t>5/K závětrná lišta z Pz plechu, rš 330 mm</t>
  </si>
  <si>
    <t>109</t>
  </si>
  <si>
    <t>764393210R00</t>
  </si>
  <si>
    <t>6/K oplechování stříšky přípojková skříň rš.500</t>
  </si>
  <si>
    <t>1,75</t>
  </si>
  <si>
    <t>764393292R00</t>
  </si>
  <si>
    <t>7/K krycí lišta přípojkové skříně Pz rš 150mm</t>
  </si>
  <si>
    <t>111</t>
  </si>
  <si>
    <t>764259431R00</t>
  </si>
  <si>
    <t>9/K svod kruhový D100</t>
  </si>
  <si>
    <t>2,8</t>
  </si>
  <si>
    <t>112</t>
  </si>
  <si>
    <t>764541410R00</t>
  </si>
  <si>
    <t>10/K  koleno soklové D100</t>
  </si>
  <si>
    <t>113</t>
  </si>
  <si>
    <t>764251602R00</t>
  </si>
  <si>
    <t>12/K 6labové čelo hranatého žlabu</t>
  </si>
  <si>
    <t>114</t>
  </si>
  <si>
    <t>764251631R00</t>
  </si>
  <si>
    <t>13/K žlabový hák půlkulaty lakovaný</t>
  </si>
  <si>
    <t>115</t>
  </si>
  <si>
    <t>764521450R00</t>
  </si>
  <si>
    <t>15/K chlič z kruhové trouby</t>
  </si>
  <si>
    <t>116</t>
  </si>
  <si>
    <t>764211401R00</t>
  </si>
  <si>
    <t>Krytina hladká z Ti Zn střechy markýz nad vstupy</t>
  </si>
  <si>
    <t>2,4+3,2</t>
  </si>
  <si>
    <t>117</t>
  </si>
  <si>
    <t>28651131</t>
  </si>
  <si>
    <t>11/K podokapní půlkulatý žlab Rš 250</t>
  </si>
  <si>
    <t>118</t>
  </si>
  <si>
    <t>553442381</t>
  </si>
  <si>
    <t>14/K žlabový kotlík hranatý</t>
  </si>
  <si>
    <t>119</t>
  </si>
  <si>
    <t>764541210R00</t>
  </si>
  <si>
    <t>16/K koleno odpadní kruhové roury</t>
  </si>
  <si>
    <t>120</t>
  </si>
  <si>
    <t>764351201R00</t>
  </si>
  <si>
    <t>K/17Žlaby z Pz plechu podokapní čtyřhranné,rš 200 mm</t>
  </si>
  <si>
    <t>3,6</t>
  </si>
  <si>
    <t>121</t>
  </si>
  <si>
    <t>764351917R00</t>
  </si>
  <si>
    <t>K/18 žlabové čelo</t>
  </si>
  <si>
    <t>122</t>
  </si>
  <si>
    <t>764356392R00</t>
  </si>
  <si>
    <t>K/19 hák hranatý z nerezové oceli</t>
  </si>
  <si>
    <t>123</t>
  </si>
  <si>
    <t>764331320R00</t>
  </si>
  <si>
    <t>K/20 krycí lišta (markýza)</t>
  </si>
  <si>
    <t>124</t>
  </si>
  <si>
    <t>764410880R00</t>
  </si>
  <si>
    <t>Demontáž oplechování</t>
  </si>
  <si>
    <t>25,5+25,5+5,2+105+3,6</t>
  </si>
  <si>
    <t>125</t>
  </si>
  <si>
    <t>998764104R00</t>
  </si>
  <si>
    <t>Přesun hmot pro klempířské konstr., výšky do 36 m</t>
  </si>
  <si>
    <t>1,984</t>
  </si>
  <si>
    <t>767</t>
  </si>
  <si>
    <t>Konstrukce doplňkové stavební (zámečnické)</t>
  </si>
  <si>
    <t>126</t>
  </si>
  <si>
    <t>767222210R00</t>
  </si>
  <si>
    <t>Montáž a dodávka ocelový tenkostěnný profil U 140/60/5, vše žárově zinkováno</t>
  </si>
  <si>
    <t>767_</t>
  </si>
  <si>
    <t>3,7*24+2,5*24</t>
  </si>
  <si>
    <t>úprava čel stropních desek lodžií výkres č.19</t>
  </si>
  <si>
    <t>včetně přivařených kotev z pásové oceli 50/8/250</t>
  </si>
  <si>
    <t>127</t>
  </si>
  <si>
    <t>31171802.A</t>
  </si>
  <si>
    <t>Kotva chemická - ampule maxima M12</t>
  </si>
  <si>
    <t>4*24+4*24</t>
  </si>
  <si>
    <t>128</t>
  </si>
  <si>
    <t>627991005R00</t>
  </si>
  <si>
    <t>Vlepení přířezu  z desek z MV  tl.60mm do U profilu</t>
  </si>
  <si>
    <t>129</t>
  </si>
  <si>
    <t>767222120R00</t>
  </si>
  <si>
    <t>Montáž a dodávka ocelový tenkostěnný profil U 120/60/5mm, žárově zinkovaný</t>
  </si>
  <si>
    <t>33,6</t>
  </si>
  <si>
    <t>úprava čela stěny mezi lodžiemi výkres č.21</t>
  </si>
  <si>
    <t>130</t>
  </si>
  <si>
    <t>131</t>
  </si>
  <si>
    <t>762114110RT2</t>
  </si>
  <si>
    <t>M.konstr.stěn z řez.hraněn.do 120cm2 ocel.spojkami</t>
  </si>
  <si>
    <t>33,6*2</t>
  </si>
  <si>
    <t>včetně hranolků 30/50mm v rozích</t>
  </si>
  <si>
    <t>132</t>
  </si>
  <si>
    <t>762222141R00</t>
  </si>
  <si>
    <t>Montáž zábradlí rovného, sloupky osově do 1,5 m</t>
  </si>
  <si>
    <t>133</t>
  </si>
  <si>
    <t>767193802R00</t>
  </si>
  <si>
    <t>Demontáž větracích mřížek</t>
  </si>
  <si>
    <t>12*6</t>
  </si>
  <si>
    <t>134</t>
  </si>
  <si>
    <t>767221 R-8</t>
  </si>
  <si>
    <t>Montáž a dodávka zábradlí 2550x1100 dvě buňky</t>
  </si>
  <si>
    <t>12*2</t>
  </si>
  <si>
    <t>dle PD včetně zakrytí mezer ke stěnám a podlaze plechy</t>
  </si>
  <si>
    <t>135</t>
  </si>
  <si>
    <t>767221 R-9</t>
  </si>
  <si>
    <t>Přídavný zasklívací systém s výhybkou 2550x1100</t>
  </si>
  <si>
    <t>136</t>
  </si>
  <si>
    <t>767221 R-10</t>
  </si>
  <si>
    <t>montáž a dodávka  Al.zábradlí 3750x1100 tři buňky</t>
  </si>
  <si>
    <t>137</t>
  </si>
  <si>
    <t>767222 R-11</t>
  </si>
  <si>
    <t>přídavný zasklívací systém s výhybkou 3750x1100</t>
  </si>
  <si>
    <t>138</t>
  </si>
  <si>
    <t>767584811R00</t>
  </si>
  <si>
    <t>Demontáž mřížek-větrací otvory</t>
  </si>
  <si>
    <t>140</t>
  </si>
  <si>
    <t>139</t>
  </si>
  <si>
    <t>641960000R00</t>
  </si>
  <si>
    <t>Těsnění  větracích otvorů   PU pěnou</t>
  </si>
  <si>
    <t>140*0,10</t>
  </si>
  <si>
    <t>cca 100mm jeden otvor</t>
  </si>
  <si>
    <t>767711 R-04</t>
  </si>
  <si>
    <t>Osazení a dodávka vstuních dveří dle PD 2400x2150</t>
  </si>
  <si>
    <t>141</t>
  </si>
  <si>
    <t>767711 R-05</t>
  </si>
  <si>
    <t>Osazení  a dodávka vstupních dveří zadní vstup dle PD 940x2175</t>
  </si>
  <si>
    <t>142</t>
  </si>
  <si>
    <t>767311 R-06</t>
  </si>
  <si>
    <t>Montáž a dodávka stříšky nad vstupem</t>
  </si>
  <si>
    <t>1400/900mm z vrstveného bezpečnostního opakního skla</t>
  </si>
  <si>
    <t>tl.20mm na nerezových táhlech a terčích včetně kotevních bloků</t>
  </si>
  <si>
    <t>do ETICS</t>
  </si>
  <si>
    <t>143</t>
  </si>
  <si>
    <t>998767104R00</t>
  </si>
  <si>
    <t>Přesun hmot pro zámečnické konstr., výšky do 36 m</t>
  </si>
  <si>
    <t>10,84</t>
  </si>
  <si>
    <t>771</t>
  </si>
  <si>
    <t>Podlahy z dlaždic</t>
  </si>
  <si>
    <t>144</t>
  </si>
  <si>
    <t>771575104R00</t>
  </si>
  <si>
    <t>Montáž podlah keram.,režné hladké, tmel, s úpravou podkladu</t>
  </si>
  <si>
    <t>771_</t>
  </si>
  <si>
    <t>77_</t>
  </si>
  <si>
    <t>3,75*1,24*12*2</t>
  </si>
  <si>
    <t>lodžie dle PD</t>
  </si>
  <si>
    <t>2,55*1,24*12*2</t>
  </si>
  <si>
    <t>3*0,9</t>
  </si>
  <si>
    <t>vstup</t>
  </si>
  <si>
    <t>;ztratné 6%; 11,41128</t>
  </si>
  <si>
    <t>145</t>
  </si>
  <si>
    <t>771411014R00</t>
  </si>
  <si>
    <t>Obklad soklíků pórov.rovných do MC,20x10,H 10 cm</t>
  </si>
  <si>
    <t>(3,75+1,24+1,24)*12*2</t>
  </si>
  <si>
    <t>(2,55+1,24+1,24)*12*2</t>
  </si>
  <si>
    <t>(0,9+0,9+0,35+0,35)</t>
  </si>
  <si>
    <t>hlavní vstup</t>
  </si>
  <si>
    <t>146</t>
  </si>
  <si>
    <t>597642060</t>
  </si>
  <si>
    <t>Dlažba keramická plný střep protiskluzná  matná 200/200/9 mm</t>
  </si>
  <si>
    <t>27,2</t>
  </si>
  <si>
    <t>sokl</t>
  </si>
  <si>
    <t>201,599</t>
  </si>
  <si>
    <t>plochy dlažby dle PD</t>
  </si>
  <si>
    <t>;ztratné 6%; 13,72794</t>
  </si>
  <si>
    <t>147</t>
  </si>
  <si>
    <t>781670116RA0</t>
  </si>
  <si>
    <t>Obklad parapetu,v suterénu</t>
  </si>
  <si>
    <t>1,2*7+1,8*7</t>
  </si>
  <si>
    <t>148</t>
  </si>
  <si>
    <t>771101R-02</t>
  </si>
  <si>
    <t>Systém pro zateplení lodžií Multi Plus</t>
  </si>
  <si>
    <t>201,599-2,7</t>
  </si>
  <si>
    <t>dle technického listu-stěrková a lepící hmota,spádový klín EPS 150</t>
  </si>
  <si>
    <t>stěrková lepící hmota s armovací tkaninou,penetrace,systémová okapnice,těsnící páska BUTIL,lepící</t>
  </si>
  <si>
    <t>tmel dle certifikátu,PCI Pecilastik,těsnící páska,hydroizolační stěrka,</t>
  </si>
  <si>
    <t>difůzní páska,lepící tmel,polyethylenový provazec</t>
  </si>
  <si>
    <t>spárovací hmota,tmel PCI Elritan 140</t>
  </si>
  <si>
    <t>149</t>
  </si>
  <si>
    <t>998771104R00</t>
  </si>
  <si>
    <t>Přesun hmot pro podlahy z dlaždic, výšky do 36 m</t>
  </si>
  <si>
    <t>7,303</t>
  </si>
  <si>
    <t>783</t>
  </si>
  <si>
    <t>Nátěry</t>
  </si>
  <si>
    <t>150</t>
  </si>
  <si>
    <t>783222941RT1</t>
  </si>
  <si>
    <t>Údržba, nátěr syntetický kovových konstr.samozákladující barva</t>
  </si>
  <si>
    <t>783_</t>
  </si>
  <si>
    <t>78_</t>
  </si>
  <si>
    <t>1*2*2</t>
  </si>
  <si>
    <t>dveře strojovny</t>
  </si>
  <si>
    <t>1,35*1,5</t>
  </si>
  <si>
    <t>dvířka skříně NN</t>
  </si>
  <si>
    <t>151</t>
  </si>
  <si>
    <t>783425150R00</t>
  </si>
  <si>
    <t>Nátěr syntetický potrubí do DN 100 mm  Z + 2x</t>
  </si>
  <si>
    <t>anténní stožár s odrezivěním a očištěním</t>
  </si>
  <si>
    <t>152</t>
  </si>
  <si>
    <t>783424140R00</t>
  </si>
  <si>
    <t>Nátěr syntetický potrubí do DN 50 mm  Z + 2x</t>
  </si>
  <si>
    <t>zábradlí rampy hlavního vstupu</t>
  </si>
  <si>
    <t>1,20*2</t>
  </si>
  <si>
    <t>zábradlí u výlezu na střechu s odrezivěním a očištěním</t>
  </si>
  <si>
    <t>Hodinové zúčtovací sazby (HZS)</t>
  </si>
  <si>
    <t>153</t>
  </si>
  <si>
    <t>900      R03</t>
  </si>
  <si>
    <t>HZS</t>
  </si>
  <si>
    <t>h</t>
  </si>
  <si>
    <t>90_</t>
  </si>
  <si>
    <t>9_</t>
  </si>
  <si>
    <t>Doplňující konstrukce a práce na pozemních komunikacích a zpevněných plochách</t>
  </si>
  <si>
    <t>154</t>
  </si>
  <si>
    <t>916531111RT7</t>
  </si>
  <si>
    <t>Osazení záhon.obrubníků do lože z C12/15 bez opěry</t>
  </si>
  <si>
    <t>91_</t>
  </si>
  <si>
    <t>včetně materiálu,1000/250/80 šedý odstín,(BEST LINEA)</t>
  </si>
  <si>
    <t>Lešení a stavební výtahy</t>
  </si>
  <si>
    <t>155</t>
  </si>
  <si>
    <t>941941042R00</t>
  </si>
  <si>
    <t>Montáž lešení leh.řad.s podlahami,š.1,2 m, H 30 m</t>
  </si>
  <si>
    <t>94_</t>
  </si>
  <si>
    <t>(29,5+1+1)*2*36</t>
  </si>
  <si>
    <t>(14,5+1+1)*2*36</t>
  </si>
  <si>
    <t>156</t>
  </si>
  <si>
    <t>941941292R00</t>
  </si>
  <si>
    <t>Příplatek za každý měsíc použití lešení k pol.1042</t>
  </si>
  <si>
    <t>3456*5</t>
  </si>
  <si>
    <t>157</t>
  </si>
  <si>
    <t>941941842R00</t>
  </si>
  <si>
    <t>Demontáž lešení leh.řad.s podlahami,š.1,2 m,H 30 m</t>
  </si>
  <si>
    <t>3456</t>
  </si>
  <si>
    <t>158</t>
  </si>
  <si>
    <t>944944011R00</t>
  </si>
  <si>
    <t>Montáž ochranné sítě z umělých vláken</t>
  </si>
  <si>
    <t>159</t>
  </si>
  <si>
    <t>944944033R00</t>
  </si>
  <si>
    <t>Příplatek za každý měsíc použití sítí k pol. 4013</t>
  </si>
  <si>
    <t>160</t>
  </si>
  <si>
    <t>944945013R00</t>
  </si>
  <si>
    <t>Montáž záchytné stříšky H 4,5 m, šířky nad 2 m</t>
  </si>
  <si>
    <t>161</t>
  </si>
  <si>
    <t>944945813R00</t>
  </si>
  <si>
    <t>Demontáž záchytné stříšky H 4,5 m, šířky nad 2 m</t>
  </si>
  <si>
    <t>162</t>
  </si>
  <si>
    <t>998009101R00</t>
  </si>
  <si>
    <t>Přesun hmot lešení samostatně budovaného</t>
  </si>
  <si>
    <t>80,576</t>
  </si>
  <si>
    <t>Různé dokončovací konstrukce a práce na pozemních stavbách</t>
  </si>
  <si>
    <t>163</t>
  </si>
  <si>
    <t>953941511R00</t>
  </si>
  <si>
    <t>Osazení  a dodávka věšáku na prádlo dle PD</t>
  </si>
  <si>
    <t>95_</t>
  </si>
  <si>
    <t>hliníkový lodžiový sušák na prádlo s pohyblivými jezdci pro minimálně 5 šňůr,</t>
  </si>
  <si>
    <t>včetně kotev pro zateplené stěny</t>
  </si>
  <si>
    <t>164</t>
  </si>
  <si>
    <t>953761 R-06</t>
  </si>
  <si>
    <t>čtyřkomorová hnízdní budka pro rorýse</t>
  </si>
  <si>
    <t>165</t>
  </si>
  <si>
    <t>5534301661</t>
  </si>
  <si>
    <t>Větrací mřížka 150/150mm se síťkou s osazením,nerez</t>
  </si>
  <si>
    <t>5*12</t>
  </si>
  <si>
    <t>kovová</t>
  </si>
  <si>
    <t>166</t>
  </si>
  <si>
    <t>952901114R00</t>
  </si>
  <si>
    <t>Vyčištění budov o výšce podlaží nad 4 m</t>
  </si>
  <si>
    <t>236+150</t>
  </si>
  <si>
    <t>167</t>
  </si>
  <si>
    <t>999281112R00</t>
  </si>
  <si>
    <t>Přesun hmot pro opravy a údržbu do výšky 36 m</t>
  </si>
  <si>
    <t>7,648+0,311+0,189+2,171+0,423+0,290</t>
  </si>
  <si>
    <t>Bourání konstrukcí</t>
  </si>
  <si>
    <t>168</t>
  </si>
  <si>
    <t>968072357R00</t>
  </si>
  <si>
    <t>Vybourání plast. oken zdvojených nad 4 m2</t>
  </si>
  <si>
    <t>96_</t>
  </si>
  <si>
    <t>1,2*0,6</t>
  </si>
  <si>
    <t>169</t>
  </si>
  <si>
    <t>968072455R00</t>
  </si>
  <si>
    <t>Vybourání dveří se zárubněmi</t>
  </si>
  <si>
    <t>0,95*2,175</t>
  </si>
  <si>
    <t>0,95*1,85</t>
  </si>
  <si>
    <t>2,4*2,15</t>
  </si>
  <si>
    <t>Prorážení otvorů a ostatní bourací práce</t>
  </si>
  <si>
    <t>170</t>
  </si>
  <si>
    <t>970051130R00</t>
  </si>
  <si>
    <t>Vrtání jádrové do ŽB do D 130 mm</t>
  </si>
  <si>
    <t>97_</t>
  </si>
  <si>
    <t>12*0,28</t>
  </si>
  <si>
    <t>vyvrtání větracích otvorů profilu 120mm v obvodovém panelu</t>
  </si>
  <si>
    <t>M21</t>
  </si>
  <si>
    <t>Elektromontáže</t>
  </si>
  <si>
    <t>171</t>
  </si>
  <si>
    <t>210100381R00</t>
  </si>
  <si>
    <t>Kontrola stavu a úprava napojovacího bodu</t>
  </si>
  <si>
    <t>hod</t>
  </si>
  <si>
    <t>M21_</t>
  </si>
  <si>
    <t>172</t>
  </si>
  <si>
    <t>210191503R00</t>
  </si>
  <si>
    <t>přípojnice hlavního pospojení</t>
  </si>
  <si>
    <t>včetně materiálu</t>
  </si>
  <si>
    <t>173</t>
  </si>
  <si>
    <t>210010003RU2</t>
  </si>
  <si>
    <t>Trubka ohebná pod omítku, vnější průměr 23mm</t>
  </si>
  <si>
    <t>290</t>
  </si>
  <si>
    <t>174</t>
  </si>
  <si>
    <t>210010004RU2</t>
  </si>
  <si>
    <t>Trubka ohebná pod omítku, vnější průměr 36 mm</t>
  </si>
  <si>
    <t>175</t>
  </si>
  <si>
    <t>210010001R00</t>
  </si>
  <si>
    <t>Trubka ohebná pod omítku, d29 uložená pevně</t>
  </si>
  <si>
    <t>250</t>
  </si>
  <si>
    <t>176</t>
  </si>
  <si>
    <t>210010324RT2</t>
  </si>
  <si>
    <t>Krabice přístrojová KP, 68/1</t>
  </si>
  <si>
    <t>177</t>
  </si>
  <si>
    <t>210010311RT1</t>
  </si>
  <si>
    <t>Krabice univerzální KU,  68/2-1903</t>
  </si>
  <si>
    <t>178</t>
  </si>
  <si>
    <t>210010323RT1</t>
  </si>
  <si>
    <t>Krabice odbočná KO, se zapojením, čtvercová</t>
  </si>
  <si>
    <t>179</t>
  </si>
  <si>
    <t>210010323RT3</t>
  </si>
  <si>
    <t>180</t>
  </si>
  <si>
    <t>210290R-01</t>
  </si>
  <si>
    <t>Úprava stávajících rozvodů</t>
  </si>
  <si>
    <t>181</t>
  </si>
  <si>
    <t>210020503R00</t>
  </si>
  <si>
    <t>Žlab kabelový +kolena spoj.materiál 65/50mm</t>
  </si>
  <si>
    <t>182</t>
  </si>
  <si>
    <t>210800505RT1</t>
  </si>
  <si>
    <t>Vodič H07V-U (CY) 2,0 mm2 uložený v trubkách</t>
  </si>
  <si>
    <t>490</t>
  </si>
  <si>
    <t>183</t>
  </si>
  <si>
    <t>210800105RT1</t>
  </si>
  <si>
    <t>Kabel CYKY 750 V 3x1,5 mm2 uložený pod omítkou</t>
  </si>
  <si>
    <t>950</t>
  </si>
  <si>
    <t>184</t>
  </si>
  <si>
    <t>210100001R00</t>
  </si>
  <si>
    <t>Ukončení vodičů v rozvaděči + zapojení do 2,5 mm2</t>
  </si>
  <si>
    <t>422</t>
  </si>
  <si>
    <t>185</t>
  </si>
  <si>
    <t>210220321R00</t>
  </si>
  <si>
    <t>Svorka na potrubí Bernard, včetně Cu pásku</t>
  </si>
  <si>
    <t>186</t>
  </si>
  <si>
    <t>210100034R00</t>
  </si>
  <si>
    <t>Montáž pospojení</t>
  </si>
  <si>
    <t>187</t>
  </si>
  <si>
    <t>Sada pospojení</t>
  </si>
  <si>
    <t>188</t>
  </si>
  <si>
    <t>210110001RT2</t>
  </si>
  <si>
    <t>Spínač nástěnný jednopól.- řaz. 1, obyč.prostředí</t>
  </si>
  <si>
    <t>189</t>
  </si>
  <si>
    <t>210110003RT1</t>
  </si>
  <si>
    <t>Spínač nástěnný seriový - řaz. 5, obyč.prostředí</t>
  </si>
  <si>
    <t>190</t>
  </si>
  <si>
    <t>210205R-05</t>
  </si>
  <si>
    <t>Koordinace vypnutí stavby ,prozatimní napájení staveništního rozvaděče</t>
  </si>
  <si>
    <t>191</t>
  </si>
  <si>
    <t>210205R-06</t>
  </si>
  <si>
    <t>práce ve výšce</t>
  </si>
  <si>
    <t>192</t>
  </si>
  <si>
    <t>210205105R00</t>
  </si>
  <si>
    <t>Ekologická likvidace odpadů</t>
  </si>
  <si>
    <t>193</t>
  </si>
  <si>
    <t>210220002RT2</t>
  </si>
  <si>
    <t>Vedení uzemňovací na povrchu FeZn D 10 mm</t>
  </si>
  <si>
    <t>194</t>
  </si>
  <si>
    <t>210220301R00</t>
  </si>
  <si>
    <t>Svorka hromosvodová do 4 šroubů /SS, SZ, SO/</t>
  </si>
  <si>
    <t>195</t>
  </si>
  <si>
    <t>196</t>
  </si>
  <si>
    <t>210220001RT1</t>
  </si>
  <si>
    <t>Vedení uzemňovací na povrchu FeZn do 120 mm2</t>
  </si>
  <si>
    <t>včetně pásku</t>
  </si>
  <si>
    <t>197</t>
  </si>
  <si>
    <t>210220010R00</t>
  </si>
  <si>
    <t>podružný materiál</t>
  </si>
  <si>
    <t>198</t>
  </si>
  <si>
    <t>210220101RT3</t>
  </si>
  <si>
    <t>Vodiče svodové FeZn D do 10,Al 10,Cu 8 +podpěry</t>
  </si>
  <si>
    <t>580</t>
  </si>
  <si>
    <t>199</t>
  </si>
  <si>
    <t>910      R00</t>
  </si>
  <si>
    <t>Hzs - celková prohlídka el.rozvodu a zařízení do 2mil</t>
  </si>
  <si>
    <t>200</t>
  </si>
  <si>
    <t>905      R01</t>
  </si>
  <si>
    <t>Hzs- elektrorevize provoz.souboru a st.obj.</t>
  </si>
  <si>
    <t>201</t>
  </si>
  <si>
    <t>34561406</t>
  </si>
  <si>
    <t>Svorka WAGO 273-105 5x2,5</t>
  </si>
  <si>
    <t>202</t>
  </si>
  <si>
    <t>35441846</t>
  </si>
  <si>
    <t>Štítek označení</t>
  </si>
  <si>
    <t>203</t>
  </si>
  <si>
    <t>283551501</t>
  </si>
  <si>
    <t>Páska stahovací kabelová</t>
  </si>
  <si>
    <t>100kus</t>
  </si>
  <si>
    <t>204</t>
  </si>
  <si>
    <t>210800101RT1</t>
  </si>
  <si>
    <t>Kabel CYKY 750 V 2x1,5 mm2 uložený pod omítkou</t>
  </si>
  <si>
    <t>205</t>
  </si>
  <si>
    <t>206</t>
  </si>
  <si>
    <t>210220212RT2</t>
  </si>
  <si>
    <t>Tyč jímací s upev. na střeše 1,5m vč.svorky</t>
  </si>
  <si>
    <t>207</t>
  </si>
  <si>
    <t>210220211R00</t>
  </si>
  <si>
    <t>Jímač tyčový d=2,6 vč.stojanu a příslušenství</t>
  </si>
  <si>
    <t>208</t>
  </si>
  <si>
    <t>Svorka hromosvodová zkušební v krabicido 2 šroubů /SS, SZ, SO/</t>
  </si>
  <si>
    <t>209</t>
  </si>
  <si>
    <t>210130401R00</t>
  </si>
  <si>
    <t>Relé časové 8min/230/12V</t>
  </si>
  <si>
    <t>210</t>
  </si>
  <si>
    <t>210220R-20</t>
  </si>
  <si>
    <t>Sonda přítomnosti základového zemniče</t>
  </si>
  <si>
    <t>211</t>
  </si>
  <si>
    <t>900      RT3</t>
  </si>
  <si>
    <t>HZS-stavební přípomoce-zához rýh pro vodiče,hrubá a finální štuková</t>
  </si>
  <si>
    <t>212</t>
  </si>
  <si>
    <t>904      R01</t>
  </si>
  <si>
    <t>Hzs-oživení a parametrizace el.části VZT</t>
  </si>
  <si>
    <t>70 ks</t>
  </si>
  <si>
    <t>213</t>
  </si>
  <si>
    <t>952901111R00</t>
  </si>
  <si>
    <t>Vyčištění budov o výšce podlaží do 4 m</t>
  </si>
  <si>
    <t>úklid po elektromontážích</t>
  </si>
  <si>
    <t>M22</t>
  </si>
  <si>
    <t>Montáže sdělovací a zabezpečovací techniky</t>
  </si>
  <si>
    <t>222323322R00</t>
  </si>
  <si>
    <t>Tlačítkové tablo s klávesnicí a čtečkou do zdi</t>
  </si>
  <si>
    <t>RTS I / 2024</t>
  </si>
  <si>
    <t>M22_</t>
  </si>
  <si>
    <t>montáž</t>
  </si>
  <si>
    <t>229850161R00</t>
  </si>
  <si>
    <t>Demontáž skříňe zvonků s odpojením</t>
  </si>
  <si>
    <t>S</t>
  </si>
  <si>
    <t>Přesuny sutí</t>
  </si>
  <si>
    <t>979013112R00</t>
  </si>
  <si>
    <t>Svislá doprava vybouraných hmot na H do 3,5 m</t>
  </si>
  <si>
    <t>S_</t>
  </si>
  <si>
    <t>26,948</t>
  </si>
  <si>
    <t>979013119R00</t>
  </si>
  <si>
    <t>Příplatek k hmotám za každých dalších 3,5 m výšky</t>
  </si>
  <si>
    <t>10*26,948</t>
  </si>
  <si>
    <t>979081111R00</t>
  </si>
  <si>
    <t>Odvoz suti a vybour. hmot na skládku do 1 km</t>
  </si>
  <si>
    <t>979081121R00</t>
  </si>
  <si>
    <t>Příplatek k odvozu za každý další 1 km</t>
  </si>
  <si>
    <t>26,3948</t>
  </si>
  <si>
    <t>EKO SERVIS VDF</t>
  </si>
  <si>
    <t>979094211R00</t>
  </si>
  <si>
    <t>Nakládání nebo překládání vybourané suti</t>
  </si>
  <si>
    <t>979990111R00</t>
  </si>
  <si>
    <t>Poplatek za uložení suti -  skupina odpadu 170103</t>
  </si>
  <si>
    <t>Celkem:</t>
  </si>
  <si>
    <t>Poznámka: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</si>
  <si>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</si>
  <si>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</si>
  <si>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</si>
  <si>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</si>
  <si>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</si>
  <si>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</si>
  <si>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Krycí list rozpočtu</t>
  </si>
  <si>
    <t>IČO/DIČ: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</si>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</sst>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General"/>
    <numFmt numFmtId="168" formatCode="0"/>
  </numFmts>
  <fonts count="15">
    <font>
      <sz val="8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6" xfId="0" applyNumberFormat="1" applyFont="1" applyFill="1" applyBorder="1" applyAlignment="1" applyProtection="1">
      <alignment horizontal="left" vertical="center"/>
      <protection/>
    </xf>
    <xf numFmtId="164" fontId="4" fillId="0" borderId="7" xfId="0" applyNumberFormat="1" applyFont="1" applyFill="1" applyBorder="1" applyAlignment="1" applyProtection="1">
      <alignment horizontal="left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2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6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horizontal="right" vertical="center"/>
      <protection/>
    </xf>
    <xf numFmtId="164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5" fontId="5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6" fillId="2" borderId="4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left" vertical="center" wrapText="1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5" fontId="7" fillId="2" borderId="0" xfId="0" applyNumberFormat="1" applyFont="1" applyFill="1" applyBorder="1" applyAlignment="1" applyProtection="1">
      <alignment horizontal="right" vertical="center"/>
      <protection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7" fillId="2" borderId="5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164" fontId="6" fillId="0" borderId="5" xfId="0" applyNumberFormat="1" applyFont="1" applyBorder="1" applyAlignment="1" applyProtection="1">
      <alignment horizontal="right" vertical="center"/>
      <protection/>
    </xf>
    <xf numFmtId="164" fontId="6" fillId="0" borderId="0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4" fontId="2" fillId="0" borderId="5" xfId="0" applyNumberFormat="1" applyFont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164" fontId="5" fillId="0" borderId="18" xfId="0" applyNumberFormat="1" applyFont="1" applyFill="1" applyBorder="1" applyAlignment="1" applyProtection="1">
      <alignment horizontal="left" vertical="center"/>
      <protection/>
    </xf>
    <xf numFmtId="165" fontId="5" fillId="0" borderId="18" xfId="0" applyNumberFormat="1" applyFont="1" applyFill="1" applyBorder="1" applyAlignment="1" applyProtection="1">
      <alignment horizontal="right" vertical="center"/>
      <protection/>
    </xf>
    <xf numFmtId="164" fontId="2" fillId="0" borderId="19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6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/>
      <protection/>
    </xf>
    <xf numFmtId="164" fontId="4" fillId="0" borderId="21" xfId="0" applyNumberFormat="1" applyFont="1" applyFill="1" applyBorder="1" applyAlignment="1" applyProtection="1">
      <alignment horizontal="left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4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17" xfId="0" applyNumberFormat="1" applyFont="1" applyFill="1" applyBorder="1" applyAlignment="1" applyProtection="1">
      <alignment horizontal="left" vertical="center"/>
      <protection/>
    </xf>
    <xf numFmtId="164" fontId="1" fillId="0" borderId="18" xfId="0" applyNumberFormat="1" applyFont="1" applyFill="1" applyBorder="1" applyAlignment="1" applyProtection="1">
      <alignment horizontal="left" vertical="center"/>
      <protection/>
    </xf>
    <xf numFmtId="165" fontId="1" fillId="0" borderId="18" xfId="0" applyNumberFormat="1" applyFont="1" applyFill="1" applyBorder="1" applyAlignment="1" applyProtection="1">
      <alignment horizontal="right" vertical="center"/>
      <protection/>
    </xf>
    <xf numFmtId="165" fontId="1" fillId="0" borderId="19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horizontal="left" vertical="center"/>
      <protection/>
    </xf>
    <xf numFmtId="168" fontId="1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17" xfId="0" applyNumberFormat="1" applyFont="1" applyFill="1" applyBorder="1" applyAlignment="1" applyProtection="1">
      <alignment horizontal="left" vertical="center" wrapText="1"/>
      <protection/>
    </xf>
    <xf numFmtId="164" fontId="1" fillId="0" borderId="18" xfId="0" applyNumberFormat="1" applyFont="1" applyFill="1" applyBorder="1" applyAlignment="1" applyProtection="1">
      <alignment horizontal="left" vertical="center" wrapText="1"/>
      <protection/>
    </xf>
    <xf numFmtId="164" fontId="1" fillId="0" borderId="18" xfId="0" applyNumberFormat="1" applyFont="1" applyFill="1" applyBorder="1" applyAlignment="1" applyProtection="1">
      <alignment horizontal="left" vertical="center" wrapText="1"/>
      <protection/>
    </xf>
    <xf numFmtId="166" fontId="1" fillId="0" borderId="19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1" fillId="2" borderId="23" xfId="0" applyNumberFormat="1" applyFont="1" applyFill="1" applyBorder="1" applyAlignment="1" applyProtection="1">
      <alignment horizontal="center" vertical="center"/>
      <protection/>
    </xf>
    <xf numFmtId="164" fontId="12" fillId="0" borderId="24" xfId="0" applyNumberFormat="1" applyFont="1" applyFill="1" applyBorder="1" applyAlignment="1" applyProtection="1">
      <alignment horizontal="left" vertical="center"/>
      <protection/>
    </xf>
    <xf numFmtId="164" fontId="11" fillId="2" borderId="24" xfId="0" applyNumberFormat="1" applyFont="1" applyFill="1" applyBorder="1" applyAlignment="1" applyProtection="1">
      <alignment horizontal="center" vertical="center"/>
      <protection/>
    </xf>
    <xf numFmtId="164" fontId="13" fillId="0" borderId="25" xfId="0" applyNumberFormat="1" applyFont="1" applyFill="1" applyBorder="1" applyAlignment="1" applyProtection="1">
      <alignment horizontal="left" vertical="center"/>
      <protection/>
    </xf>
    <xf numFmtId="164" fontId="14" fillId="0" borderId="19" xfId="0" applyNumberFormat="1" applyFont="1" applyFill="1" applyBorder="1" applyAlignment="1" applyProtection="1">
      <alignment horizontal="left" vertical="center"/>
      <protection/>
    </xf>
    <xf numFmtId="165" fontId="14" fillId="0" borderId="19" xfId="0" applyNumberFormat="1" applyFont="1" applyFill="1" applyBorder="1" applyAlignment="1" applyProtection="1">
      <alignment horizontal="right" vertical="center"/>
      <protection/>
    </xf>
    <xf numFmtId="164" fontId="13" fillId="0" borderId="26" xfId="0" applyNumberFormat="1" applyFont="1" applyFill="1" applyBorder="1" applyAlignment="1" applyProtection="1">
      <alignment horizontal="left" vertical="center"/>
      <protection/>
    </xf>
    <xf numFmtId="164" fontId="14" fillId="0" borderId="19" xfId="0" applyNumberFormat="1" applyFont="1" applyFill="1" applyBorder="1" applyAlignment="1" applyProtection="1">
      <alignment horizontal="right" vertical="center"/>
      <protection/>
    </xf>
    <xf numFmtId="165" fontId="14" fillId="0" borderId="5" xfId="0" applyNumberFormat="1" applyFont="1" applyFill="1" applyBorder="1" applyAlignment="1" applyProtection="1">
      <alignment horizontal="right" vertical="center"/>
      <protection/>
    </xf>
    <xf numFmtId="164" fontId="14" fillId="0" borderId="5" xfId="0" applyNumberFormat="1" applyFont="1" applyFill="1" applyBorder="1" applyAlignment="1" applyProtection="1">
      <alignment horizontal="left" vertical="center"/>
      <protection/>
    </xf>
    <xf numFmtId="164" fontId="14" fillId="0" borderId="5" xfId="0" applyNumberFormat="1" applyFont="1" applyFill="1" applyBorder="1" applyAlignment="1" applyProtection="1">
      <alignment horizontal="right" vertical="center"/>
      <protection/>
    </xf>
    <xf numFmtId="164" fontId="13" fillId="0" borderId="23" xfId="0" applyNumberFormat="1" applyFont="1" applyFill="1" applyBorder="1" applyAlignment="1" applyProtection="1">
      <alignment horizontal="left" vertical="center"/>
      <protection/>
    </xf>
    <xf numFmtId="165" fontId="14" fillId="0" borderId="24" xfId="0" applyNumberFormat="1" applyFont="1" applyFill="1" applyBorder="1" applyAlignment="1" applyProtection="1">
      <alignment horizontal="right" vertical="center"/>
      <protection/>
    </xf>
    <xf numFmtId="164" fontId="13" fillId="0" borderId="24" xfId="0" applyNumberFormat="1" applyFont="1" applyFill="1" applyBorder="1" applyAlignment="1" applyProtection="1">
      <alignment horizontal="left" vertical="center"/>
      <protection/>
    </xf>
    <xf numFmtId="165" fontId="14" fillId="0" borderId="13" xfId="0" applyNumberFormat="1" applyFont="1" applyFill="1" applyBorder="1" applyAlignment="1" applyProtection="1">
      <alignment horizontal="right" vertical="center"/>
      <protection/>
    </xf>
    <xf numFmtId="164" fontId="13" fillId="0" borderId="19" xfId="0" applyNumberFormat="1" applyFont="1" applyFill="1" applyBorder="1" applyAlignment="1" applyProtection="1">
      <alignment horizontal="left" vertical="center"/>
      <protection/>
    </xf>
    <xf numFmtId="164" fontId="13" fillId="2" borderId="27" xfId="0" applyNumberFormat="1" applyFont="1" applyFill="1" applyBorder="1" applyAlignment="1" applyProtection="1">
      <alignment horizontal="left" vertical="center"/>
      <protection/>
    </xf>
    <xf numFmtId="165" fontId="13" fillId="2" borderId="24" xfId="0" applyNumberFormat="1" applyFont="1" applyFill="1" applyBorder="1" applyAlignment="1" applyProtection="1">
      <alignment horizontal="right" vertical="center"/>
      <protection/>
    </xf>
    <xf numFmtId="164" fontId="13" fillId="2" borderId="17" xfId="0" applyNumberFormat="1" applyFont="1" applyFill="1" applyBorder="1" applyAlignment="1" applyProtection="1">
      <alignment horizontal="left" vertical="center"/>
      <protection/>
    </xf>
    <xf numFmtId="165" fontId="13" fillId="2" borderId="19" xfId="0" applyNumberFormat="1" applyFont="1" applyFill="1" applyBorder="1" applyAlignment="1" applyProtection="1">
      <alignment horizontal="right" vertical="center"/>
      <protection/>
    </xf>
    <xf numFmtId="164" fontId="13" fillId="2" borderId="28" xfId="0" applyNumberFormat="1" applyFont="1" applyFill="1" applyBorder="1" applyAlignment="1" applyProtection="1">
      <alignment horizontal="left" vertical="center"/>
      <protection/>
    </xf>
    <xf numFmtId="164" fontId="13" fillId="2" borderId="18" xfId="0" applyNumberFormat="1" applyFont="1" applyFill="1" applyBorder="1" applyAlignment="1" applyProtection="1">
      <alignment horizontal="left" vertical="center"/>
      <protection/>
    </xf>
    <xf numFmtId="164" fontId="14" fillId="0" borderId="29" xfId="0" applyNumberFormat="1" applyFont="1" applyFill="1" applyBorder="1" applyAlignment="1" applyProtection="1">
      <alignment horizontal="left" vertical="center"/>
      <protection/>
    </xf>
    <xf numFmtId="164" fontId="14" fillId="0" borderId="30" xfId="0" applyNumberFormat="1" applyFont="1" applyFill="1" applyBorder="1" applyAlignment="1" applyProtection="1">
      <alignment horizontal="left" vertical="center"/>
      <protection/>
    </xf>
    <xf numFmtId="164" fontId="14" fillId="0" borderId="31" xfId="0" applyNumberFormat="1" applyFont="1" applyFill="1" applyBorder="1" applyAlignment="1" applyProtection="1">
      <alignment horizontal="left" vertical="center"/>
      <protection/>
    </xf>
    <xf numFmtId="164" fontId="14" fillId="0" borderId="32" xfId="0" applyNumberFormat="1" applyFont="1" applyFill="1" applyBorder="1" applyAlignment="1" applyProtection="1">
      <alignment horizontal="left" vertical="center"/>
      <protection/>
    </xf>
    <xf numFmtId="164" fontId="14" fillId="0" borderId="33" xfId="0" applyNumberFormat="1" applyFont="1" applyFill="1" applyBorder="1" applyAlignment="1" applyProtection="1">
      <alignment horizontal="left" vertical="center"/>
      <protection/>
    </xf>
    <xf numFmtId="164" fontId="14" fillId="0" borderId="1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56"/>
  <sheetViews>
    <sheetView tabSelected="1" showOutlineSymbols="0" workbookViewId="0" topLeftCell="A1">
      <pane ySplit="11" topLeftCell="A315" activePane="bottomLeft" state="frozen"/>
      <selection pane="topLeft" activeCell="A1" sqref="A1"/>
      <selection pane="bottomLeft" activeCell="C335" sqref="C335"/>
    </sheetView>
  </sheetViews>
  <sheetFormatPr defaultColWidth="9.33203125" defaultRowHeight="15" customHeight="1"/>
  <cols>
    <col min="1" max="1" width="4.66015625" style="1" customWidth="1"/>
    <col min="2" max="2" width="20.83203125" style="1" customWidth="1"/>
    <col min="3" max="3" width="65.83203125" style="1" customWidth="1"/>
    <col min="4" max="4" width="104.66015625" style="1" customWidth="1"/>
    <col min="5" max="5" width="8" style="1" customWidth="1"/>
    <col min="6" max="6" width="15" style="1" customWidth="1"/>
    <col min="7" max="7" width="14" style="1" customWidth="1"/>
    <col min="8" max="10" width="18.33203125" style="1" customWidth="1"/>
    <col min="11" max="12" width="13.66015625" style="1" customWidth="1"/>
    <col min="13" max="13" width="15.66015625" style="1" customWidth="1"/>
    <col min="14" max="24" width="14.16015625" style="0" customWidth="1"/>
    <col min="25" max="66" width="14.16015625" style="1" hidden="1" customWidth="1"/>
    <col min="67" max="74" width="14.16015625" style="1" customWidth="1"/>
    <col min="75" max="16384" width="14.16015625" style="0" customWidth="1"/>
  </cols>
  <sheetData>
    <row r="1" spans="1:4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S1" s="3">
        <f>SUM(AJ1:AJ2)</f>
        <v>0</v>
      </c>
      <c r="AT1" s="3">
        <f>SUM(AK1:AK2)</f>
        <v>0</v>
      </c>
      <c r="AU1" s="3">
        <f>SUM(AL1:AL2)</f>
        <v>0</v>
      </c>
    </row>
    <row r="2" spans="1:13" ht="15" customHeight="1">
      <c r="A2" s="4" t="s">
        <v>1</v>
      </c>
      <c r="B2" s="4"/>
      <c r="C2" s="5" t="s">
        <v>2</v>
      </c>
      <c r="D2" s="6" t="s">
        <v>3</v>
      </c>
      <c r="E2" s="6" t="s">
        <v>4</v>
      </c>
      <c r="F2" s="6"/>
      <c r="G2" s="7" t="s">
        <v>5</v>
      </c>
      <c r="H2" s="8" t="s">
        <v>6</v>
      </c>
      <c r="I2" s="8"/>
      <c r="J2" s="8"/>
      <c r="K2" s="8"/>
      <c r="L2" s="8"/>
      <c r="M2" s="8"/>
    </row>
    <row r="3" spans="1:13" ht="15" customHeight="1">
      <c r="A3" s="4"/>
      <c r="B3" s="4"/>
      <c r="C3" s="5"/>
      <c r="D3" s="6"/>
      <c r="E3" s="6"/>
      <c r="F3" s="6"/>
      <c r="G3" s="7"/>
      <c r="H3" s="7"/>
      <c r="I3" s="8"/>
      <c r="J3" s="8"/>
      <c r="K3" s="8"/>
      <c r="L3" s="8"/>
      <c r="M3" s="8"/>
    </row>
    <row r="4" spans="1:13" ht="15" customHeight="1">
      <c r="A4" s="9" t="s">
        <v>7</v>
      </c>
      <c r="B4" s="9"/>
      <c r="C4" s="10" t="s">
        <v>8</v>
      </c>
      <c r="D4" s="11" t="s">
        <v>9</v>
      </c>
      <c r="E4" s="11" t="s">
        <v>4</v>
      </c>
      <c r="F4" s="11"/>
      <c r="G4" s="10" t="s">
        <v>10</v>
      </c>
      <c r="H4" s="12" t="s">
        <v>11</v>
      </c>
      <c r="I4" s="12"/>
      <c r="J4" s="12"/>
      <c r="K4" s="12"/>
      <c r="L4" s="12"/>
      <c r="M4" s="12"/>
    </row>
    <row r="5" spans="1:13" ht="15" customHeight="1">
      <c r="A5" s="9"/>
      <c r="B5" s="9"/>
      <c r="C5" s="10"/>
      <c r="D5" s="10"/>
      <c r="E5" s="10"/>
      <c r="F5" s="11"/>
      <c r="G5" s="10"/>
      <c r="H5" s="10"/>
      <c r="I5" s="12"/>
      <c r="J5" s="12"/>
      <c r="K5" s="12"/>
      <c r="L5" s="12"/>
      <c r="M5" s="12"/>
    </row>
    <row r="6" spans="1:13" ht="15" customHeight="1">
      <c r="A6" s="9" t="s">
        <v>12</v>
      </c>
      <c r="B6" s="9"/>
      <c r="C6" s="10" t="s">
        <v>13</v>
      </c>
      <c r="D6" s="11" t="s">
        <v>14</v>
      </c>
      <c r="E6" s="11" t="s">
        <v>4</v>
      </c>
      <c r="F6" s="11"/>
      <c r="G6" s="10" t="s">
        <v>15</v>
      </c>
      <c r="H6" s="12" t="s">
        <v>16</v>
      </c>
      <c r="I6" s="12"/>
      <c r="J6" s="12"/>
      <c r="K6" s="12"/>
      <c r="L6" s="12"/>
      <c r="M6" s="12"/>
    </row>
    <row r="7" spans="1:13" ht="15" customHeight="1">
      <c r="A7" s="9"/>
      <c r="B7" s="9"/>
      <c r="C7" s="10"/>
      <c r="D7" s="10"/>
      <c r="E7" s="10"/>
      <c r="F7" s="11"/>
      <c r="G7" s="10"/>
      <c r="H7" s="10"/>
      <c r="I7" s="12"/>
      <c r="J7" s="12"/>
      <c r="K7" s="12"/>
      <c r="L7" s="12"/>
      <c r="M7" s="12"/>
    </row>
    <row r="8" spans="1:13" ht="15" customHeight="1">
      <c r="A8" s="9" t="s">
        <v>17</v>
      </c>
      <c r="B8" s="9"/>
      <c r="C8" s="10" t="s">
        <v>4</v>
      </c>
      <c r="D8" s="11" t="s">
        <v>18</v>
      </c>
      <c r="E8" s="13">
        <v>45408</v>
      </c>
      <c r="F8" s="13"/>
      <c r="G8" s="10" t="s">
        <v>19</v>
      </c>
      <c r="H8" s="12" t="s">
        <v>20</v>
      </c>
      <c r="I8" s="12"/>
      <c r="J8" s="12"/>
      <c r="K8" s="12"/>
      <c r="L8" s="12"/>
      <c r="M8" s="12"/>
    </row>
    <row r="9" spans="1:13" ht="15" customHeight="1">
      <c r="A9" s="9"/>
      <c r="B9" s="9"/>
      <c r="C9" s="10"/>
      <c r="D9" s="10"/>
      <c r="E9" s="10"/>
      <c r="F9" s="13"/>
      <c r="G9" s="10"/>
      <c r="H9" s="10"/>
      <c r="I9" s="12"/>
      <c r="J9" s="12"/>
      <c r="K9" s="12"/>
      <c r="L9" s="12"/>
      <c r="M9" s="12"/>
    </row>
    <row r="10" spans="1:64" ht="15" customHeight="1">
      <c r="A10" s="14" t="s">
        <v>21</v>
      </c>
      <c r="B10" s="15" t="s">
        <v>22</v>
      </c>
      <c r="C10" s="15" t="s">
        <v>23</v>
      </c>
      <c r="D10" s="15"/>
      <c r="E10" s="15" t="s">
        <v>24</v>
      </c>
      <c r="F10" s="16" t="s">
        <v>25</v>
      </c>
      <c r="G10" s="17" t="s">
        <v>26</v>
      </c>
      <c r="H10" s="18" t="s">
        <v>27</v>
      </c>
      <c r="I10" s="18"/>
      <c r="J10" s="18"/>
      <c r="K10" s="19" t="s">
        <v>28</v>
      </c>
      <c r="L10" s="19"/>
      <c r="M10" s="20" t="s">
        <v>29</v>
      </c>
      <c r="BK10" s="21" t="s">
        <v>30</v>
      </c>
      <c r="BL10" s="22" t="s">
        <v>31</v>
      </c>
    </row>
    <row r="11" spans="1:62" ht="15" customHeight="1">
      <c r="A11" s="23" t="s">
        <v>4</v>
      </c>
      <c r="B11" s="24" t="s">
        <v>4</v>
      </c>
      <c r="C11" s="25" t="s">
        <v>32</v>
      </c>
      <c r="D11" s="25"/>
      <c r="E11" s="24" t="s">
        <v>4</v>
      </c>
      <c r="F11" s="24" t="s">
        <v>4</v>
      </c>
      <c r="G11" s="26" t="s">
        <v>33</v>
      </c>
      <c r="H11" s="27" t="s">
        <v>34</v>
      </c>
      <c r="I11" s="28" t="s">
        <v>35</v>
      </c>
      <c r="J11" s="29" t="s">
        <v>36</v>
      </c>
      <c r="K11" s="28" t="s">
        <v>37</v>
      </c>
      <c r="L11" s="26" t="s">
        <v>36</v>
      </c>
      <c r="M11" s="27" t="s">
        <v>38</v>
      </c>
      <c r="Z11" s="21" t="s">
        <v>39</v>
      </c>
      <c r="AA11" s="21" t="s">
        <v>40</v>
      </c>
      <c r="AB11" s="21" t="s">
        <v>41</v>
      </c>
      <c r="AC11" s="21" t="s">
        <v>42</v>
      </c>
      <c r="AD11" s="21" t="s">
        <v>43</v>
      </c>
      <c r="AE11" s="21" t="s">
        <v>44</v>
      </c>
      <c r="AF11" s="21" t="s">
        <v>45</v>
      </c>
      <c r="AG11" s="21" t="s">
        <v>46</v>
      </c>
      <c r="AH11" s="21" t="s">
        <v>47</v>
      </c>
      <c r="BH11" s="21" t="s">
        <v>48</v>
      </c>
      <c r="BI11" s="21" t="s">
        <v>49</v>
      </c>
      <c r="BJ11" s="21" t="s">
        <v>50</v>
      </c>
    </row>
    <row r="12" spans="1:47" ht="15" customHeight="1">
      <c r="A12" s="30"/>
      <c r="B12" s="31" t="s">
        <v>51</v>
      </c>
      <c r="C12" s="31" t="s">
        <v>52</v>
      </c>
      <c r="D12" s="31"/>
      <c r="E12" s="32" t="s">
        <v>4</v>
      </c>
      <c r="F12" s="32" t="s">
        <v>4</v>
      </c>
      <c r="G12" s="32" t="s">
        <v>4</v>
      </c>
      <c r="H12" s="3">
        <f>SUM(H13:H23)</f>
        <v>0</v>
      </c>
      <c r="I12" s="3">
        <f>SUM(I13:I23)</f>
        <v>0</v>
      </c>
      <c r="J12" s="3">
        <f>SUM(J13:J23)</f>
        <v>0</v>
      </c>
      <c r="K12" s="21"/>
      <c r="L12" s="3">
        <f>SUM(L13:L23)</f>
        <v>0</v>
      </c>
      <c r="M12" s="33"/>
      <c r="AI12" s="21"/>
      <c r="AS12" s="3">
        <f>SUM(AJ13:AJ23)</f>
        <v>0</v>
      </c>
      <c r="AT12" s="3">
        <f>SUM(AK13:AK23)</f>
        <v>0</v>
      </c>
      <c r="AU12" s="3">
        <f>SUM(AL13:AL23)</f>
        <v>0</v>
      </c>
    </row>
    <row r="13" spans="1:64" ht="15" customHeight="1">
      <c r="A13" s="34" t="s">
        <v>53</v>
      </c>
      <c r="B13" s="11" t="s">
        <v>54</v>
      </c>
      <c r="C13" s="11" t="s">
        <v>55</v>
      </c>
      <c r="D13" s="11"/>
      <c r="E13" s="11" t="s">
        <v>56</v>
      </c>
      <c r="F13" s="35">
        <v>1</v>
      </c>
      <c r="G13" s="35">
        <v>0</v>
      </c>
      <c r="H13" s="35">
        <f>F13*AO13</f>
        <v>0</v>
      </c>
      <c r="I13" s="35">
        <f>F13*AP13</f>
        <v>0</v>
      </c>
      <c r="J13" s="35">
        <f>F13*G13</f>
        <v>0</v>
      </c>
      <c r="K13" s="35">
        <v>0</v>
      </c>
      <c r="L13" s="35">
        <f>F13*K13</f>
        <v>0</v>
      </c>
      <c r="M13" s="36" t="s">
        <v>57</v>
      </c>
      <c r="Z13" s="35">
        <f>IF(AQ13="5",BJ13,0)</f>
        <v>0</v>
      </c>
      <c r="AB13" s="35">
        <f>IF(AQ13="1",BH13,0)</f>
        <v>0</v>
      </c>
      <c r="AC13" s="35">
        <f>IF(AQ13="1",BI13,0)</f>
        <v>0</v>
      </c>
      <c r="AD13" s="35">
        <f>IF(AQ13="7",BH13,0)</f>
        <v>0</v>
      </c>
      <c r="AE13" s="35">
        <f>IF(AQ13="7",BI13,0)</f>
        <v>0</v>
      </c>
      <c r="AF13" s="35">
        <f>IF(AQ13="2",BH13,0)</f>
        <v>0</v>
      </c>
      <c r="AG13" s="35">
        <f>IF(AQ13="2",BI13,0)</f>
        <v>0</v>
      </c>
      <c r="AH13" s="35">
        <f>IF(AQ13="0",BJ13,0)</f>
        <v>0</v>
      </c>
      <c r="AI13" s="21"/>
      <c r="AJ13" s="35">
        <f>IF(AN13=0,J13,0)</f>
        <v>0</v>
      </c>
      <c r="AK13" s="35">
        <f>IF(AN13=15,J13,0)</f>
        <v>0</v>
      </c>
      <c r="AL13" s="35">
        <f>IF(AN13=21,J13,0)</f>
        <v>0</v>
      </c>
      <c r="AN13" s="35">
        <v>15</v>
      </c>
      <c r="AO13" s="35">
        <f>G13*0</f>
        <v>0</v>
      </c>
      <c r="AP13" s="35">
        <f>G13*(1-0)</f>
        <v>0</v>
      </c>
      <c r="AQ13" s="37" t="s">
        <v>53</v>
      </c>
      <c r="AV13" s="35">
        <f>AW13+AX13</f>
        <v>0</v>
      </c>
      <c r="AW13" s="35">
        <f>F13*AO13</f>
        <v>0</v>
      </c>
      <c r="AX13" s="35">
        <f>F13*AP13</f>
        <v>0</v>
      </c>
      <c r="AY13" s="37" t="s">
        <v>58</v>
      </c>
      <c r="AZ13" s="37" t="s">
        <v>58</v>
      </c>
      <c r="BA13" s="21" t="s">
        <v>59</v>
      </c>
      <c r="BC13" s="35">
        <f>AW13+AX13</f>
        <v>0</v>
      </c>
      <c r="BD13" s="35">
        <f>G13/(100-BE13)*100</f>
        <v>0</v>
      </c>
      <c r="BE13" s="35">
        <v>0</v>
      </c>
      <c r="BF13" s="35">
        <f>L13</f>
        <v>0</v>
      </c>
      <c r="BH13" s="35">
        <f>F13*AO13</f>
        <v>0</v>
      </c>
      <c r="BI13" s="35">
        <f>F13*AP13</f>
        <v>0</v>
      </c>
      <c r="BJ13" s="35">
        <f>F13*G13</f>
        <v>0</v>
      </c>
      <c r="BK13" s="35"/>
      <c r="BL13" s="35">
        <v>0</v>
      </c>
    </row>
    <row r="14" spans="1:13" ht="15" customHeight="1">
      <c r="A14" s="38"/>
      <c r="C14" s="39" t="s">
        <v>53</v>
      </c>
      <c r="D14" s="39"/>
      <c r="F14" s="40">
        <v>1</v>
      </c>
      <c r="M14" s="41"/>
    </row>
    <row r="15" spans="1:64" ht="15" customHeight="1">
      <c r="A15" s="34" t="s">
        <v>60</v>
      </c>
      <c r="B15" s="11" t="s">
        <v>61</v>
      </c>
      <c r="C15" s="11" t="s">
        <v>62</v>
      </c>
      <c r="D15" s="11"/>
      <c r="E15" s="11" t="s">
        <v>56</v>
      </c>
      <c r="F15" s="35">
        <v>1</v>
      </c>
      <c r="G15" s="35">
        <v>0</v>
      </c>
      <c r="H15" s="35">
        <f>F15*AO15</f>
        <v>0</v>
      </c>
      <c r="I15" s="35">
        <f>F15*AP15</f>
        <v>0</v>
      </c>
      <c r="J15" s="35">
        <f>F15*G15</f>
        <v>0</v>
      </c>
      <c r="K15" s="35">
        <v>0</v>
      </c>
      <c r="L15" s="35">
        <f>F15*K15</f>
        <v>0</v>
      </c>
      <c r="M15" s="36" t="s">
        <v>57</v>
      </c>
      <c r="Z15" s="35">
        <f>IF(AQ15="5",BJ15,0)</f>
        <v>0</v>
      </c>
      <c r="AB15" s="35">
        <f>IF(AQ15="1",BH15,0)</f>
        <v>0</v>
      </c>
      <c r="AC15" s="35">
        <f>IF(AQ15="1",BI15,0)</f>
        <v>0</v>
      </c>
      <c r="AD15" s="35">
        <f>IF(AQ15="7",BH15,0)</f>
        <v>0</v>
      </c>
      <c r="AE15" s="35">
        <f>IF(AQ15="7",BI15,0)</f>
        <v>0</v>
      </c>
      <c r="AF15" s="35">
        <f>IF(AQ15="2",BH15,0)</f>
        <v>0</v>
      </c>
      <c r="AG15" s="35">
        <f>IF(AQ15="2",BI15,0)</f>
        <v>0</v>
      </c>
      <c r="AH15" s="35">
        <f>IF(AQ15="0",BJ15,0)</f>
        <v>0</v>
      </c>
      <c r="AI15" s="21"/>
      <c r="AJ15" s="35">
        <f>IF(AN15=0,J15,0)</f>
        <v>0</v>
      </c>
      <c r="AK15" s="35">
        <f>IF(AN15=15,J15,0)</f>
        <v>0</v>
      </c>
      <c r="AL15" s="35">
        <f>IF(AN15=21,J15,0)</f>
        <v>0</v>
      </c>
      <c r="AN15" s="35">
        <v>15</v>
      </c>
      <c r="AO15" s="35">
        <f>G15*0</f>
        <v>0</v>
      </c>
      <c r="AP15" s="35">
        <f>G15*(1-0)</f>
        <v>0</v>
      </c>
      <c r="AQ15" s="37" t="s">
        <v>53</v>
      </c>
      <c r="AV15" s="35">
        <f>AW15+AX15</f>
        <v>0</v>
      </c>
      <c r="AW15" s="35">
        <f>F15*AO15</f>
        <v>0</v>
      </c>
      <c r="AX15" s="35">
        <f>F15*AP15</f>
        <v>0</v>
      </c>
      <c r="AY15" s="37" t="s">
        <v>58</v>
      </c>
      <c r="AZ15" s="37" t="s">
        <v>58</v>
      </c>
      <c r="BA15" s="21" t="s">
        <v>59</v>
      </c>
      <c r="BC15" s="35">
        <f>AW15+AX15</f>
        <v>0</v>
      </c>
      <c r="BD15" s="35">
        <f>G15/(100-BE15)*100</f>
        <v>0</v>
      </c>
      <c r="BE15" s="35">
        <v>0</v>
      </c>
      <c r="BF15" s="35">
        <f>L15</f>
        <v>0</v>
      </c>
      <c r="BH15" s="35">
        <f>F15*AO15</f>
        <v>0</v>
      </c>
      <c r="BI15" s="35">
        <f>F15*AP15</f>
        <v>0</v>
      </c>
      <c r="BJ15" s="35">
        <f>F15*G15</f>
        <v>0</v>
      </c>
      <c r="BK15" s="35"/>
      <c r="BL15" s="35">
        <v>0</v>
      </c>
    </row>
    <row r="16" spans="1:13" ht="15" customHeight="1">
      <c r="A16" s="38"/>
      <c r="C16" s="39" t="s">
        <v>53</v>
      </c>
      <c r="D16" s="39"/>
      <c r="F16" s="40">
        <v>1</v>
      </c>
      <c r="M16" s="41"/>
    </row>
    <row r="17" spans="1:64" ht="15" customHeight="1">
      <c r="A17" s="34" t="s">
        <v>63</v>
      </c>
      <c r="B17" s="11" t="s">
        <v>64</v>
      </c>
      <c r="C17" s="11" t="s">
        <v>65</v>
      </c>
      <c r="D17" s="11"/>
      <c r="E17" s="11" t="s">
        <v>56</v>
      </c>
      <c r="F17" s="35">
        <v>1</v>
      </c>
      <c r="G17" s="35">
        <v>0</v>
      </c>
      <c r="H17" s="35">
        <f>F17*AO17</f>
        <v>0</v>
      </c>
      <c r="I17" s="35">
        <f>F17*AP17</f>
        <v>0</v>
      </c>
      <c r="J17" s="35">
        <f>F17*G17</f>
        <v>0</v>
      </c>
      <c r="K17" s="35">
        <v>0</v>
      </c>
      <c r="L17" s="35">
        <f>F17*K17</f>
        <v>0</v>
      </c>
      <c r="M17" s="36" t="s">
        <v>57</v>
      </c>
      <c r="Z17" s="35">
        <f>IF(AQ17="5",BJ17,0)</f>
        <v>0</v>
      </c>
      <c r="AB17" s="35">
        <f>IF(AQ17="1",BH17,0)</f>
        <v>0</v>
      </c>
      <c r="AC17" s="35">
        <f>IF(AQ17="1",BI17,0)</f>
        <v>0</v>
      </c>
      <c r="AD17" s="35">
        <f>IF(AQ17="7",BH17,0)</f>
        <v>0</v>
      </c>
      <c r="AE17" s="35">
        <f>IF(AQ17="7",BI17,0)</f>
        <v>0</v>
      </c>
      <c r="AF17" s="35">
        <f>IF(AQ17="2",BH17,0)</f>
        <v>0</v>
      </c>
      <c r="AG17" s="35">
        <f>IF(AQ17="2",BI17,0)</f>
        <v>0</v>
      </c>
      <c r="AH17" s="35">
        <f>IF(AQ17="0",BJ17,0)</f>
        <v>0</v>
      </c>
      <c r="AI17" s="21"/>
      <c r="AJ17" s="35">
        <f>IF(AN17=0,J17,0)</f>
        <v>0</v>
      </c>
      <c r="AK17" s="35">
        <f>IF(AN17=15,J17,0)</f>
        <v>0</v>
      </c>
      <c r="AL17" s="35">
        <f>IF(AN17=21,J17,0)</f>
        <v>0</v>
      </c>
      <c r="AN17" s="35">
        <v>15</v>
      </c>
      <c r="AO17" s="35">
        <f>G17*0</f>
        <v>0</v>
      </c>
      <c r="AP17" s="35">
        <f>G17*(1-0)</f>
        <v>0</v>
      </c>
      <c r="AQ17" s="37" t="s">
        <v>53</v>
      </c>
      <c r="AV17" s="35">
        <f>AW17+AX17</f>
        <v>0</v>
      </c>
      <c r="AW17" s="35">
        <f>F17*AO17</f>
        <v>0</v>
      </c>
      <c r="AX17" s="35">
        <f>F17*AP17</f>
        <v>0</v>
      </c>
      <c r="AY17" s="37" t="s">
        <v>58</v>
      </c>
      <c r="AZ17" s="37" t="s">
        <v>58</v>
      </c>
      <c r="BA17" s="21" t="s">
        <v>59</v>
      </c>
      <c r="BC17" s="35">
        <f>AW17+AX17</f>
        <v>0</v>
      </c>
      <c r="BD17" s="35">
        <f>G17/(100-BE17)*100</f>
        <v>0</v>
      </c>
      <c r="BE17" s="35">
        <v>0</v>
      </c>
      <c r="BF17" s="35">
        <f>L17</f>
        <v>0</v>
      </c>
      <c r="BH17" s="35">
        <f>F17*AO17</f>
        <v>0</v>
      </c>
      <c r="BI17" s="35">
        <f>F17*AP17</f>
        <v>0</v>
      </c>
      <c r="BJ17" s="35">
        <f>F17*G17</f>
        <v>0</v>
      </c>
      <c r="BK17" s="35"/>
      <c r="BL17" s="35">
        <v>0</v>
      </c>
    </row>
    <row r="18" spans="1:13" ht="15" customHeight="1">
      <c r="A18" s="38"/>
      <c r="C18" s="39" t="s">
        <v>53</v>
      </c>
      <c r="D18" s="39"/>
      <c r="F18" s="40">
        <v>1</v>
      </c>
      <c r="M18" s="41"/>
    </row>
    <row r="19" spans="1:64" ht="15" customHeight="1">
      <c r="A19" s="34" t="s">
        <v>66</v>
      </c>
      <c r="B19" s="11" t="s">
        <v>67</v>
      </c>
      <c r="C19" s="11" t="s">
        <v>68</v>
      </c>
      <c r="D19" s="11"/>
      <c r="E19" s="11" t="s">
        <v>56</v>
      </c>
      <c r="F19" s="35">
        <v>1</v>
      </c>
      <c r="G19" s="35">
        <v>0</v>
      </c>
      <c r="H19" s="35">
        <f>F19*AO19</f>
        <v>0</v>
      </c>
      <c r="I19" s="35">
        <f>F19*AP19</f>
        <v>0</v>
      </c>
      <c r="J19" s="35">
        <f>F19*G19</f>
        <v>0</v>
      </c>
      <c r="K19" s="35">
        <v>0</v>
      </c>
      <c r="L19" s="35">
        <f>F19*K19</f>
        <v>0</v>
      </c>
      <c r="M19" s="36" t="s">
        <v>57</v>
      </c>
      <c r="Z19" s="35">
        <f>IF(AQ19="5",BJ19,0)</f>
        <v>0</v>
      </c>
      <c r="AB19" s="35">
        <f>IF(AQ19="1",BH19,0)</f>
        <v>0</v>
      </c>
      <c r="AC19" s="35">
        <f>IF(AQ19="1",BI19,0)</f>
        <v>0</v>
      </c>
      <c r="AD19" s="35">
        <f>IF(AQ19="7",BH19,0)</f>
        <v>0</v>
      </c>
      <c r="AE19" s="35">
        <f>IF(AQ19="7",BI19,0)</f>
        <v>0</v>
      </c>
      <c r="AF19" s="35">
        <f>IF(AQ19="2",BH19,0)</f>
        <v>0</v>
      </c>
      <c r="AG19" s="35">
        <f>IF(AQ19="2",BI19,0)</f>
        <v>0</v>
      </c>
      <c r="AH19" s="35">
        <f>IF(AQ19="0",BJ19,0)</f>
        <v>0</v>
      </c>
      <c r="AI19" s="21"/>
      <c r="AJ19" s="35">
        <f>IF(AN19=0,J19,0)</f>
        <v>0</v>
      </c>
      <c r="AK19" s="35">
        <f>IF(AN19=15,J19,0)</f>
        <v>0</v>
      </c>
      <c r="AL19" s="35">
        <f>IF(AN19=21,J19,0)</f>
        <v>0</v>
      </c>
      <c r="AN19" s="35">
        <v>15</v>
      </c>
      <c r="AO19" s="35">
        <f>G19*0</f>
        <v>0</v>
      </c>
      <c r="AP19" s="35">
        <f>G19*(1-0)</f>
        <v>0</v>
      </c>
      <c r="AQ19" s="37" t="s">
        <v>53</v>
      </c>
      <c r="AV19" s="35">
        <f>AW19+AX19</f>
        <v>0</v>
      </c>
      <c r="AW19" s="35">
        <f>F19*AO19</f>
        <v>0</v>
      </c>
      <c r="AX19" s="35">
        <f>F19*AP19</f>
        <v>0</v>
      </c>
      <c r="AY19" s="37" t="s">
        <v>58</v>
      </c>
      <c r="AZ19" s="37" t="s">
        <v>58</v>
      </c>
      <c r="BA19" s="21" t="s">
        <v>59</v>
      </c>
      <c r="BC19" s="35">
        <f>AW19+AX19</f>
        <v>0</v>
      </c>
      <c r="BD19" s="35">
        <f>G19/(100-BE19)*100</f>
        <v>0</v>
      </c>
      <c r="BE19" s="35">
        <v>0</v>
      </c>
      <c r="BF19" s="35">
        <f>L19</f>
        <v>0</v>
      </c>
      <c r="BH19" s="35">
        <f>F19*AO19</f>
        <v>0</v>
      </c>
      <c r="BI19" s="35">
        <f>F19*AP19</f>
        <v>0</v>
      </c>
      <c r="BJ19" s="35">
        <f>F19*G19</f>
        <v>0</v>
      </c>
      <c r="BK19" s="35"/>
      <c r="BL19" s="35">
        <v>0</v>
      </c>
    </row>
    <row r="20" spans="1:13" ht="15" customHeight="1">
      <c r="A20" s="38"/>
      <c r="C20" s="39" t="s">
        <v>53</v>
      </c>
      <c r="D20" s="39" t="s">
        <v>69</v>
      </c>
      <c r="F20" s="40">
        <v>1</v>
      </c>
      <c r="M20" s="41"/>
    </row>
    <row r="21" spans="1:64" ht="15" customHeight="1">
      <c r="A21" s="34" t="s">
        <v>70</v>
      </c>
      <c r="B21" s="11" t="s">
        <v>71</v>
      </c>
      <c r="C21" s="11" t="s">
        <v>72</v>
      </c>
      <c r="D21" s="11"/>
      <c r="E21" s="11" t="s">
        <v>56</v>
      </c>
      <c r="F21" s="35">
        <v>1</v>
      </c>
      <c r="G21" s="35">
        <v>0</v>
      </c>
      <c r="H21" s="35">
        <f>F21*AO21</f>
        <v>0</v>
      </c>
      <c r="I21" s="35">
        <f>F21*AP21</f>
        <v>0</v>
      </c>
      <c r="J21" s="35">
        <f>F21*G21</f>
        <v>0</v>
      </c>
      <c r="K21" s="35">
        <v>0</v>
      </c>
      <c r="L21" s="35">
        <f>F21*K21</f>
        <v>0</v>
      </c>
      <c r="M21" s="36" t="s">
        <v>57</v>
      </c>
      <c r="Z21" s="35">
        <f>IF(AQ21="5",BJ21,0)</f>
        <v>0</v>
      </c>
      <c r="AB21" s="35">
        <f>IF(AQ21="1",BH21,0)</f>
        <v>0</v>
      </c>
      <c r="AC21" s="35">
        <f>IF(AQ21="1",BI21,0)</f>
        <v>0</v>
      </c>
      <c r="AD21" s="35">
        <f>IF(AQ21="7",BH21,0)</f>
        <v>0</v>
      </c>
      <c r="AE21" s="35">
        <f>IF(AQ21="7",BI21,0)</f>
        <v>0</v>
      </c>
      <c r="AF21" s="35">
        <f>IF(AQ21="2",BH21,0)</f>
        <v>0</v>
      </c>
      <c r="AG21" s="35">
        <f>IF(AQ21="2",BI21,0)</f>
        <v>0</v>
      </c>
      <c r="AH21" s="35">
        <f>IF(AQ21="0",BJ21,0)</f>
        <v>0</v>
      </c>
      <c r="AI21" s="21"/>
      <c r="AJ21" s="35">
        <f>IF(AN21=0,J21,0)</f>
        <v>0</v>
      </c>
      <c r="AK21" s="35">
        <f>IF(AN21=15,J21,0)</f>
        <v>0</v>
      </c>
      <c r="AL21" s="35">
        <f>IF(AN21=21,J21,0)</f>
        <v>0</v>
      </c>
      <c r="AN21" s="35">
        <v>15</v>
      </c>
      <c r="AO21" s="35">
        <f>G21*0</f>
        <v>0</v>
      </c>
      <c r="AP21" s="35">
        <f>G21*(1-0)</f>
        <v>0</v>
      </c>
      <c r="AQ21" s="37" t="s">
        <v>53</v>
      </c>
      <c r="AV21" s="35">
        <f>AW21+AX21</f>
        <v>0</v>
      </c>
      <c r="AW21" s="35">
        <f>F21*AO21</f>
        <v>0</v>
      </c>
      <c r="AX21" s="35">
        <f>F21*AP21</f>
        <v>0</v>
      </c>
      <c r="AY21" s="37" t="s">
        <v>58</v>
      </c>
      <c r="AZ21" s="37" t="s">
        <v>58</v>
      </c>
      <c r="BA21" s="21" t="s">
        <v>59</v>
      </c>
      <c r="BC21" s="35">
        <f>AW21+AX21</f>
        <v>0</v>
      </c>
      <c r="BD21" s="35">
        <f>G21/(100-BE21)*100</f>
        <v>0</v>
      </c>
      <c r="BE21" s="35">
        <v>0</v>
      </c>
      <c r="BF21" s="35">
        <f>L21</f>
        <v>0</v>
      </c>
      <c r="BH21" s="35">
        <f>F21*AO21</f>
        <v>0</v>
      </c>
      <c r="BI21" s="35">
        <f>F21*AP21</f>
        <v>0</v>
      </c>
      <c r="BJ21" s="35">
        <f>F21*G21</f>
        <v>0</v>
      </c>
      <c r="BK21" s="35"/>
      <c r="BL21" s="35">
        <v>0</v>
      </c>
    </row>
    <row r="22" spans="1:13" ht="15" customHeight="1">
      <c r="A22" s="38"/>
      <c r="C22" s="39" t="s">
        <v>53</v>
      </c>
      <c r="D22" s="39" t="s">
        <v>73</v>
      </c>
      <c r="F22" s="40">
        <v>1</v>
      </c>
      <c r="M22" s="41"/>
    </row>
    <row r="23" spans="1:64" ht="15" customHeight="1">
      <c r="A23" s="34" t="s">
        <v>74</v>
      </c>
      <c r="B23" s="11" t="s">
        <v>75</v>
      </c>
      <c r="C23" s="11" t="s">
        <v>76</v>
      </c>
      <c r="D23" s="11"/>
      <c r="E23" s="11" t="s">
        <v>56</v>
      </c>
      <c r="F23" s="35">
        <v>1</v>
      </c>
      <c r="G23" s="35">
        <v>0</v>
      </c>
      <c r="H23" s="35">
        <f>F23*AO23</f>
        <v>0</v>
      </c>
      <c r="I23" s="35">
        <f>F23*AP23</f>
        <v>0</v>
      </c>
      <c r="J23" s="35">
        <f>F23*G23</f>
        <v>0</v>
      </c>
      <c r="K23" s="35">
        <v>0</v>
      </c>
      <c r="L23" s="35">
        <f>F23*K23</f>
        <v>0</v>
      </c>
      <c r="M23" s="36" t="s">
        <v>57</v>
      </c>
      <c r="Z23" s="35">
        <f>IF(AQ23="5",BJ23,0)</f>
        <v>0</v>
      </c>
      <c r="AB23" s="35">
        <f>IF(AQ23="1",BH23,0)</f>
        <v>0</v>
      </c>
      <c r="AC23" s="35">
        <f>IF(AQ23="1",BI23,0)</f>
        <v>0</v>
      </c>
      <c r="AD23" s="35">
        <f>IF(AQ23="7",BH23,0)</f>
        <v>0</v>
      </c>
      <c r="AE23" s="35">
        <f>IF(AQ23="7",BI23,0)</f>
        <v>0</v>
      </c>
      <c r="AF23" s="35">
        <f>IF(AQ23="2",BH23,0)</f>
        <v>0</v>
      </c>
      <c r="AG23" s="35">
        <f>IF(AQ23="2",BI23,0)</f>
        <v>0</v>
      </c>
      <c r="AH23" s="35">
        <f>IF(AQ23="0",BJ23,0)</f>
        <v>0</v>
      </c>
      <c r="AI23" s="21"/>
      <c r="AJ23" s="35">
        <f>IF(AN23=0,J23,0)</f>
        <v>0</v>
      </c>
      <c r="AK23" s="35">
        <f>IF(AN23=15,J23,0)</f>
        <v>0</v>
      </c>
      <c r="AL23" s="35">
        <f>IF(AN23=21,J23,0)</f>
        <v>0</v>
      </c>
      <c r="AN23" s="35">
        <v>15</v>
      </c>
      <c r="AO23" s="35">
        <f>G23*0</f>
        <v>0</v>
      </c>
      <c r="AP23" s="35">
        <f>G23*(1-0)</f>
        <v>0</v>
      </c>
      <c r="AQ23" s="37" t="s">
        <v>53</v>
      </c>
      <c r="AV23" s="35">
        <f>AW23+AX23</f>
        <v>0</v>
      </c>
      <c r="AW23" s="35">
        <f>F23*AO23</f>
        <v>0</v>
      </c>
      <c r="AX23" s="35">
        <f>F23*AP23</f>
        <v>0</v>
      </c>
      <c r="AY23" s="37" t="s">
        <v>58</v>
      </c>
      <c r="AZ23" s="37" t="s">
        <v>58</v>
      </c>
      <c r="BA23" s="21" t="s">
        <v>59</v>
      </c>
      <c r="BC23" s="35">
        <f>AW23+AX23</f>
        <v>0</v>
      </c>
      <c r="BD23" s="35">
        <f>G23/(100-BE23)*100</f>
        <v>0</v>
      </c>
      <c r="BE23" s="35">
        <v>0</v>
      </c>
      <c r="BF23" s="35">
        <f>L23</f>
        <v>0</v>
      </c>
      <c r="BH23" s="35">
        <f>F23*AO23</f>
        <v>0</v>
      </c>
      <c r="BI23" s="35">
        <f>F23*AP23</f>
        <v>0</v>
      </c>
      <c r="BJ23" s="35">
        <f>F23*G23</f>
        <v>0</v>
      </c>
      <c r="BK23" s="35"/>
      <c r="BL23" s="35">
        <v>0</v>
      </c>
    </row>
    <row r="24" spans="1:13" ht="15" customHeight="1">
      <c r="A24" s="38"/>
      <c r="C24" s="39" t="s">
        <v>53</v>
      </c>
      <c r="D24" s="39" t="s">
        <v>77</v>
      </c>
      <c r="F24" s="40">
        <v>1</v>
      </c>
      <c r="M24" s="41"/>
    </row>
    <row r="25" spans="1:13" ht="15" customHeight="1">
      <c r="A25" s="38"/>
      <c r="C25" s="39"/>
      <c r="D25" s="39" t="s">
        <v>78</v>
      </c>
      <c r="F25" s="40">
        <v>0</v>
      </c>
      <c r="M25" s="41"/>
    </row>
    <row r="26" spans="1:13" ht="15" customHeight="1">
      <c r="A26" s="38"/>
      <c r="C26" s="39"/>
      <c r="D26" s="39" t="s">
        <v>79</v>
      </c>
      <c r="F26" s="40">
        <v>0</v>
      </c>
      <c r="M26" s="41"/>
    </row>
    <row r="27" spans="1:47" ht="15" customHeight="1">
      <c r="A27" s="30"/>
      <c r="B27" s="31" t="s">
        <v>80</v>
      </c>
      <c r="C27" s="31" t="s">
        <v>81</v>
      </c>
      <c r="D27" s="31"/>
      <c r="E27" s="32" t="s">
        <v>4</v>
      </c>
      <c r="F27" s="32" t="s">
        <v>4</v>
      </c>
      <c r="G27" s="32" t="s">
        <v>4</v>
      </c>
      <c r="H27" s="3">
        <f>SUM(H28:H30)</f>
        <v>0</v>
      </c>
      <c r="I27" s="3">
        <f>SUM(I28:I30)</f>
        <v>0</v>
      </c>
      <c r="J27" s="3">
        <f>SUM(J28:J30)</f>
        <v>0</v>
      </c>
      <c r="K27" s="21"/>
      <c r="L27" s="3">
        <f>SUM(L28:L30)</f>
        <v>7.26</v>
      </c>
      <c r="M27" s="33"/>
      <c r="AI27" s="21"/>
      <c r="AS27" s="3">
        <f>SUM(AJ28:AJ30)</f>
        <v>0</v>
      </c>
      <c r="AT27" s="3">
        <f>SUM(AK28:AK30)</f>
        <v>0</v>
      </c>
      <c r="AU27" s="3">
        <f>SUM(AL28:AL30)</f>
        <v>0</v>
      </c>
    </row>
    <row r="28" spans="1:64" ht="15" customHeight="1">
      <c r="A28" s="34" t="s">
        <v>82</v>
      </c>
      <c r="B28" s="11" t="s">
        <v>83</v>
      </c>
      <c r="C28" s="11" t="s">
        <v>84</v>
      </c>
      <c r="D28" s="11"/>
      <c r="E28" s="11" t="s">
        <v>85</v>
      </c>
      <c r="F28" s="35">
        <v>5.145</v>
      </c>
      <c r="G28" s="35">
        <v>0</v>
      </c>
      <c r="H28" s="35">
        <f>F28*AO28</f>
        <v>0</v>
      </c>
      <c r="I28" s="35">
        <f>F28*AP28</f>
        <v>0</v>
      </c>
      <c r="J28" s="35">
        <f>F28*G28</f>
        <v>0</v>
      </c>
      <c r="K28" s="35">
        <v>1.105</v>
      </c>
      <c r="L28" s="35">
        <f>F28*K28</f>
        <v>5.72</v>
      </c>
      <c r="M28" s="36" t="s">
        <v>86</v>
      </c>
      <c r="Z28" s="35">
        <f>IF(AQ28="5",BJ28,0)</f>
        <v>0</v>
      </c>
      <c r="AB28" s="35">
        <f>IF(AQ28="1",BH28,0)</f>
        <v>0</v>
      </c>
      <c r="AC28" s="35">
        <f>IF(AQ28="1",BI28,0)</f>
        <v>0</v>
      </c>
      <c r="AD28" s="35">
        <f>IF(AQ28="7",BH28,0)</f>
        <v>0</v>
      </c>
      <c r="AE28" s="35">
        <f>IF(AQ28="7",BI28,0)</f>
        <v>0</v>
      </c>
      <c r="AF28" s="35">
        <f>IF(AQ28="2",BH28,0)</f>
        <v>0</v>
      </c>
      <c r="AG28" s="35">
        <f>IF(AQ28="2",BI28,0)</f>
        <v>0</v>
      </c>
      <c r="AH28" s="35">
        <f>IF(AQ28="0",BJ28,0)</f>
        <v>0</v>
      </c>
      <c r="AI28" s="21"/>
      <c r="AJ28" s="35">
        <f>IF(AN28=0,J28,0)</f>
        <v>0</v>
      </c>
      <c r="AK28" s="35">
        <f>IF(AN28=15,J28,0)</f>
        <v>0</v>
      </c>
      <c r="AL28" s="35">
        <f>IF(AN28=21,J28,0)</f>
        <v>0</v>
      </c>
      <c r="AN28" s="35">
        <v>15</v>
      </c>
      <c r="AO28" s="35">
        <f>G28*0</f>
        <v>0</v>
      </c>
      <c r="AP28" s="35">
        <f>G28*(1-0)</f>
        <v>0</v>
      </c>
      <c r="AQ28" s="37" t="s">
        <v>53</v>
      </c>
      <c r="AV28" s="35">
        <f>AW28+AX28</f>
        <v>0</v>
      </c>
      <c r="AW28" s="35">
        <f>F28*AO28</f>
        <v>0</v>
      </c>
      <c r="AX28" s="35">
        <f>F28*AP28</f>
        <v>0</v>
      </c>
      <c r="AY28" s="37" t="s">
        <v>87</v>
      </c>
      <c r="AZ28" s="37" t="s">
        <v>88</v>
      </c>
      <c r="BA28" s="21" t="s">
        <v>59</v>
      </c>
      <c r="BC28" s="35">
        <f>AW28+AX28</f>
        <v>0</v>
      </c>
      <c r="BD28" s="35">
        <f>G28/(100-BE28)*100</f>
        <v>0</v>
      </c>
      <c r="BE28" s="35">
        <v>0</v>
      </c>
      <c r="BF28" s="35">
        <f>L28</f>
        <v>5.72</v>
      </c>
      <c r="BH28" s="35">
        <f>F28*AO28</f>
        <v>0</v>
      </c>
      <c r="BI28" s="35">
        <f>F28*AP28</f>
        <v>0</v>
      </c>
      <c r="BJ28" s="35">
        <f>F28*G28</f>
        <v>0</v>
      </c>
      <c r="BK28" s="35"/>
      <c r="BL28" s="35">
        <v>11</v>
      </c>
    </row>
    <row r="29" spans="1:13" ht="15" customHeight="1">
      <c r="A29" s="38"/>
      <c r="C29" s="39" t="s">
        <v>89</v>
      </c>
      <c r="D29" s="39"/>
      <c r="F29" s="40">
        <v>5.1450000000000005</v>
      </c>
      <c r="M29" s="41"/>
    </row>
    <row r="30" spans="1:64" ht="15" customHeight="1">
      <c r="A30" s="34" t="s">
        <v>90</v>
      </c>
      <c r="B30" s="11" t="s">
        <v>91</v>
      </c>
      <c r="C30" s="11" t="s">
        <v>92</v>
      </c>
      <c r="D30" s="11"/>
      <c r="E30" s="11" t="s">
        <v>93</v>
      </c>
      <c r="F30" s="35">
        <v>7</v>
      </c>
      <c r="G30" s="35">
        <v>0</v>
      </c>
      <c r="H30" s="35">
        <f>F30*AO30</f>
        <v>0</v>
      </c>
      <c r="I30" s="35">
        <f>F30*AP30</f>
        <v>0</v>
      </c>
      <c r="J30" s="35">
        <f>F30*G30</f>
        <v>0</v>
      </c>
      <c r="K30" s="35">
        <v>0.22</v>
      </c>
      <c r="L30" s="35">
        <f>F30*K30</f>
        <v>1.54</v>
      </c>
      <c r="M30" s="36" t="s">
        <v>86</v>
      </c>
      <c r="Z30" s="35">
        <f>IF(AQ30="5",BJ30,0)</f>
        <v>0</v>
      </c>
      <c r="AB30" s="35">
        <f>IF(AQ30="1",BH30,0)</f>
        <v>0</v>
      </c>
      <c r="AC30" s="35">
        <f>IF(AQ30="1",BI30,0)</f>
        <v>0</v>
      </c>
      <c r="AD30" s="35">
        <f>IF(AQ30="7",BH30,0)</f>
        <v>0</v>
      </c>
      <c r="AE30" s="35">
        <f>IF(AQ30="7",BI30,0)</f>
        <v>0</v>
      </c>
      <c r="AF30" s="35">
        <f>IF(AQ30="2",BH30,0)</f>
        <v>0</v>
      </c>
      <c r="AG30" s="35">
        <f>IF(AQ30="2",BI30,0)</f>
        <v>0</v>
      </c>
      <c r="AH30" s="35">
        <f>IF(AQ30="0",BJ30,0)</f>
        <v>0</v>
      </c>
      <c r="AI30" s="21"/>
      <c r="AJ30" s="35">
        <f>IF(AN30=0,J30,0)</f>
        <v>0</v>
      </c>
      <c r="AK30" s="35">
        <f>IF(AN30=15,J30,0)</f>
        <v>0</v>
      </c>
      <c r="AL30" s="35">
        <f>IF(AN30=21,J30,0)</f>
        <v>0</v>
      </c>
      <c r="AN30" s="35">
        <v>15</v>
      </c>
      <c r="AO30" s="35">
        <f>G30*0</f>
        <v>0</v>
      </c>
      <c r="AP30" s="35">
        <f>G30*(1-0)</f>
        <v>0</v>
      </c>
      <c r="AQ30" s="37" t="s">
        <v>53</v>
      </c>
      <c r="AV30" s="35">
        <f>AW30+AX30</f>
        <v>0</v>
      </c>
      <c r="AW30" s="35">
        <f>F30*AO30</f>
        <v>0</v>
      </c>
      <c r="AX30" s="35">
        <f>F30*AP30</f>
        <v>0</v>
      </c>
      <c r="AY30" s="37" t="s">
        <v>87</v>
      </c>
      <c r="AZ30" s="37" t="s">
        <v>88</v>
      </c>
      <c r="BA30" s="21" t="s">
        <v>59</v>
      </c>
      <c r="BC30" s="35">
        <f>AW30+AX30</f>
        <v>0</v>
      </c>
      <c r="BD30" s="35">
        <f>G30/(100-BE30)*100</f>
        <v>0</v>
      </c>
      <c r="BE30" s="35">
        <v>0</v>
      </c>
      <c r="BF30" s="35">
        <f>L30</f>
        <v>1.54</v>
      </c>
      <c r="BH30" s="35">
        <f>F30*AO30</f>
        <v>0</v>
      </c>
      <c r="BI30" s="35">
        <f>F30*AP30</f>
        <v>0</v>
      </c>
      <c r="BJ30" s="35">
        <f>F30*G30</f>
        <v>0</v>
      </c>
      <c r="BK30" s="35"/>
      <c r="BL30" s="35">
        <v>11</v>
      </c>
    </row>
    <row r="31" spans="1:13" ht="15" customHeight="1">
      <c r="A31" s="38"/>
      <c r="C31" s="39" t="s">
        <v>94</v>
      </c>
      <c r="D31" s="39"/>
      <c r="F31" s="40">
        <v>7.000000000000001</v>
      </c>
      <c r="M31" s="41"/>
    </row>
    <row r="32" spans="1:47" ht="15" customHeight="1">
      <c r="A32" s="30"/>
      <c r="B32" s="31" t="s">
        <v>95</v>
      </c>
      <c r="C32" s="31" t="s">
        <v>96</v>
      </c>
      <c r="D32" s="31"/>
      <c r="E32" s="32" t="s">
        <v>4</v>
      </c>
      <c r="F32" s="32" t="s">
        <v>4</v>
      </c>
      <c r="G32" s="32" t="s">
        <v>4</v>
      </c>
      <c r="H32" s="3">
        <f>SUM(H33:H33)</f>
        <v>0</v>
      </c>
      <c r="I32" s="3">
        <f>SUM(I33:I33)</f>
        <v>0</v>
      </c>
      <c r="J32" s="3">
        <f>SUM(J33:J33)</f>
        <v>0</v>
      </c>
      <c r="K32" s="21"/>
      <c r="L32" s="3">
        <f>SUM(L33:L33)</f>
        <v>0</v>
      </c>
      <c r="M32" s="33"/>
      <c r="AI32" s="21"/>
      <c r="AS32" s="3">
        <f>SUM(AJ33:AJ33)</f>
        <v>0</v>
      </c>
      <c r="AT32" s="3">
        <f>SUM(AK33:AK33)</f>
        <v>0</v>
      </c>
      <c r="AU32" s="3">
        <f>SUM(AL33:AL33)</f>
        <v>0</v>
      </c>
    </row>
    <row r="33" spans="1:64" ht="15" customHeight="1">
      <c r="A33" s="34" t="s">
        <v>97</v>
      </c>
      <c r="B33" s="11" t="s">
        <v>98</v>
      </c>
      <c r="C33" s="11" t="s">
        <v>99</v>
      </c>
      <c r="D33" s="11"/>
      <c r="E33" s="11" t="s">
        <v>100</v>
      </c>
      <c r="F33" s="35">
        <v>12.236</v>
      </c>
      <c r="G33" s="35">
        <v>0</v>
      </c>
      <c r="H33" s="35">
        <f>F33*AO33</f>
        <v>0</v>
      </c>
      <c r="I33" s="35">
        <f>F33*AP33</f>
        <v>0</v>
      </c>
      <c r="J33" s="35">
        <f>F33*G33</f>
        <v>0</v>
      </c>
      <c r="K33" s="35">
        <v>0</v>
      </c>
      <c r="L33" s="35">
        <f>F33*K33</f>
        <v>0</v>
      </c>
      <c r="M33" s="36" t="s">
        <v>57</v>
      </c>
      <c r="Z33" s="35">
        <f>IF(AQ33="5",BJ33,0)</f>
        <v>0</v>
      </c>
      <c r="AB33" s="35">
        <f>IF(AQ33="1",BH33,0)</f>
        <v>0</v>
      </c>
      <c r="AC33" s="35">
        <f>IF(AQ33="1",BI33,0)</f>
        <v>0</v>
      </c>
      <c r="AD33" s="35">
        <f>IF(AQ33="7",BH33,0)</f>
        <v>0</v>
      </c>
      <c r="AE33" s="35">
        <f>IF(AQ33="7",BI33,0)</f>
        <v>0</v>
      </c>
      <c r="AF33" s="35">
        <f>IF(AQ33="2",BH33,0)</f>
        <v>0</v>
      </c>
      <c r="AG33" s="35">
        <f>IF(AQ33="2",BI33,0)</f>
        <v>0</v>
      </c>
      <c r="AH33" s="35">
        <f>IF(AQ33="0",BJ33,0)</f>
        <v>0</v>
      </c>
      <c r="AI33" s="21"/>
      <c r="AJ33" s="35">
        <f>IF(AN33=0,J33,0)</f>
        <v>0</v>
      </c>
      <c r="AK33" s="35">
        <f>IF(AN33=15,J33,0)</f>
        <v>0</v>
      </c>
      <c r="AL33" s="35">
        <f>IF(AN33=21,J33,0)</f>
        <v>0</v>
      </c>
      <c r="AN33" s="35">
        <v>15</v>
      </c>
      <c r="AO33" s="35">
        <f>G33*0</f>
        <v>0</v>
      </c>
      <c r="AP33" s="35">
        <f>G33*(1-0)</f>
        <v>0</v>
      </c>
      <c r="AQ33" s="37" t="s">
        <v>53</v>
      </c>
      <c r="AV33" s="35">
        <f>AW33+AX33</f>
        <v>0</v>
      </c>
      <c r="AW33" s="35">
        <f>F33*AO33</f>
        <v>0</v>
      </c>
      <c r="AX33" s="35">
        <f>F33*AP33</f>
        <v>0</v>
      </c>
      <c r="AY33" s="37" t="s">
        <v>101</v>
      </c>
      <c r="AZ33" s="37" t="s">
        <v>88</v>
      </c>
      <c r="BA33" s="21" t="s">
        <v>59</v>
      </c>
      <c r="BC33" s="35">
        <f>AW33+AX33</f>
        <v>0</v>
      </c>
      <c r="BD33" s="35">
        <f>G33/(100-BE33)*100</f>
        <v>0</v>
      </c>
      <c r="BE33" s="35">
        <v>0</v>
      </c>
      <c r="BF33" s="35">
        <f>L33</f>
        <v>0</v>
      </c>
      <c r="BH33" s="35">
        <f>F33*AO33</f>
        <v>0</v>
      </c>
      <c r="BI33" s="35">
        <f>F33*AP33</f>
        <v>0</v>
      </c>
      <c r="BJ33" s="35">
        <f>F33*G33</f>
        <v>0</v>
      </c>
      <c r="BK33" s="35"/>
      <c r="BL33" s="35">
        <v>13</v>
      </c>
    </row>
    <row r="34" spans="1:13" ht="15" customHeight="1">
      <c r="A34" s="38"/>
      <c r="C34" s="39" t="s">
        <v>102</v>
      </c>
      <c r="D34" s="39" t="s">
        <v>103</v>
      </c>
      <c r="F34" s="40">
        <v>12.236</v>
      </c>
      <c r="M34" s="41"/>
    </row>
    <row r="35" spans="1:47" ht="15" customHeight="1">
      <c r="A35" s="30"/>
      <c r="B35" s="31" t="s">
        <v>104</v>
      </c>
      <c r="C35" s="31" t="s">
        <v>105</v>
      </c>
      <c r="D35" s="31"/>
      <c r="E35" s="32" t="s">
        <v>4</v>
      </c>
      <c r="F35" s="32" t="s">
        <v>4</v>
      </c>
      <c r="G35" s="32" t="s">
        <v>4</v>
      </c>
      <c r="H35" s="3">
        <f>SUM(H36:H38)</f>
        <v>0</v>
      </c>
      <c r="I35" s="3">
        <f>SUM(I36:I38)</f>
        <v>0</v>
      </c>
      <c r="J35" s="3">
        <f>SUM(J36:J38)</f>
        <v>0</v>
      </c>
      <c r="K35" s="21"/>
      <c r="L35" s="3">
        <f>SUM(L36:L38)</f>
        <v>0</v>
      </c>
      <c r="M35" s="33"/>
      <c r="AI35" s="21"/>
      <c r="AS35" s="3">
        <f>SUM(AJ36:AJ38)</f>
        <v>0</v>
      </c>
      <c r="AT35" s="3">
        <f>SUM(AK36:AK38)</f>
        <v>0</v>
      </c>
      <c r="AU35" s="3">
        <f>SUM(AL36:AL38)</f>
        <v>0</v>
      </c>
    </row>
    <row r="36" spans="1:64" ht="15" customHeight="1">
      <c r="A36" s="34" t="s">
        <v>106</v>
      </c>
      <c r="B36" s="11" t="s">
        <v>107</v>
      </c>
      <c r="C36" s="11" t="s">
        <v>108</v>
      </c>
      <c r="D36" s="11"/>
      <c r="E36" s="11" t="s">
        <v>100</v>
      </c>
      <c r="F36" s="35">
        <v>12.236</v>
      </c>
      <c r="G36" s="35">
        <v>0</v>
      </c>
      <c r="H36" s="35">
        <f>F36*AO36</f>
        <v>0</v>
      </c>
      <c r="I36" s="35">
        <f>F36*AP36</f>
        <v>0</v>
      </c>
      <c r="J36" s="35">
        <f>F36*G36</f>
        <v>0</v>
      </c>
      <c r="K36" s="35">
        <v>0</v>
      </c>
      <c r="L36" s="35">
        <f>F36*K36</f>
        <v>0</v>
      </c>
      <c r="M36" s="36" t="s">
        <v>86</v>
      </c>
      <c r="Z36" s="35">
        <f>IF(AQ36="5",BJ36,0)</f>
        <v>0</v>
      </c>
      <c r="AB36" s="35">
        <f>IF(AQ36="1",BH36,0)</f>
        <v>0</v>
      </c>
      <c r="AC36" s="35">
        <f>IF(AQ36="1",BI36,0)</f>
        <v>0</v>
      </c>
      <c r="AD36" s="35">
        <f>IF(AQ36="7",BH36,0)</f>
        <v>0</v>
      </c>
      <c r="AE36" s="35">
        <f>IF(AQ36="7",BI36,0)</f>
        <v>0</v>
      </c>
      <c r="AF36" s="35">
        <f>IF(AQ36="2",BH36,0)</f>
        <v>0</v>
      </c>
      <c r="AG36" s="35">
        <f>IF(AQ36="2",BI36,0)</f>
        <v>0</v>
      </c>
      <c r="AH36" s="35">
        <f>IF(AQ36="0",BJ36,0)</f>
        <v>0</v>
      </c>
      <c r="AI36" s="21"/>
      <c r="AJ36" s="35">
        <f>IF(AN36=0,J36,0)</f>
        <v>0</v>
      </c>
      <c r="AK36" s="35">
        <f>IF(AN36=15,J36,0)</f>
        <v>0</v>
      </c>
      <c r="AL36" s="35">
        <f>IF(AN36=21,J36,0)</f>
        <v>0</v>
      </c>
      <c r="AN36" s="35">
        <v>15</v>
      </c>
      <c r="AO36" s="35">
        <f>G36*0</f>
        <v>0</v>
      </c>
      <c r="AP36" s="35">
        <f>G36*(1-0)</f>
        <v>0</v>
      </c>
      <c r="AQ36" s="37" t="s">
        <v>53</v>
      </c>
      <c r="AV36" s="35">
        <f>AW36+AX36</f>
        <v>0</v>
      </c>
      <c r="AW36" s="35">
        <f>F36*AO36</f>
        <v>0</v>
      </c>
      <c r="AX36" s="35">
        <f>F36*AP36</f>
        <v>0</v>
      </c>
      <c r="AY36" s="37" t="s">
        <v>109</v>
      </c>
      <c r="AZ36" s="37" t="s">
        <v>88</v>
      </c>
      <c r="BA36" s="21" t="s">
        <v>59</v>
      </c>
      <c r="BC36" s="35">
        <f>AW36+AX36</f>
        <v>0</v>
      </c>
      <c r="BD36" s="35">
        <f>G36/(100-BE36)*100</f>
        <v>0</v>
      </c>
      <c r="BE36" s="35">
        <v>0</v>
      </c>
      <c r="BF36" s="35">
        <f>L36</f>
        <v>0</v>
      </c>
      <c r="BH36" s="35">
        <f>F36*AO36</f>
        <v>0</v>
      </c>
      <c r="BI36" s="35">
        <f>F36*AP36</f>
        <v>0</v>
      </c>
      <c r="BJ36" s="35">
        <f>F36*G36</f>
        <v>0</v>
      </c>
      <c r="BK36" s="35"/>
      <c r="BL36" s="35">
        <v>16</v>
      </c>
    </row>
    <row r="37" spans="1:13" ht="15" customHeight="1">
      <c r="A37" s="38"/>
      <c r="C37" s="39">
        <v>12.236</v>
      </c>
      <c r="D37" s="39"/>
      <c r="F37" s="40">
        <v>12.236</v>
      </c>
      <c r="M37" s="41"/>
    </row>
    <row r="38" spans="1:64" ht="15" customHeight="1">
      <c r="A38" s="34" t="s">
        <v>80</v>
      </c>
      <c r="B38" s="11" t="s">
        <v>110</v>
      </c>
      <c r="C38" s="11" t="s">
        <v>111</v>
      </c>
      <c r="D38" s="11"/>
      <c r="E38" s="11" t="s">
        <v>100</v>
      </c>
      <c r="F38" s="35">
        <v>12.236</v>
      </c>
      <c r="G38" s="35">
        <v>0</v>
      </c>
      <c r="H38" s="35">
        <f>F38*AO38</f>
        <v>0</v>
      </c>
      <c r="I38" s="35">
        <f>F38*AP38</f>
        <v>0</v>
      </c>
      <c r="J38" s="35">
        <f>F38*G38</f>
        <v>0</v>
      </c>
      <c r="K38" s="35">
        <v>0</v>
      </c>
      <c r="L38" s="35">
        <f>F38*K38</f>
        <v>0</v>
      </c>
      <c r="M38" s="36" t="s">
        <v>86</v>
      </c>
      <c r="Z38" s="35">
        <f>IF(AQ38="5",BJ38,0)</f>
        <v>0</v>
      </c>
      <c r="AB38" s="35">
        <f>IF(AQ38="1",BH38,0)</f>
        <v>0</v>
      </c>
      <c r="AC38" s="35">
        <f>IF(AQ38="1",BI38,0)</f>
        <v>0</v>
      </c>
      <c r="AD38" s="35">
        <f>IF(AQ38="7",BH38,0)</f>
        <v>0</v>
      </c>
      <c r="AE38" s="35">
        <f>IF(AQ38="7",BI38,0)</f>
        <v>0</v>
      </c>
      <c r="AF38" s="35">
        <f>IF(AQ38="2",BH38,0)</f>
        <v>0</v>
      </c>
      <c r="AG38" s="35">
        <f>IF(AQ38="2",BI38,0)</f>
        <v>0</v>
      </c>
      <c r="AH38" s="35">
        <f>IF(AQ38="0",BJ38,0)</f>
        <v>0</v>
      </c>
      <c r="AI38" s="21"/>
      <c r="AJ38" s="35">
        <f>IF(AN38=0,J38,0)</f>
        <v>0</v>
      </c>
      <c r="AK38" s="35">
        <f>IF(AN38=15,J38,0)</f>
        <v>0</v>
      </c>
      <c r="AL38" s="35">
        <f>IF(AN38=21,J38,0)</f>
        <v>0</v>
      </c>
      <c r="AN38" s="35">
        <v>15</v>
      </c>
      <c r="AO38" s="35">
        <f>G38*0</f>
        <v>0</v>
      </c>
      <c r="AP38" s="35">
        <f>G38*(1-0)</f>
        <v>0</v>
      </c>
      <c r="AQ38" s="37" t="s">
        <v>53</v>
      </c>
      <c r="AV38" s="35">
        <f>AW38+AX38</f>
        <v>0</v>
      </c>
      <c r="AW38" s="35">
        <f>F38*AO38</f>
        <v>0</v>
      </c>
      <c r="AX38" s="35">
        <f>F38*AP38</f>
        <v>0</v>
      </c>
      <c r="AY38" s="37" t="s">
        <v>109</v>
      </c>
      <c r="AZ38" s="37" t="s">
        <v>88</v>
      </c>
      <c r="BA38" s="21" t="s">
        <v>59</v>
      </c>
      <c r="BC38" s="35">
        <f>AW38+AX38</f>
        <v>0</v>
      </c>
      <c r="BD38" s="35">
        <f>G38/(100-BE38)*100</f>
        <v>0</v>
      </c>
      <c r="BE38" s="35">
        <v>0</v>
      </c>
      <c r="BF38" s="35">
        <f>L38</f>
        <v>0</v>
      </c>
      <c r="BH38" s="35">
        <f>F38*AO38</f>
        <v>0</v>
      </c>
      <c r="BI38" s="35">
        <f>F38*AP38</f>
        <v>0</v>
      </c>
      <c r="BJ38" s="35">
        <f>F38*G38</f>
        <v>0</v>
      </c>
      <c r="BK38" s="35"/>
      <c r="BL38" s="35">
        <v>16</v>
      </c>
    </row>
    <row r="39" spans="1:13" ht="15" customHeight="1">
      <c r="A39" s="38"/>
      <c r="C39" s="39">
        <v>12.236</v>
      </c>
      <c r="D39" s="39" t="s">
        <v>112</v>
      </c>
      <c r="F39" s="40">
        <v>12.236</v>
      </c>
      <c r="M39" s="41"/>
    </row>
    <row r="40" spans="1:47" ht="15" customHeight="1">
      <c r="A40" s="30"/>
      <c r="B40" s="31" t="s">
        <v>113</v>
      </c>
      <c r="C40" s="31" t="s">
        <v>114</v>
      </c>
      <c r="D40" s="31"/>
      <c r="E40" s="32" t="s">
        <v>4</v>
      </c>
      <c r="F40" s="32" t="s">
        <v>4</v>
      </c>
      <c r="G40" s="32" t="s">
        <v>4</v>
      </c>
      <c r="H40" s="3">
        <f>SUM(H41:H41)</f>
        <v>0</v>
      </c>
      <c r="I40" s="3">
        <f>SUM(I41:I41)</f>
        <v>0</v>
      </c>
      <c r="J40" s="3">
        <f>SUM(J41:J41)</f>
        <v>0</v>
      </c>
      <c r="K40" s="21"/>
      <c r="L40" s="3">
        <f>SUM(L41:L41)</f>
        <v>0</v>
      </c>
      <c r="M40" s="33"/>
      <c r="AI40" s="21"/>
      <c r="AS40" s="3">
        <f>SUM(AJ41:AJ41)</f>
        <v>0</v>
      </c>
      <c r="AT40" s="3">
        <f>SUM(AK41:AK41)</f>
        <v>0</v>
      </c>
      <c r="AU40" s="3">
        <f>SUM(AL41:AL41)</f>
        <v>0</v>
      </c>
    </row>
    <row r="41" spans="1:64" ht="15" customHeight="1">
      <c r="A41" s="34" t="s">
        <v>115</v>
      </c>
      <c r="B41" s="11" t="s">
        <v>116</v>
      </c>
      <c r="C41" s="11" t="s">
        <v>117</v>
      </c>
      <c r="D41" s="11"/>
      <c r="E41" s="11" t="s">
        <v>100</v>
      </c>
      <c r="F41" s="35">
        <v>12.24</v>
      </c>
      <c r="G41" s="35">
        <v>0</v>
      </c>
      <c r="H41" s="35">
        <f>F41*AO41</f>
        <v>0</v>
      </c>
      <c r="I41" s="35">
        <f>F41*AP41</f>
        <v>0</v>
      </c>
      <c r="J41" s="35">
        <f>F41*G41</f>
        <v>0</v>
      </c>
      <c r="K41" s="35">
        <v>0</v>
      </c>
      <c r="L41" s="35">
        <f>F41*K41</f>
        <v>0</v>
      </c>
      <c r="M41" s="36" t="s">
        <v>86</v>
      </c>
      <c r="Z41" s="35">
        <f>IF(AQ41="5",BJ41,0)</f>
        <v>0</v>
      </c>
      <c r="AB41" s="35">
        <f>IF(AQ41="1",BH41,0)</f>
        <v>0</v>
      </c>
      <c r="AC41" s="35">
        <f>IF(AQ41="1",BI41,0)</f>
        <v>0</v>
      </c>
      <c r="AD41" s="35">
        <f>IF(AQ41="7",BH41,0)</f>
        <v>0</v>
      </c>
      <c r="AE41" s="35">
        <f>IF(AQ41="7",BI41,0)</f>
        <v>0</v>
      </c>
      <c r="AF41" s="35">
        <f>IF(AQ41="2",BH41,0)</f>
        <v>0</v>
      </c>
      <c r="AG41" s="35">
        <f>IF(AQ41="2",BI41,0)</f>
        <v>0</v>
      </c>
      <c r="AH41" s="35">
        <f>IF(AQ41="0",BJ41,0)</f>
        <v>0</v>
      </c>
      <c r="AI41" s="21"/>
      <c r="AJ41" s="35">
        <f>IF(AN41=0,J41,0)</f>
        <v>0</v>
      </c>
      <c r="AK41" s="35">
        <f>IF(AN41=15,J41,0)</f>
        <v>0</v>
      </c>
      <c r="AL41" s="35">
        <f>IF(AN41=21,J41,0)</f>
        <v>0</v>
      </c>
      <c r="AN41" s="35">
        <v>15</v>
      </c>
      <c r="AO41" s="35">
        <f>G41*0</f>
        <v>0</v>
      </c>
      <c r="AP41" s="35">
        <f>G41*(1-0)</f>
        <v>0</v>
      </c>
      <c r="AQ41" s="37" t="s">
        <v>53</v>
      </c>
      <c r="AV41" s="35">
        <f>AW41+AX41</f>
        <v>0</v>
      </c>
      <c r="AW41" s="35">
        <f>F41*AO41</f>
        <v>0</v>
      </c>
      <c r="AX41" s="35">
        <f>F41*AP41</f>
        <v>0</v>
      </c>
      <c r="AY41" s="37" t="s">
        <v>118</v>
      </c>
      <c r="AZ41" s="37" t="s">
        <v>88</v>
      </c>
      <c r="BA41" s="21" t="s">
        <v>59</v>
      </c>
      <c r="BC41" s="35">
        <f>AW41+AX41</f>
        <v>0</v>
      </c>
      <c r="BD41" s="35">
        <f>G41/(100-BE41)*100</f>
        <v>0</v>
      </c>
      <c r="BE41" s="35">
        <v>0</v>
      </c>
      <c r="BF41" s="35">
        <f>L41</f>
        <v>0</v>
      </c>
      <c r="BH41" s="35">
        <f>F41*AO41</f>
        <v>0</v>
      </c>
      <c r="BI41" s="35">
        <f>F41*AP41</f>
        <v>0</v>
      </c>
      <c r="BJ41" s="35">
        <f>F41*G41</f>
        <v>0</v>
      </c>
      <c r="BK41" s="35"/>
      <c r="BL41" s="35">
        <v>17</v>
      </c>
    </row>
    <row r="42" spans="1:13" ht="15" customHeight="1">
      <c r="A42" s="38"/>
      <c r="C42" s="39">
        <v>12.236</v>
      </c>
      <c r="D42" s="39" t="s">
        <v>112</v>
      </c>
      <c r="F42" s="40">
        <v>12.236</v>
      </c>
      <c r="M42" s="41"/>
    </row>
    <row r="43" spans="1:47" ht="15" customHeight="1">
      <c r="A43" s="30"/>
      <c r="B43" s="31" t="s">
        <v>119</v>
      </c>
      <c r="C43" s="31" t="s">
        <v>120</v>
      </c>
      <c r="D43" s="31"/>
      <c r="E43" s="32" t="s">
        <v>4</v>
      </c>
      <c r="F43" s="32" t="s">
        <v>4</v>
      </c>
      <c r="G43" s="32" t="s">
        <v>4</v>
      </c>
      <c r="H43" s="3">
        <f>SUM(H44:H44)</f>
        <v>0</v>
      </c>
      <c r="I43" s="3">
        <f>SUM(I44:I44)</f>
        <v>0</v>
      </c>
      <c r="J43" s="3">
        <f>SUM(J44:J44)</f>
        <v>0</v>
      </c>
      <c r="K43" s="21"/>
      <c r="L43" s="3">
        <f>SUM(L44:L44)</f>
        <v>0</v>
      </c>
      <c r="M43" s="33"/>
      <c r="AI43" s="21"/>
      <c r="AS43" s="3">
        <f>SUM(AJ44:AJ44)</f>
        <v>0</v>
      </c>
      <c r="AT43" s="3">
        <f>SUM(AK44:AK44)</f>
        <v>0</v>
      </c>
      <c r="AU43" s="3">
        <f>SUM(AL44:AL44)</f>
        <v>0</v>
      </c>
    </row>
    <row r="44" spans="1:64" ht="15" customHeight="1">
      <c r="A44" s="34" t="s">
        <v>95</v>
      </c>
      <c r="B44" s="11" t="s">
        <v>121</v>
      </c>
      <c r="C44" s="11" t="s">
        <v>122</v>
      </c>
      <c r="D44" s="11"/>
      <c r="E44" s="11" t="s">
        <v>85</v>
      </c>
      <c r="F44" s="35">
        <v>87.4</v>
      </c>
      <c r="G44" s="35">
        <v>0</v>
      </c>
      <c r="H44" s="35">
        <f>F44*AO44</f>
        <v>0</v>
      </c>
      <c r="I44" s="35">
        <f>F44*AP44</f>
        <v>0</v>
      </c>
      <c r="J44" s="35">
        <f>F44*G44</f>
        <v>0</v>
      </c>
      <c r="K44" s="35">
        <v>0</v>
      </c>
      <c r="L44" s="35">
        <f>F44*K44</f>
        <v>0</v>
      </c>
      <c r="M44" s="36" t="s">
        <v>57</v>
      </c>
      <c r="Z44" s="35">
        <f>IF(AQ44="5",BJ44,0)</f>
        <v>0</v>
      </c>
      <c r="AB44" s="35">
        <f>IF(AQ44="1",BH44,0)</f>
        <v>0</v>
      </c>
      <c r="AC44" s="35">
        <f>IF(AQ44="1",BI44,0)</f>
        <v>0</v>
      </c>
      <c r="AD44" s="35">
        <f>IF(AQ44="7",BH44,0)</f>
        <v>0</v>
      </c>
      <c r="AE44" s="35">
        <f>IF(AQ44="7",BI44,0)</f>
        <v>0</v>
      </c>
      <c r="AF44" s="35">
        <f>IF(AQ44="2",BH44,0)</f>
        <v>0</v>
      </c>
      <c r="AG44" s="35">
        <f>IF(AQ44="2",BI44,0)</f>
        <v>0</v>
      </c>
      <c r="AH44" s="35">
        <f>IF(AQ44="0",BJ44,0)</f>
        <v>0</v>
      </c>
      <c r="AI44" s="21"/>
      <c r="AJ44" s="35">
        <f>IF(AN44=0,J44,0)</f>
        <v>0</v>
      </c>
      <c r="AK44" s="35">
        <f>IF(AN44=15,J44,0)</f>
        <v>0</v>
      </c>
      <c r="AL44" s="35">
        <f>IF(AN44=21,J44,0)</f>
        <v>0</v>
      </c>
      <c r="AN44" s="35">
        <v>15</v>
      </c>
      <c r="AO44" s="35">
        <f>G44*0.0413043396723655</f>
        <v>0</v>
      </c>
      <c r="AP44" s="35">
        <f>G44*(1-0.0413043396723655)</f>
        <v>0</v>
      </c>
      <c r="AQ44" s="37" t="s">
        <v>53</v>
      </c>
      <c r="AV44" s="35">
        <f>AW44+AX44</f>
        <v>0</v>
      </c>
      <c r="AW44" s="35">
        <f>F44*AO44</f>
        <v>0</v>
      </c>
      <c r="AX44" s="35">
        <f>F44*AP44</f>
        <v>0</v>
      </c>
      <c r="AY44" s="37" t="s">
        <v>123</v>
      </c>
      <c r="AZ44" s="37" t="s">
        <v>88</v>
      </c>
      <c r="BA44" s="21" t="s">
        <v>59</v>
      </c>
      <c r="BC44" s="35">
        <f>AW44+AX44</f>
        <v>0</v>
      </c>
      <c r="BD44" s="35">
        <f>G44/(100-BE44)*100</f>
        <v>0</v>
      </c>
      <c r="BE44" s="35">
        <v>0</v>
      </c>
      <c r="BF44" s="35">
        <f>L44</f>
        <v>0</v>
      </c>
      <c r="BH44" s="35">
        <f>F44*AO44</f>
        <v>0</v>
      </c>
      <c r="BI44" s="35">
        <f>F44*AP44</f>
        <v>0</v>
      </c>
      <c r="BJ44" s="35">
        <f>F44*G44</f>
        <v>0</v>
      </c>
      <c r="BK44" s="35"/>
      <c r="BL44" s="35">
        <v>18</v>
      </c>
    </row>
    <row r="45" spans="1:13" ht="15" customHeight="1">
      <c r="A45" s="38"/>
      <c r="C45" s="39" t="s">
        <v>124</v>
      </c>
      <c r="D45" s="39"/>
      <c r="F45" s="40">
        <v>87.4</v>
      </c>
      <c r="M45" s="41"/>
    </row>
    <row r="46" spans="1:47" ht="15" customHeight="1">
      <c r="A46" s="30"/>
      <c r="B46" s="31" t="s">
        <v>125</v>
      </c>
      <c r="C46" s="31" t="s">
        <v>126</v>
      </c>
      <c r="D46" s="31"/>
      <c r="E46" s="32" t="s">
        <v>4</v>
      </c>
      <c r="F46" s="32" t="s">
        <v>4</v>
      </c>
      <c r="G46" s="32" t="s">
        <v>4</v>
      </c>
      <c r="H46" s="3">
        <f>SUM(H47:H47)</f>
        <v>0</v>
      </c>
      <c r="I46" s="3">
        <f>SUM(I47:I47)</f>
        <v>0</v>
      </c>
      <c r="J46" s="3">
        <f>SUM(J47:J47)</f>
        <v>0</v>
      </c>
      <c r="K46" s="21"/>
      <c r="L46" s="3">
        <f>SUM(L47:L47)</f>
        <v>7.66</v>
      </c>
      <c r="M46" s="33"/>
      <c r="AI46" s="21"/>
      <c r="AS46" s="3">
        <f>SUM(AJ47:AJ47)</f>
        <v>0</v>
      </c>
      <c r="AT46" s="3">
        <f>SUM(AK47:AK47)</f>
        <v>0</v>
      </c>
      <c r="AU46" s="3">
        <f>SUM(AL47:AL47)</f>
        <v>0</v>
      </c>
    </row>
    <row r="47" spans="1:64" ht="15" customHeight="1">
      <c r="A47" s="34" t="s">
        <v>127</v>
      </c>
      <c r="B47" s="11" t="s">
        <v>128</v>
      </c>
      <c r="C47" s="11" t="s">
        <v>129</v>
      </c>
      <c r="D47" s="11"/>
      <c r="E47" s="11" t="s">
        <v>100</v>
      </c>
      <c r="F47" s="35">
        <v>2.976</v>
      </c>
      <c r="G47" s="35">
        <v>0</v>
      </c>
      <c r="H47" s="35">
        <f>F47*AO47</f>
        <v>0</v>
      </c>
      <c r="I47" s="35">
        <f>F47*AP47</f>
        <v>0</v>
      </c>
      <c r="J47" s="35">
        <f>F47*G47</f>
        <v>0</v>
      </c>
      <c r="K47" s="35">
        <v>2.56981</v>
      </c>
      <c r="L47" s="35">
        <f>F47*K47</f>
        <v>7.66</v>
      </c>
      <c r="M47" s="36" t="s">
        <v>86</v>
      </c>
      <c r="Z47" s="35">
        <f>IF(AQ47="5",BJ47,0)</f>
        <v>0</v>
      </c>
      <c r="AB47" s="35">
        <f>IF(AQ47="1",BH47,0)</f>
        <v>0</v>
      </c>
      <c r="AC47" s="35">
        <f>IF(AQ47="1",BI47,0)</f>
        <v>0</v>
      </c>
      <c r="AD47" s="35">
        <f>IF(AQ47="7",BH47,0)</f>
        <v>0</v>
      </c>
      <c r="AE47" s="35">
        <f>IF(AQ47="7",BI47,0)</f>
        <v>0</v>
      </c>
      <c r="AF47" s="35">
        <f>IF(AQ47="2",BH47,0)</f>
        <v>0</v>
      </c>
      <c r="AG47" s="35">
        <f>IF(AQ47="2",BI47,0)</f>
        <v>0</v>
      </c>
      <c r="AH47" s="35">
        <f>IF(AQ47="0",BJ47,0)</f>
        <v>0</v>
      </c>
      <c r="AI47" s="21"/>
      <c r="AJ47" s="35">
        <f>IF(AN47=0,J47,0)</f>
        <v>0</v>
      </c>
      <c r="AK47" s="35">
        <f>IF(AN47=15,J47,0)</f>
        <v>0</v>
      </c>
      <c r="AL47" s="35">
        <f>IF(AN47=21,J47,0)</f>
        <v>0</v>
      </c>
      <c r="AN47" s="35">
        <v>15</v>
      </c>
      <c r="AO47" s="35">
        <f>G47*0.678827931907977</f>
        <v>0</v>
      </c>
      <c r="AP47" s="35">
        <f>G47*(1-0.678827931907977)</f>
        <v>0</v>
      </c>
      <c r="AQ47" s="37" t="s">
        <v>53</v>
      </c>
      <c r="AV47" s="35">
        <f>AW47+AX47</f>
        <v>0</v>
      </c>
      <c r="AW47" s="35">
        <f>F47*AO47</f>
        <v>0</v>
      </c>
      <c r="AX47" s="35">
        <f>F47*AP47</f>
        <v>0</v>
      </c>
      <c r="AY47" s="37" t="s">
        <v>130</v>
      </c>
      <c r="AZ47" s="37" t="s">
        <v>131</v>
      </c>
      <c r="BA47" s="21" t="s">
        <v>59</v>
      </c>
      <c r="BC47" s="35">
        <f>AW47+AX47</f>
        <v>0</v>
      </c>
      <c r="BD47" s="35">
        <f>G47/(100-BE47)*100</f>
        <v>0</v>
      </c>
      <c r="BE47" s="35">
        <v>0</v>
      </c>
      <c r="BF47" s="35">
        <f>L47</f>
        <v>7.66</v>
      </c>
      <c r="BH47" s="35">
        <f>F47*AO47</f>
        <v>0</v>
      </c>
      <c r="BI47" s="35">
        <f>F47*AP47</f>
        <v>0</v>
      </c>
      <c r="BJ47" s="35">
        <f>F47*G47</f>
        <v>0</v>
      </c>
      <c r="BK47" s="35"/>
      <c r="BL47" s="35">
        <v>38</v>
      </c>
    </row>
    <row r="48" spans="1:13" ht="15" customHeight="1">
      <c r="A48" s="38"/>
      <c r="C48" s="39" t="s">
        <v>132</v>
      </c>
      <c r="D48" s="39"/>
      <c r="F48" s="40">
        <v>1.8</v>
      </c>
      <c r="M48" s="41"/>
    </row>
    <row r="49" spans="1:13" ht="15" customHeight="1">
      <c r="A49" s="38"/>
      <c r="C49" s="39" t="s">
        <v>133</v>
      </c>
      <c r="D49" s="39"/>
      <c r="F49" s="40">
        <v>1.1760000000000002</v>
      </c>
      <c r="M49" s="41"/>
    </row>
    <row r="50" spans="1:47" ht="15" customHeight="1">
      <c r="A50" s="30"/>
      <c r="B50" s="31" t="s">
        <v>134</v>
      </c>
      <c r="C50" s="31" t="s">
        <v>135</v>
      </c>
      <c r="D50" s="31"/>
      <c r="E50" s="32" t="s">
        <v>4</v>
      </c>
      <c r="F50" s="32" t="s">
        <v>4</v>
      </c>
      <c r="G50" s="32" t="s">
        <v>4</v>
      </c>
      <c r="H50" s="3">
        <f>SUM(H51:H51)</f>
        <v>0</v>
      </c>
      <c r="I50" s="3">
        <f>SUM(I51:I51)</f>
        <v>0</v>
      </c>
      <c r="J50" s="3">
        <f>SUM(J51:J51)</f>
        <v>0</v>
      </c>
      <c r="K50" s="21"/>
      <c r="L50" s="3">
        <f>SUM(L51:L51)</f>
        <v>0.26</v>
      </c>
      <c r="M50" s="33"/>
      <c r="AI50" s="21"/>
      <c r="AS50" s="3">
        <f>SUM(AJ51:AJ51)</f>
        <v>0</v>
      </c>
      <c r="AT50" s="3">
        <f>SUM(AK51:AK51)</f>
        <v>0</v>
      </c>
      <c r="AU50" s="3">
        <f>SUM(AL51:AL51)</f>
        <v>0</v>
      </c>
    </row>
    <row r="51" spans="1:64" ht="15" customHeight="1">
      <c r="A51" s="34" t="s">
        <v>136</v>
      </c>
      <c r="B51" s="11" t="s">
        <v>137</v>
      </c>
      <c r="C51" s="11" t="s">
        <v>138</v>
      </c>
      <c r="D51" s="11"/>
      <c r="E51" s="11" t="s">
        <v>85</v>
      </c>
      <c r="F51" s="35">
        <v>26.1225</v>
      </c>
      <c r="G51" s="35">
        <v>0</v>
      </c>
      <c r="H51" s="35">
        <f>F51*AO51</f>
        <v>0</v>
      </c>
      <c r="I51" s="35">
        <f>F51*AP51</f>
        <v>0</v>
      </c>
      <c r="J51" s="35">
        <f>F51*G51</f>
        <v>0</v>
      </c>
      <c r="K51" s="35">
        <v>0.0119</v>
      </c>
      <c r="L51" s="35">
        <f>F51*K51</f>
        <v>0.26</v>
      </c>
      <c r="M51" s="36" t="s">
        <v>86</v>
      </c>
      <c r="Z51" s="35">
        <f>IF(AQ51="5",BJ51,0)</f>
        <v>0</v>
      </c>
      <c r="AB51" s="35">
        <f>IF(AQ51="1",BH51,0)</f>
        <v>0</v>
      </c>
      <c r="AC51" s="35">
        <f>IF(AQ51="1",BI51,0)</f>
        <v>0</v>
      </c>
      <c r="AD51" s="35">
        <f>IF(AQ51="7",BH51,0)</f>
        <v>0</v>
      </c>
      <c r="AE51" s="35">
        <f>IF(AQ51="7",BI51,0)</f>
        <v>0</v>
      </c>
      <c r="AF51" s="35">
        <f>IF(AQ51="2",BH51,0)</f>
        <v>0</v>
      </c>
      <c r="AG51" s="35">
        <f>IF(AQ51="2",BI51,0)</f>
        <v>0</v>
      </c>
      <c r="AH51" s="35">
        <f>IF(AQ51="0",BJ51,0)</f>
        <v>0</v>
      </c>
      <c r="AI51" s="21"/>
      <c r="AJ51" s="35">
        <f>IF(AN51=0,J51,0)</f>
        <v>0</v>
      </c>
      <c r="AK51" s="35">
        <f>IF(AN51=15,J51,0)</f>
        <v>0</v>
      </c>
      <c r="AL51" s="35">
        <f>IF(AN51=21,J51,0)</f>
        <v>0</v>
      </c>
      <c r="AN51" s="35">
        <v>15</v>
      </c>
      <c r="AO51" s="35">
        <f>G51*0.388655697054107</f>
        <v>0</v>
      </c>
      <c r="AP51" s="35">
        <f>G51*(1-0.388655697054107)</f>
        <v>0</v>
      </c>
      <c r="AQ51" s="37" t="s">
        <v>53</v>
      </c>
      <c r="AV51" s="35">
        <f>AW51+AX51</f>
        <v>0</v>
      </c>
      <c r="AW51" s="35">
        <f>F51*AO51</f>
        <v>0</v>
      </c>
      <c r="AX51" s="35">
        <f>F51*AP51</f>
        <v>0</v>
      </c>
      <c r="AY51" s="37" t="s">
        <v>139</v>
      </c>
      <c r="AZ51" s="37" t="s">
        <v>140</v>
      </c>
      <c r="BA51" s="21" t="s">
        <v>59</v>
      </c>
      <c r="BC51" s="35">
        <f>AW51+AX51</f>
        <v>0</v>
      </c>
      <c r="BD51" s="35">
        <f>G51/(100-BE51)*100</f>
        <v>0</v>
      </c>
      <c r="BE51" s="35">
        <v>0</v>
      </c>
      <c r="BF51" s="35">
        <f>L51</f>
        <v>0.26</v>
      </c>
      <c r="BH51" s="35">
        <f>F51*AO51</f>
        <v>0</v>
      </c>
      <c r="BI51" s="35">
        <f>F51*AP51</f>
        <v>0</v>
      </c>
      <c r="BJ51" s="35">
        <f>F51*G51</f>
        <v>0</v>
      </c>
      <c r="BK51" s="35"/>
      <c r="BL51" s="35">
        <v>41</v>
      </c>
    </row>
    <row r="52" spans="1:13" ht="15" customHeight="1">
      <c r="A52" s="38"/>
      <c r="C52" s="39" t="s">
        <v>141</v>
      </c>
      <c r="D52" s="39" t="s">
        <v>142</v>
      </c>
      <c r="F52" s="40">
        <v>26.122500000000002</v>
      </c>
      <c r="M52" s="41"/>
    </row>
    <row r="53" spans="1:13" ht="15" customHeight="1">
      <c r="A53" s="38"/>
      <c r="C53" s="39"/>
      <c r="D53" s="39" t="s">
        <v>143</v>
      </c>
      <c r="F53" s="40">
        <v>0</v>
      </c>
      <c r="M53" s="41"/>
    </row>
    <row r="54" spans="1:47" ht="15" customHeight="1">
      <c r="A54" s="30"/>
      <c r="B54" s="31" t="s">
        <v>144</v>
      </c>
      <c r="C54" s="31" t="s">
        <v>145</v>
      </c>
      <c r="D54" s="31"/>
      <c r="E54" s="32" t="s">
        <v>4</v>
      </c>
      <c r="F54" s="32" t="s">
        <v>4</v>
      </c>
      <c r="G54" s="32" t="s">
        <v>4</v>
      </c>
      <c r="H54" s="3">
        <f>SUM(H55:H67)</f>
        <v>0</v>
      </c>
      <c r="I54" s="3">
        <f>SUM(I55:I67)</f>
        <v>0</v>
      </c>
      <c r="J54" s="3">
        <f>SUM(J55:J67)</f>
        <v>0</v>
      </c>
      <c r="K54" s="21"/>
      <c r="L54" s="3">
        <f>SUM(L55:L67)</f>
        <v>33.5</v>
      </c>
      <c r="M54" s="33"/>
      <c r="AI54" s="21"/>
      <c r="AS54" s="3">
        <f>SUM(AJ55:AJ67)</f>
        <v>0</v>
      </c>
      <c r="AT54" s="3">
        <f>SUM(AK55:AK67)</f>
        <v>0</v>
      </c>
      <c r="AU54" s="3">
        <f>SUM(AL55:AL67)</f>
        <v>0</v>
      </c>
    </row>
    <row r="55" spans="1:64" ht="15" customHeight="1">
      <c r="A55" s="34" t="s">
        <v>104</v>
      </c>
      <c r="B55" s="11" t="s">
        <v>146</v>
      </c>
      <c r="C55" s="11" t="s">
        <v>147</v>
      </c>
      <c r="D55" s="11"/>
      <c r="E55" s="11" t="s">
        <v>85</v>
      </c>
      <c r="F55" s="35">
        <v>43.7</v>
      </c>
      <c r="G55" s="35">
        <v>0</v>
      </c>
      <c r="H55" s="35">
        <f>F55*AO55</f>
        <v>0</v>
      </c>
      <c r="I55" s="35">
        <f>F55*AP55</f>
        <v>0</v>
      </c>
      <c r="J55" s="35">
        <f>F55*G55</f>
        <v>0</v>
      </c>
      <c r="K55" s="35">
        <v>0.64562</v>
      </c>
      <c r="L55" s="35">
        <f>F55*K55</f>
        <v>28.41</v>
      </c>
      <c r="M55" s="36" t="s">
        <v>57</v>
      </c>
      <c r="Z55" s="35">
        <f>IF(AQ55="5",BJ55,0)</f>
        <v>0</v>
      </c>
      <c r="AB55" s="35">
        <f>IF(AQ55="1",BH55,0)</f>
        <v>0</v>
      </c>
      <c r="AC55" s="35">
        <f>IF(AQ55="1",BI55,0)</f>
        <v>0</v>
      </c>
      <c r="AD55" s="35">
        <f>IF(AQ55="7",BH55,0)</f>
        <v>0</v>
      </c>
      <c r="AE55" s="35">
        <f>IF(AQ55="7",BI55,0)</f>
        <v>0</v>
      </c>
      <c r="AF55" s="35">
        <f>IF(AQ55="2",BH55,0)</f>
        <v>0</v>
      </c>
      <c r="AG55" s="35">
        <f>IF(AQ55="2",BI55,0)</f>
        <v>0</v>
      </c>
      <c r="AH55" s="35">
        <f>IF(AQ55="0",BJ55,0)</f>
        <v>0</v>
      </c>
      <c r="AI55" s="21"/>
      <c r="AJ55" s="35">
        <f>IF(AN55=0,J55,0)</f>
        <v>0</v>
      </c>
      <c r="AK55" s="35">
        <f>IF(AN55=15,J55,0)</f>
        <v>0</v>
      </c>
      <c r="AL55" s="35">
        <f>IF(AN55=21,J55,0)</f>
        <v>0</v>
      </c>
      <c r="AN55" s="35">
        <v>15</v>
      </c>
      <c r="AO55" s="35">
        <f>G55*0.615624274177167</f>
        <v>0</v>
      </c>
      <c r="AP55" s="35">
        <f>G55*(1-0.615624274177167)</f>
        <v>0</v>
      </c>
      <c r="AQ55" s="37" t="s">
        <v>53</v>
      </c>
      <c r="AV55" s="35">
        <f>AW55+AX55</f>
        <v>0</v>
      </c>
      <c r="AW55" s="35">
        <f>F55*AO55</f>
        <v>0</v>
      </c>
      <c r="AX55" s="35">
        <f>F55*AP55</f>
        <v>0</v>
      </c>
      <c r="AY55" s="37" t="s">
        <v>148</v>
      </c>
      <c r="AZ55" s="37" t="s">
        <v>149</v>
      </c>
      <c r="BA55" s="21" t="s">
        <v>59</v>
      </c>
      <c r="BC55" s="35">
        <f>AW55+AX55</f>
        <v>0</v>
      </c>
      <c r="BD55" s="35">
        <f>G55/(100-BE55)*100</f>
        <v>0</v>
      </c>
      <c r="BE55" s="35">
        <v>0</v>
      </c>
      <c r="BF55" s="35">
        <f>L55</f>
        <v>28.41</v>
      </c>
      <c r="BH55" s="35">
        <f>F55*AO55</f>
        <v>0</v>
      </c>
      <c r="BI55" s="35">
        <f>F55*AP55</f>
        <v>0</v>
      </c>
      <c r="BJ55" s="35">
        <f>F55*G55</f>
        <v>0</v>
      </c>
      <c r="BK55" s="35"/>
      <c r="BL55" s="35">
        <v>59</v>
      </c>
    </row>
    <row r="56" spans="1:13" ht="15" customHeight="1">
      <c r="A56" s="38"/>
      <c r="C56" s="39" t="s">
        <v>150</v>
      </c>
      <c r="D56" s="39" t="s">
        <v>151</v>
      </c>
      <c r="F56" s="40">
        <v>43.7</v>
      </c>
      <c r="M56" s="41"/>
    </row>
    <row r="57" spans="1:64" ht="15" customHeight="1">
      <c r="A57" s="34" t="s">
        <v>113</v>
      </c>
      <c r="B57" s="11" t="s">
        <v>152</v>
      </c>
      <c r="C57" s="11" t="s">
        <v>153</v>
      </c>
      <c r="D57" s="11"/>
      <c r="E57" s="11" t="s">
        <v>85</v>
      </c>
      <c r="F57" s="35">
        <v>16.665</v>
      </c>
      <c r="G57" s="35">
        <v>0</v>
      </c>
      <c r="H57" s="35">
        <f>F57*AO57</f>
        <v>0</v>
      </c>
      <c r="I57" s="35">
        <f>F57*AP57</f>
        <v>0</v>
      </c>
      <c r="J57" s="35">
        <f>F57*G57</f>
        <v>0</v>
      </c>
      <c r="K57" s="35">
        <v>0.0739</v>
      </c>
      <c r="L57" s="35">
        <f>F57*K57</f>
        <v>1.17</v>
      </c>
      <c r="M57" s="36" t="s">
        <v>86</v>
      </c>
      <c r="Z57" s="35">
        <f>IF(AQ57="5",BJ57,0)</f>
        <v>0</v>
      </c>
      <c r="AB57" s="35">
        <f>IF(AQ57="1",BH57,0)</f>
        <v>0</v>
      </c>
      <c r="AC57" s="35">
        <f>IF(AQ57="1",BI57,0)</f>
        <v>0</v>
      </c>
      <c r="AD57" s="35">
        <f>IF(AQ57="7",BH57,0)</f>
        <v>0</v>
      </c>
      <c r="AE57" s="35">
        <f>IF(AQ57="7",BI57,0)</f>
        <v>0</v>
      </c>
      <c r="AF57" s="35">
        <f>IF(AQ57="2",BH57,0)</f>
        <v>0</v>
      </c>
      <c r="AG57" s="35">
        <f>IF(AQ57="2",BI57,0)</f>
        <v>0</v>
      </c>
      <c r="AH57" s="35">
        <f>IF(AQ57="0",BJ57,0)</f>
        <v>0</v>
      </c>
      <c r="AI57" s="21"/>
      <c r="AJ57" s="35">
        <f>IF(AN57=0,J57,0)</f>
        <v>0</v>
      </c>
      <c r="AK57" s="35">
        <f>IF(AN57=15,J57,0)</f>
        <v>0</v>
      </c>
      <c r="AL57" s="35">
        <f>IF(AN57=21,J57,0)</f>
        <v>0</v>
      </c>
      <c r="AN57" s="35">
        <v>15</v>
      </c>
      <c r="AO57" s="35">
        <f>G57*0.149452054794521</f>
        <v>0</v>
      </c>
      <c r="AP57" s="35">
        <f>G57*(1-0.149452054794521)</f>
        <v>0</v>
      </c>
      <c r="AQ57" s="37" t="s">
        <v>53</v>
      </c>
      <c r="AV57" s="35">
        <f>AW57+AX57</f>
        <v>0</v>
      </c>
      <c r="AW57" s="35">
        <f>F57*AO57</f>
        <v>0</v>
      </c>
      <c r="AX57" s="35">
        <f>F57*AP57</f>
        <v>0</v>
      </c>
      <c r="AY57" s="37" t="s">
        <v>148</v>
      </c>
      <c r="AZ57" s="37" t="s">
        <v>149</v>
      </c>
      <c r="BA57" s="21" t="s">
        <v>59</v>
      </c>
      <c r="BC57" s="35">
        <f>AW57+AX57</f>
        <v>0</v>
      </c>
      <c r="BD57" s="35">
        <f>G57/(100-BE57)*100</f>
        <v>0</v>
      </c>
      <c r="BE57" s="35">
        <v>0</v>
      </c>
      <c r="BF57" s="35">
        <f>L57</f>
        <v>1.17</v>
      </c>
      <c r="BH57" s="35">
        <f>F57*AO57</f>
        <v>0</v>
      </c>
      <c r="BI57" s="35">
        <f>F57*AP57</f>
        <v>0</v>
      </c>
      <c r="BJ57" s="35">
        <f>F57*G57</f>
        <v>0</v>
      </c>
      <c r="BK57" s="35"/>
      <c r="BL57" s="35">
        <v>59</v>
      </c>
    </row>
    <row r="58" spans="1:13" ht="15" customHeight="1">
      <c r="A58" s="38"/>
      <c r="C58" s="39" t="s">
        <v>154</v>
      </c>
      <c r="D58" s="39"/>
      <c r="F58" s="40">
        <v>11.520000000000001</v>
      </c>
      <c r="M58" s="41"/>
    </row>
    <row r="59" spans="1:13" ht="15" customHeight="1">
      <c r="A59" s="38"/>
      <c r="C59" s="39" t="s">
        <v>89</v>
      </c>
      <c r="D59" s="39"/>
      <c r="F59" s="40">
        <v>5.1450000000000005</v>
      </c>
      <c r="M59" s="41"/>
    </row>
    <row r="60" spans="1:64" ht="15" customHeight="1">
      <c r="A60" s="34" t="s">
        <v>119</v>
      </c>
      <c r="B60" s="11" t="s">
        <v>155</v>
      </c>
      <c r="C60" s="11" t="s">
        <v>156</v>
      </c>
      <c r="D60" s="11"/>
      <c r="E60" s="11" t="s">
        <v>85</v>
      </c>
      <c r="F60" s="35">
        <v>17.316</v>
      </c>
      <c r="G60" s="35">
        <v>0</v>
      </c>
      <c r="H60" s="35">
        <f>F60*AO60</f>
        <v>0</v>
      </c>
      <c r="I60" s="35">
        <f>F60*AP60</f>
        <v>0</v>
      </c>
      <c r="J60" s="35">
        <f>F60*G60</f>
        <v>0</v>
      </c>
      <c r="K60" s="35">
        <v>0.188</v>
      </c>
      <c r="L60" s="35">
        <f>F60*K60</f>
        <v>3.29</v>
      </c>
      <c r="M60" s="36" t="s">
        <v>86</v>
      </c>
      <c r="Z60" s="35">
        <f>IF(AQ60="5",BJ60,0)</f>
        <v>0</v>
      </c>
      <c r="AB60" s="35">
        <f>IF(AQ60="1",BH60,0)</f>
        <v>0</v>
      </c>
      <c r="AC60" s="35">
        <f>IF(AQ60="1",BI60,0)</f>
        <v>0</v>
      </c>
      <c r="AD60" s="35">
        <f>IF(AQ60="7",BH60,0)</f>
        <v>0</v>
      </c>
      <c r="AE60" s="35">
        <f>IF(AQ60="7",BI60,0)</f>
        <v>0</v>
      </c>
      <c r="AF60" s="35">
        <f>IF(AQ60="2",BH60,0)</f>
        <v>0</v>
      </c>
      <c r="AG60" s="35">
        <f>IF(AQ60="2",BI60,0)</f>
        <v>0</v>
      </c>
      <c r="AH60" s="35">
        <f>IF(AQ60="0",BJ60,0)</f>
        <v>0</v>
      </c>
      <c r="AI60" s="21"/>
      <c r="AJ60" s="35">
        <f>IF(AN60=0,J60,0)</f>
        <v>0</v>
      </c>
      <c r="AK60" s="35">
        <f>IF(AN60=15,J60,0)</f>
        <v>0</v>
      </c>
      <c r="AL60" s="35">
        <f>IF(AN60=21,J60,0)</f>
        <v>0</v>
      </c>
      <c r="AN60" s="35">
        <v>15</v>
      </c>
      <c r="AO60" s="35">
        <f>G60*1</f>
        <v>0</v>
      </c>
      <c r="AP60" s="35">
        <f>G60*(1-1)</f>
        <v>0</v>
      </c>
      <c r="AQ60" s="37" t="s">
        <v>53</v>
      </c>
      <c r="AV60" s="35">
        <f>AW60+AX60</f>
        <v>0</v>
      </c>
      <c r="AW60" s="35">
        <f>F60*AO60</f>
        <v>0</v>
      </c>
      <c r="AX60" s="35">
        <f>F60*AP60</f>
        <v>0</v>
      </c>
      <c r="AY60" s="37" t="s">
        <v>148</v>
      </c>
      <c r="AZ60" s="37" t="s">
        <v>149</v>
      </c>
      <c r="BA60" s="21" t="s">
        <v>59</v>
      </c>
      <c r="BC60" s="35">
        <f>AW60+AX60</f>
        <v>0</v>
      </c>
      <c r="BD60" s="35">
        <f>G60/(100-BE60)*100</f>
        <v>0</v>
      </c>
      <c r="BE60" s="35">
        <v>0</v>
      </c>
      <c r="BF60" s="35">
        <f>L60</f>
        <v>3.29</v>
      </c>
      <c r="BH60" s="35">
        <f>F60*AO60</f>
        <v>0</v>
      </c>
      <c r="BI60" s="35">
        <f>F60*AP60</f>
        <v>0</v>
      </c>
      <c r="BJ60" s="35">
        <f>F60*G60</f>
        <v>0</v>
      </c>
      <c r="BK60" s="35"/>
      <c r="BL60" s="35">
        <v>59</v>
      </c>
    </row>
    <row r="61" spans="1:13" ht="15" customHeight="1">
      <c r="A61" s="38"/>
      <c r="C61" s="39" t="s">
        <v>157</v>
      </c>
      <c r="D61" s="39" t="s">
        <v>158</v>
      </c>
      <c r="F61" s="40">
        <v>16.650000000000002</v>
      </c>
      <c r="M61" s="41"/>
    </row>
    <row r="62" spans="1:13" ht="15" customHeight="1">
      <c r="A62" s="38"/>
      <c r="C62" s="39" t="s">
        <v>159</v>
      </c>
      <c r="D62" s="39"/>
      <c r="F62" s="40">
        <v>0.666</v>
      </c>
      <c r="M62" s="41"/>
    </row>
    <row r="63" spans="1:64" ht="15" customHeight="1">
      <c r="A63" s="34" t="s">
        <v>160</v>
      </c>
      <c r="B63" s="11" t="s">
        <v>161</v>
      </c>
      <c r="C63" s="11" t="s">
        <v>162</v>
      </c>
      <c r="D63" s="11"/>
      <c r="E63" s="11" t="s">
        <v>163</v>
      </c>
      <c r="F63" s="35">
        <v>2</v>
      </c>
      <c r="G63" s="35">
        <v>0</v>
      </c>
      <c r="H63" s="35">
        <f>F63*AO63</f>
        <v>0</v>
      </c>
      <c r="I63" s="35">
        <f>F63*AP63</f>
        <v>0</v>
      </c>
      <c r="J63" s="35">
        <f>F63*G63</f>
        <v>0</v>
      </c>
      <c r="K63" s="35">
        <v>0.21672</v>
      </c>
      <c r="L63" s="35">
        <f>F63*K63</f>
        <v>0.44</v>
      </c>
      <c r="M63" s="36" t="s">
        <v>86</v>
      </c>
      <c r="Z63" s="35">
        <f>IF(AQ63="5",BJ63,0)</f>
        <v>0</v>
      </c>
      <c r="AB63" s="35">
        <f>IF(AQ63="1",BH63,0)</f>
        <v>0</v>
      </c>
      <c r="AC63" s="35">
        <f>IF(AQ63="1",BI63,0)</f>
        <v>0</v>
      </c>
      <c r="AD63" s="35">
        <f>IF(AQ63="7",BH63,0)</f>
        <v>0</v>
      </c>
      <c r="AE63" s="35">
        <f>IF(AQ63="7",BI63,0)</f>
        <v>0</v>
      </c>
      <c r="AF63" s="35">
        <f>IF(AQ63="2",BH63,0)</f>
        <v>0</v>
      </c>
      <c r="AG63" s="35">
        <f>IF(AQ63="2",BI63,0)</f>
        <v>0</v>
      </c>
      <c r="AH63" s="35">
        <f>IF(AQ63="0",BJ63,0)</f>
        <v>0</v>
      </c>
      <c r="AI63" s="21"/>
      <c r="AJ63" s="35">
        <f>IF(AN63=0,J63,0)</f>
        <v>0</v>
      </c>
      <c r="AK63" s="35">
        <f>IF(AN63=15,J63,0)</f>
        <v>0</v>
      </c>
      <c r="AL63" s="35">
        <f>IF(AN63=21,J63,0)</f>
        <v>0</v>
      </c>
      <c r="AN63" s="35">
        <v>15</v>
      </c>
      <c r="AO63" s="35">
        <f>G63*0.981925788497217</f>
        <v>0</v>
      </c>
      <c r="AP63" s="35">
        <f>G63*(1-0.981925788497217)</f>
        <v>0</v>
      </c>
      <c r="AQ63" s="37" t="s">
        <v>53</v>
      </c>
      <c r="AV63" s="35">
        <f>AW63+AX63</f>
        <v>0</v>
      </c>
      <c r="AW63" s="35">
        <f>F63*AO63</f>
        <v>0</v>
      </c>
      <c r="AX63" s="35">
        <f>F63*AP63</f>
        <v>0</v>
      </c>
      <c r="AY63" s="37" t="s">
        <v>148</v>
      </c>
      <c r="AZ63" s="37" t="s">
        <v>149</v>
      </c>
      <c r="BA63" s="21" t="s">
        <v>59</v>
      </c>
      <c r="BC63" s="35">
        <f>AW63+AX63</f>
        <v>0</v>
      </c>
      <c r="BD63" s="35">
        <f>G63/(100-BE63)*100</f>
        <v>0</v>
      </c>
      <c r="BE63" s="35">
        <v>0</v>
      </c>
      <c r="BF63" s="35">
        <f>L63</f>
        <v>0.44</v>
      </c>
      <c r="BH63" s="35">
        <f>F63*AO63</f>
        <v>0</v>
      </c>
      <c r="BI63" s="35">
        <f>F63*AP63</f>
        <v>0</v>
      </c>
      <c r="BJ63" s="35">
        <f>F63*G63</f>
        <v>0</v>
      </c>
      <c r="BK63" s="35"/>
      <c r="BL63" s="35">
        <v>59</v>
      </c>
    </row>
    <row r="64" spans="1:13" ht="15" customHeight="1">
      <c r="A64" s="38"/>
      <c r="C64" s="39" t="s">
        <v>60</v>
      </c>
      <c r="D64" s="39" t="s">
        <v>164</v>
      </c>
      <c r="F64" s="40">
        <v>2</v>
      </c>
      <c r="M64" s="41"/>
    </row>
    <row r="65" spans="1:64" ht="15" customHeight="1">
      <c r="A65" s="34" t="s">
        <v>165</v>
      </c>
      <c r="B65" s="11" t="s">
        <v>166</v>
      </c>
      <c r="C65" s="11" t="s">
        <v>167</v>
      </c>
      <c r="D65" s="11"/>
      <c r="E65" s="11" t="s">
        <v>163</v>
      </c>
      <c r="F65" s="35">
        <v>1</v>
      </c>
      <c r="G65" s="35">
        <v>0</v>
      </c>
      <c r="H65" s="35">
        <f>F65*AO65</f>
        <v>0</v>
      </c>
      <c r="I65" s="35">
        <f>F65*AP65</f>
        <v>0</v>
      </c>
      <c r="J65" s="35">
        <f>F65*G65</f>
        <v>0</v>
      </c>
      <c r="K65" s="35">
        <v>0.18973</v>
      </c>
      <c r="L65" s="35">
        <f>F65*K65</f>
        <v>0.19</v>
      </c>
      <c r="M65" s="36" t="s">
        <v>86</v>
      </c>
      <c r="Z65" s="35">
        <f>IF(AQ65="5",BJ65,0)</f>
        <v>0</v>
      </c>
      <c r="AB65" s="35">
        <f>IF(AQ65="1",BH65,0)</f>
        <v>0</v>
      </c>
      <c r="AC65" s="35">
        <f>IF(AQ65="1",BI65,0)</f>
        <v>0</v>
      </c>
      <c r="AD65" s="35">
        <f>IF(AQ65="7",BH65,0)</f>
        <v>0</v>
      </c>
      <c r="AE65" s="35">
        <f>IF(AQ65="7",BI65,0)</f>
        <v>0</v>
      </c>
      <c r="AF65" s="35">
        <f>IF(AQ65="2",BH65,0)</f>
        <v>0</v>
      </c>
      <c r="AG65" s="35">
        <f>IF(AQ65="2",BI65,0)</f>
        <v>0</v>
      </c>
      <c r="AH65" s="35">
        <f>IF(AQ65="0",BJ65,0)</f>
        <v>0</v>
      </c>
      <c r="AI65" s="21"/>
      <c r="AJ65" s="35">
        <f>IF(AN65=0,J65,0)</f>
        <v>0</v>
      </c>
      <c r="AK65" s="35">
        <f>IF(AN65=15,J65,0)</f>
        <v>0</v>
      </c>
      <c r="AL65" s="35">
        <f>IF(AN65=21,J65,0)</f>
        <v>0</v>
      </c>
      <c r="AN65" s="35">
        <v>15</v>
      </c>
      <c r="AO65" s="35">
        <f>G65*0.963278274800567</f>
        <v>0</v>
      </c>
      <c r="AP65" s="35">
        <f>G65*(1-0.963278274800567)</f>
        <v>0</v>
      </c>
      <c r="AQ65" s="37" t="s">
        <v>53</v>
      </c>
      <c r="AV65" s="35">
        <f>AW65+AX65</f>
        <v>0</v>
      </c>
      <c r="AW65" s="35">
        <f>F65*AO65</f>
        <v>0</v>
      </c>
      <c r="AX65" s="35">
        <f>F65*AP65</f>
        <v>0</v>
      </c>
      <c r="AY65" s="37" t="s">
        <v>148</v>
      </c>
      <c r="AZ65" s="37" t="s">
        <v>149</v>
      </c>
      <c r="BA65" s="21" t="s">
        <v>59</v>
      </c>
      <c r="BC65" s="35">
        <f>AW65+AX65</f>
        <v>0</v>
      </c>
      <c r="BD65" s="35">
        <f>G65/(100-BE65)*100</f>
        <v>0</v>
      </c>
      <c r="BE65" s="35">
        <v>0</v>
      </c>
      <c r="BF65" s="35">
        <f>L65</f>
        <v>0.19</v>
      </c>
      <c r="BH65" s="35">
        <f>F65*AO65</f>
        <v>0</v>
      </c>
      <c r="BI65" s="35">
        <f>F65*AP65</f>
        <v>0</v>
      </c>
      <c r="BJ65" s="35">
        <f>F65*G65</f>
        <v>0</v>
      </c>
      <c r="BK65" s="35"/>
      <c r="BL65" s="35">
        <v>59</v>
      </c>
    </row>
    <row r="66" spans="1:13" ht="15" customHeight="1">
      <c r="A66" s="38"/>
      <c r="C66" s="39" t="s">
        <v>53</v>
      </c>
      <c r="D66" s="39" t="s">
        <v>168</v>
      </c>
      <c r="F66" s="40">
        <v>1</v>
      </c>
      <c r="M66" s="41"/>
    </row>
    <row r="67" spans="1:64" ht="15" customHeight="1">
      <c r="A67" s="34" t="s">
        <v>169</v>
      </c>
      <c r="B67" s="11" t="s">
        <v>170</v>
      </c>
      <c r="C67" s="11" t="s">
        <v>171</v>
      </c>
      <c r="D67" s="11"/>
      <c r="E67" s="11" t="s">
        <v>172</v>
      </c>
      <c r="F67" s="35">
        <v>33.324</v>
      </c>
      <c r="G67" s="35">
        <v>0</v>
      </c>
      <c r="H67" s="35">
        <f>F67*AO67</f>
        <v>0</v>
      </c>
      <c r="I67" s="35">
        <f>F67*AP67</f>
        <v>0</v>
      </c>
      <c r="J67" s="35">
        <f>F67*G67</f>
        <v>0</v>
      </c>
      <c r="K67" s="35">
        <v>0</v>
      </c>
      <c r="L67" s="35">
        <f>F67*K67</f>
        <v>0</v>
      </c>
      <c r="M67" s="36" t="s">
        <v>57</v>
      </c>
      <c r="Z67" s="35">
        <f>IF(AQ67="5",BJ67,0)</f>
        <v>0</v>
      </c>
      <c r="AB67" s="35">
        <f>IF(AQ67="1",BH67,0)</f>
        <v>0</v>
      </c>
      <c r="AC67" s="35">
        <f>IF(AQ67="1",BI67,0)</f>
        <v>0</v>
      </c>
      <c r="AD67" s="35">
        <f>IF(AQ67="7",BH67,0)</f>
        <v>0</v>
      </c>
      <c r="AE67" s="35">
        <f>IF(AQ67="7",BI67,0)</f>
        <v>0</v>
      </c>
      <c r="AF67" s="35">
        <f>IF(AQ67="2",BH67,0)</f>
        <v>0</v>
      </c>
      <c r="AG67" s="35">
        <f>IF(AQ67="2",BI67,0)</f>
        <v>0</v>
      </c>
      <c r="AH67" s="35">
        <f>IF(AQ67="0",BJ67,0)</f>
        <v>0</v>
      </c>
      <c r="AI67" s="21"/>
      <c r="AJ67" s="35">
        <f>IF(AN67=0,J67,0)</f>
        <v>0</v>
      </c>
      <c r="AK67" s="35">
        <f>IF(AN67=15,J67,0)</f>
        <v>0</v>
      </c>
      <c r="AL67" s="35">
        <f>IF(AN67=21,J67,0)</f>
        <v>0</v>
      </c>
      <c r="AN67" s="35">
        <v>15</v>
      </c>
      <c r="AO67" s="35">
        <f>G67*0</f>
        <v>0</v>
      </c>
      <c r="AP67" s="35">
        <f>G67*(1-0)</f>
        <v>0</v>
      </c>
      <c r="AQ67" s="37" t="s">
        <v>70</v>
      </c>
      <c r="AV67" s="35">
        <f>AW67+AX67</f>
        <v>0</v>
      </c>
      <c r="AW67" s="35">
        <f>F67*AO67</f>
        <v>0</v>
      </c>
      <c r="AX67" s="35">
        <f>F67*AP67</f>
        <v>0</v>
      </c>
      <c r="AY67" s="37" t="s">
        <v>148</v>
      </c>
      <c r="AZ67" s="37" t="s">
        <v>149</v>
      </c>
      <c r="BA67" s="21" t="s">
        <v>59</v>
      </c>
      <c r="BC67" s="35">
        <f>AW67+AX67</f>
        <v>0</v>
      </c>
      <c r="BD67" s="35">
        <f>G67/(100-BE67)*100</f>
        <v>0</v>
      </c>
      <c r="BE67" s="35">
        <v>0</v>
      </c>
      <c r="BF67" s="35">
        <f>L67</f>
        <v>0</v>
      </c>
      <c r="BH67" s="35">
        <f>F67*AO67</f>
        <v>0</v>
      </c>
      <c r="BI67" s="35">
        <f>F67*AP67</f>
        <v>0</v>
      </c>
      <c r="BJ67" s="35">
        <f>F67*G67</f>
        <v>0</v>
      </c>
      <c r="BK67" s="35"/>
      <c r="BL67" s="35">
        <v>59</v>
      </c>
    </row>
    <row r="68" spans="1:13" ht="15" customHeight="1">
      <c r="A68" s="38"/>
      <c r="C68" s="39" t="s">
        <v>173</v>
      </c>
      <c r="D68" s="39"/>
      <c r="F68" s="40">
        <v>33.324000000000005</v>
      </c>
      <c r="M68" s="41"/>
    </row>
    <row r="69" spans="1:47" ht="15" customHeight="1">
      <c r="A69" s="30"/>
      <c r="B69" s="31" t="s">
        <v>174</v>
      </c>
      <c r="C69" s="31" t="s">
        <v>175</v>
      </c>
      <c r="D69" s="31"/>
      <c r="E69" s="32" t="s">
        <v>4</v>
      </c>
      <c r="F69" s="32" t="s">
        <v>4</v>
      </c>
      <c r="G69" s="32" t="s">
        <v>4</v>
      </c>
      <c r="H69" s="3">
        <f>SUM(H70:H70)</f>
        <v>0</v>
      </c>
      <c r="I69" s="3">
        <f>SUM(I70:I70)</f>
        <v>0</v>
      </c>
      <c r="J69" s="3">
        <f>SUM(J70:J70)</f>
        <v>0</v>
      </c>
      <c r="K69" s="21"/>
      <c r="L69" s="3">
        <f>SUM(L70:L70)</f>
        <v>0</v>
      </c>
      <c r="M69" s="33"/>
      <c r="AI69" s="21"/>
      <c r="AS69" s="3">
        <f>SUM(AJ70:AJ70)</f>
        <v>0</v>
      </c>
      <c r="AT69" s="3">
        <f>SUM(AK70:AK70)</f>
        <v>0</v>
      </c>
      <c r="AU69" s="3">
        <f>SUM(AL70:AL70)</f>
        <v>0</v>
      </c>
    </row>
    <row r="70" spans="1:64" ht="15" customHeight="1">
      <c r="A70" s="34" t="s">
        <v>176</v>
      </c>
      <c r="B70" s="11" t="s">
        <v>177</v>
      </c>
      <c r="C70" s="11" t="s">
        <v>178</v>
      </c>
      <c r="D70" s="11"/>
      <c r="E70" s="11" t="s">
        <v>163</v>
      </c>
      <c r="F70" s="35">
        <v>59</v>
      </c>
      <c r="G70" s="35">
        <v>0</v>
      </c>
      <c r="H70" s="35">
        <f>F70*AO70</f>
        <v>0</v>
      </c>
      <c r="I70" s="35">
        <f>F70*AP70</f>
        <v>0</v>
      </c>
      <c r="J70" s="35">
        <f>F70*G70</f>
        <v>0</v>
      </c>
      <c r="K70" s="35">
        <v>0.0032</v>
      </c>
      <c r="L70" s="35">
        <f>F70*K70</f>
        <v>0</v>
      </c>
      <c r="M70" s="36" t="s">
        <v>86</v>
      </c>
      <c r="Z70" s="35">
        <f>IF(AQ70="5",BJ70,0)</f>
        <v>0</v>
      </c>
      <c r="AB70" s="35">
        <f>IF(AQ70="1",BH70,0)</f>
        <v>0</v>
      </c>
      <c r="AC70" s="35">
        <f>IF(AQ70="1",BI70,0)</f>
        <v>0</v>
      </c>
      <c r="AD70" s="35">
        <f>IF(AQ70="7",BH70,0)</f>
        <v>0</v>
      </c>
      <c r="AE70" s="35">
        <f>IF(AQ70="7",BI70,0)</f>
        <v>0</v>
      </c>
      <c r="AF70" s="35">
        <f>IF(AQ70="2",BH70,0)</f>
        <v>0</v>
      </c>
      <c r="AG70" s="35">
        <f>IF(AQ70="2",BI70,0)</f>
        <v>0</v>
      </c>
      <c r="AH70" s="35">
        <f>IF(AQ70="0",BJ70,0)</f>
        <v>0</v>
      </c>
      <c r="AI70" s="21"/>
      <c r="AJ70" s="35">
        <f>IF(AN70=0,J70,0)</f>
        <v>0</v>
      </c>
      <c r="AK70" s="35">
        <f>IF(AN70=15,J70,0)</f>
        <v>0</v>
      </c>
      <c r="AL70" s="35">
        <f>IF(AN70=21,J70,0)</f>
        <v>0</v>
      </c>
      <c r="AN70" s="35">
        <v>15</v>
      </c>
      <c r="AO70" s="35">
        <f>G70*0.226900958466454</f>
        <v>0</v>
      </c>
      <c r="AP70" s="35">
        <f>G70*(1-0.226900958466454)</f>
        <v>0</v>
      </c>
      <c r="AQ70" s="37" t="s">
        <v>53</v>
      </c>
      <c r="AV70" s="35">
        <f>AW70+AX70</f>
        <v>0</v>
      </c>
      <c r="AW70" s="35">
        <f>F70*AO70</f>
        <v>0</v>
      </c>
      <c r="AX70" s="35">
        <f>F70*AP70</f>
        <v>0</v>
      </c>
      <c r="AY70" s="37" t="s">
        <v>179</v>
      </c>
      <c r="AZ70" s="37" t="s">
        <v>180</v>
      </c>
      <c r="BA70" s="21" t="s">
        <v>59</v>
      </c>
      <c r="BC70" s="35">
        <f>AW70+AX70</f>
        <v>0</v>
      </c>
      <c r="BD70" s="35">
        <f>G70/(100-BE70)*100</f>
        <v>0</v>
      </c>
      <c r="BE70" s="35">
        <v>0</v>
      </c>
      <c r="BF70" s="35">
        <f>L70</f>
        <v>0</v>
      </c>
      <c r="BH70" s="35">
        <f>F70*AO70</f>
        <v>0</v>
      </c>
      <c r="BI70" s="35">
        <f>F70*AP70</f>
        <v>0</v>
      </c>
      <c r="BJ70" s="35">
        <f>F70*G70</f>
        <v>0</v>
      </c>
      <c r="BK70" s="35"/>
      <c r="BL70" s="35">
        <v>61</v>
      </c>
    </row>
    <row r="71" spans="1:13" ht="15" customHeight="1">
      <c r="A71" s="38"/>
      <c r="C71" s="39" t="s">
        <v>144</v>
      </c>
      <c r="D71" s="39" t="s">
        <v>181</v>
      </c>
      <c r="F71" s="40">
        <v>59.00000000000001</v>
      </c>
      <c r="M71" s="41"/>
    </row>
    <row r="72" spans="1:47" ht="15" customHeight="1">
      <c r="A72" s="30"/>
      <c r="B72" s="31" t="s">
        <v>182</v>
      </c>
      <c r="C72" s="31" t="s">
        <v>183</v>
      </c>
      <c r="D72" s="31"/>
      <c r="E72" s="32" t="s">
        <v>4</v>
      </c>
      <c r="F72" s="32" t="s">
        <v>4</v>
      </c>
      <c r="G72" s="32" t="s">
        <v>4</v>
      </c>
      <c r="H72" s="3">
        <f>SUM(H73:H138)</f>
        <v>0</v>
      </c>
      <c r="I72" s="3">
        <f>SUM(I73:I138)</f>
        <v>0</v>
      </c>
      <c r="J72" s="3">
        <f>SUM(J73:J138)</f>
        <v>0</v>
      </c>
      <c r="K72" s="21"/>
      <c r="L72" s="3">
        <f>SUM(L73:L138)</f>
        <v>102.24</v>
      </c>
      <c r="M72" s="33"/>
      <c r="AI72" s="21"/>
      <c r="AS72" s="3">
        <f>SUM(AJ73:AJ138)</f>
        <v>0</v>
      </c>
      <c r="AT72" s="3">
        <f>SUM(AK73:AK138)</f>
        <v>0</v>
      </c>
      <c r="AU72" s="3">
        <f>SUM(AL73:AL138)</f>
        <v>0</v>
      </c>
    </row>
    <row r="73" spans="1:64" ht="15" customHeight="1">
      <c r="A73" s="34" t="s">
        <v>184</v>
      </c>
      <c r="B73" s="11" t="s">
        <v>185</v>
      </c>
      <c r="C73" s="11" t="s">
        <v>186</v>
      </c>
      <c r="D73" s="11"/>
      <c r="E73" s="11" t="s">
        <v>93</v>
      </c>
      <c r="F73" s="35">
        <v>87.4</v>
      </c>
      <c r="G73" s="35">
        <v>0</v>
      </c>
      <c r="H73" s="35">
        <f>F73*AO73</f>
        <v>0</v>
      </c>
      <c r="I73" s="35">
        <f>F73*AP73</f>
        <v>0</v>
      </c>
      <c r="J73" s="35">
        <f>F73*G73</f>
        <v>0</v>
      </c>
      <c r="K73" s="35">
        <v>0.00011</v>
      </c>
      <c r="L73" s="35">
        <f>F73*K73</f>
        <v>0</v>
      </c>
      <c r="M73" s="36" t="s">
        <v>57</v>
      </c>
      <c r="Z73" s="35">
        <f>IF(AQ73="5",BJ73,0)</f>
        <v>0</v>
      </c>
      <c r="AB73" s="35">
        <f>IF(AQ73="1",BH73,0)</f>
        <v>0</v>
      </c>
      <c r="AC73" s="35">
        <f>IF(AQ73="1",BI73,0)</f>
        <v>0</v>
      </c>
      <c r="AD73" s="35">
        <f>IF(AQ73="7",BH73,0)</f>
        <v>0</v>
      </c>
      <c r="AE73" s="35">
        <f>IF(AQ73="7",BI73,0)</f>
        <v>0</v>
      </c>
      <c r="AF73" s="35">
        <f>IF(AQ73="2",BH73,0)</f>
        <v>0</v>
      </c>
      <c r="AG73" s="35">
        <f>IF(AQ73="2",BI73,0)</f>
        <v>0</v>
      </c>
      <c r="AH73" s="35">
        <f>IF(AQ73="0",BJ73,0)</f>
        <v>0</v>
      </c>
      <c r="AI73" s="21"/>
      <c r="AJ73" s="35">
        <f>IF(AN73=0,J73,0)</f>
        <v>0</v>
      </c>
      <c r="AK73" s="35">
        <f>IF(AN73=15,J73,0)</f>
        <v>0</v>
      </c>
      <c r="AL73" s="35">
        <f>IF(AN73=21,J73,0)</f>
        <v>0</v>
      </c>
      <c r="AN73" s="35">
        <v>15</v>
      </c>
      <c r="AO73" s="35">
        <f>G73*0.719557381805867</f>
        <v>0</v>
      </c>
      <c r="AP73" s="35">
        <f>G73*(1-0.719557381805867)</f>
        <v>0</v>
      </c>
      <c r="AQ73" s="37" t="s">
        <v>53</v>
      </c>
      <c r="AV73" s="35">
        <f>AW73+AX73</f>
        <v>0</v>
      </c>
      <c r="AW73" s="35">
        <f>F73*AO73</f>
        <v>0</v>
      </c>
      <c r="AX73" s="35">
        <f>F73*AP73</f>
        <v>0</v>
      </c>
      <c r="AY73" s="37" t="s">
        <v>187</v>
      </c>
      <c r="AZ73" s="37" t="s">
        <v>180</v>
      </c>
      <c r="BA73" s="21" t="s">
        <v>59</v>
      </c>
      <c r="BC73" s="35">
        <f>AW73+AX73</f>
        <v>0</v>
      </c>
      <c r="BD73" s="35">
        <f>G73/(100-BE73)*100</f>
        <v>0</v>
      </c>
      <c r="BE73" s="35">
        <v>0</v>
      </c>
      <c r="BF73" s="35">
        <f>L73</f>
        <v>0</v>
      </c>
      <c r="BH73" s="35">
        <f>F73*AO73</f>
        <v>0</v>
      </c>
      <c r="BI73" s="35">
        <f>F73*AP73</f>
        <v>0</v>
      </c>
      <c r="BJ73" s="35">
        <f>F73*G73</f>
        <v>0</v>
      </c>
      <c r="BK73" s="35"/>
      <c r="BL73" s="35">
        <v>62</v>
      </c>
    </row>
    <row r="74" spans="1:13" ht="15" customHeight="1">
      <c r="A74" s="38"/>
      <c r="C74" s="39" t="s">
        <v>188</v>
      </c>
      <c r="D74" s="39"/>
      <c r="F74" s="40">
        <v>87.4</v>
      </c>
      <c r="M74" s="41"/>
    </row>
    <row r="75" spans="1:64" ht="15" customHeight="1">
      <c r="A75" s="34" t="s">
        <v>189</v>
      </c>
      <c r="B75" s="11" t="s">
        <v>190</v>
      </c>
      <c r="C75" s="11" t="s">
        <v>191</v>
      </c>
      <c r="D75" s="11"/>
      <c r="E75" s="11" t="s">
        <v>93</v>
      </c>
      <c r="F75" s="35">
        <v>72</v>
      </c>
      <c r="G75" s="35">
        <v>0</v>
      </c>
      <c r="H75" s="35">
        <f>F75*AO75</f>
        <v>0</v>
      </c>
      <c r="I75" s="35">
        <f>F75*AP75</f>
        <v>0</v>
      </c>
      <c r="J75" s="35">
        <f>F75*G75</f>
        <v>0</v>
      </c>
      <c r="K75" s="35">
        <v>0.00051</v>
      </c>
      <c r="L75" s="35">
        <f>F75*K75</f>
        <v>0</v>
      </c>
      <c r="M75" s="36" t="s">
        <v>57</v>
      </c>
      <c r="Z75" s="35">
        <f>IF(AQ75="5",BJ75,0)</f>
        <v>0</v>
      </c>
      <c r="AB75" s="35">
        <f>IF(AQ75="1",BH75,0)</f>
        <v>0</v>
      </c>
      <c r="AC75" s="35">
        <f>IF(AQ75="1",BI75,0)</f>
        <v>0</v>
      </c>
      <c r="AD75" s="35">
        <f>IF(AQ75="7",BH75,0)</f>
        <v>0</v>
      </c>
      <c r="AE75" s="35">
        <f>IF(AQ75="7",BI75,0)</f>
        <v>0</v>
      </c>
      <c r="AF75" s="35">
        <f>IF(AQ75="2",BH75,0)</f>
        <v>0</v>
      </c>
      <c r="AG75" s="35">
        <f>IF(AQ75="2",BI75,0)</f>
        <v>0</v>
      </c>
      <c r="AH75" s="35">
        <f>IF(AQ75="0",BJ75,0)</f>
        <v>0</v>
      </c>
      <c r="AI75" s="21"/>
      <c r="AJ75" s="35">
        <f>IF(AN75=0,J75,0)</f>
        <v>0</v>
      </c>
      <c r="AK75" s="35">
        <f>IF(AN75=15,J75,0)</f>
        <v>0</v>
      </c>
      <c r="AL75" s="35">
        <f>IF(AN75=21,J75,0)</f>
        <v>0</v>
      </c>
      <c r="AN75" s="35">
        <v>15</v>
      </c>
      <c r="AO75" s="35">
        <f>G75*0.73125</f>
        <v>0</v>
      </c>
      <c r="AP75" s="35">
        <f>G75*(1-0.73125)</f>
        <v>0</v>
      </c>
      <c r="AQ75" s="37" t="s">
        <v>53</v>
      </c>
      <c r="AV75" s="35">
        <f>AW75+AX75</f>
        <v>0</v>
      </c>
      <c r="AW75" s="35">
        <f>F75*AO75</f>
        <v>0</v>
      </c>
      <c r="AX75" s="35">
        <f>F75*AP75</f>
        <v>0</v>
      </c>
      <c r="AY75" s="37" t="s">
        <v>187</v>
      </c>
      <c r="AZ75" s="37" t="s">
        <v>180</v>
      </c>
      <c r="BA75" s="21" t="s">
        <v>59</v>
      </c>
      <c r="BC75" s="35">
        <f>AW75+AX75</f>
        <v>0</v>
      </c>
      <c r="BD75" s="35">
        <f>G75/(100-BE75)*100</f>
        <v>0</v>
      </c>
      <c r="BE75" s="35">
        <v>0</v>
      </c>
      <c r="BF75" s="35">
        <f>L75</f>
        <v>0</v>
      </c>
      <c r="BH75" s="35">
        <f>F75*AO75</f>
        <v>0</v>
      </c>
      <c r="BI75" s="35">
        <f>F75*AP75</f>
        <v>0</v>
      </c>
      <c r="BJ75" s="35">
        <f>F75*G75</f>
        <v>0</v>
      </c>
      <c r="BK75" s="35"/>
      <c r="BL75" s="35">
        <v>62</v>
      </c>
    </row>
    <row r="76" spans="1:13" ht="15" customHeight="1">
      <c r="A76" s="38"/>
      <c r="C76" s="39" t="s">
        <v>192</v>
      </c>
      <c r="D76" s="39"/>
      <c r="F76" s="40">
        <v>72</v>
      </c>
      <c r="M76" s="41"/>
    </row>
    <row r="77" spans="1:64" ht="15" customHeight="1">
      <c r="A77" s="34" t="s">
        <v>193</v>
      </c>
      <c r="B77" s="11" t="s">
        <v>194</v>
      </c>
      <c r="C77" s="11" t="s">
        <v>195</v>
      </c>
      <c r="D77" s="11"/>
      <c r="E77" s="11" t="s">
        <v>85</v>
      </c>
      <c r="F77" s="35">
        <v>114.625</v>
      </c>
      <c r="G77" s="35">
        <v>0</v>
      </c>
      <c r="H77" s="35">
        <f>F77*AO77</f>
        <v>0</v>
      </c>
      <c r="I77" s="35">
        <f>F77*AP77</f>
        <v>0</v>
      </c>
      <c r="J77" s="35">
        <f>F77*G77</f>
        <v>0</v>
      </c>
      <c r="K77" s="35">
        <v>0.02741</v>
      </c>
      <c r="L77" s="35">
        <f>F77*K77</f>
        <v>3.44</v>
      </c>
      <c r="M77" s="36" t="s">
        <v>57</v>
      </c>
      <c r="Z77" s="35">
        <f>IF(AQ77="5",BJ77,0)</f>
        <v>0</v>
      </c>
      <c r="AB77" s="35">
        <f>IF(AQ77="1",BH77,0)</f>
        <v>0</v>
      </c>
      <c r="AC77" s="35">
        <f>IF(AQ77="1",BI77,0)</f>
        <v>0</v>
      </c>
      <c r="AD77" s="35">
        <f>IF(AQ77="7",BH77,0)</f>
        <v>0</v>
      </c>
      <c r="AE77" s="35">
        <f>IF(AQ77="7",BI77,0)</f>
        <v>0</v>
      </c>
      <c r="AF77" s="35">
        <f>IF(AQ77="2",BH77,0)</f>
        <v>0</v>
      </c>
      <c r="AG77" s="35">
        <f>IF(AQ77="2",BI77,0)</f>
        <v>0</v>
      </c>
      <c r="AH77" s="35">
        <f>IF(AQ77="0",BJ77,0)</f>
        <v>0</v>
      </c>
      <c r="AI77" s="21"/>
      <c r="AJ77" s="35">
        <f>IF(AN77=0,J77,0)</f>
        <v>0</v>
      </c>
      <c r="AK77" s="35">
        <f>IF(AN77=15,J77,0)</f>
        <v>0</v>
      </c>
      <c r="AL77" s="35">
        <f>IF(AN77=21,J77,0)</f>
        <v>0</v>
      </c>
      <c r="AN77" s="35">
        <v>15</v>
      </c>
      <c r="AO77" s="35">
        <f>G77*0.619635949943117</f>
        <v>0</v>
      </c>
      <c r="AP77" s="35">
        <f>G77*(1-0.619635949943117)</f>
        <v>0</v>
      </c>
      <c r="AQ77" s="37" t="s">
        <v>53</v>
      </c>
      <c r="AV77" s="35">
        <f>AW77+AX77</f>
        <v>0</v>
      </c>
      <c r="AW77" s="35">
        <f>F77*AO77</f>
        <v>0</v>
      </c>
      <c r="AX77" s="35">
        <f>F77*AP77</f>
        <v>0</v>
      </c>
      <c r="AY77" s="37" t="s">
        <v>187</v>
      </c>
      <c r="AZ77" s="37" t="s">
        <v>180</v>
      </c>
      <c r="BA77" s="21" t="s">
        <v>59</v>
      </c>
      <c r="BC77" s="35">
        <f>AW77+AX77</f>
        <v>0</v>
      </c>
      <c r="BD77" s="35">
        <f>G77/(100-BE77)*100</f>
        <v>0</v>
      </c>
      <c r="BE77" s="35">
        <v>0</v>
      </c>
      <c r="BF77" s="35">
        <f>L77</f>
        <v>3.44</v>
      </c>
      <c r="BH77" s="35">
        <f>F77*AO77</f>
        <v>0</v>
      </c>
      <c r="BI77" s="35">
        <f>F77*AP77</f>
        <v>0</v>
      </c>
      <c r="BJ77" s="35">
        <f>F77*G77</f>
        <v>0</v>
      </c>
      <c r="BK77" s="35"/>
      <c r="BL77" s="35">
        <v>62</v>
      </c>
    </row>
    <row r="78" spans="1:13" ht="15" customHeight="1">
      <c r="A78" s="38"/>
      <c r="C78" s="39" t="s">
        <v>196</v>
      </c>
      <c r="D78" s="39"/>
      <c r="F78" s="40">
        <v>12.325000000000001</v>
      </c>
      <c r="M78" s="41"/>
    </row>
    <row r="79" spans="1:13" ht="15" customHeight="1">
      <c r="A79" s="38"/>
      <c r="C79" s="39" t="s">
        <v>197</v>
      </c>
      <c r="D79" s="39"/>
      <c r="F79" s="40">
        <v>23.6</v>
      </c>
      <c r="M79" s="41"/>
    </row>
    <row r="80" spans="1:13" ht="15" customHeight="1">
      <c r="A80" s="38"/>
      <c r="C80" s="39" t="s">
        <v>196</v>
      </c>
      <c r="D80" s="39"/>
      <c r="F80" s="40">
        <v>12.325000000000001</v>
      </c>
      <c r="M80" s="41"/>
    </row>
    <row r="81" spans="1:13" ht="15" customHeight="1">
      <c r="A81" s="38"/>
      <c r="C81" s="39" t="s">
        <v>198</v>
      </c>
      <c r="D81" s="39"/>
      <c r="F81" s="40">
        <v>66.375</v>
      </c>
      <c r="M81" s="41"/>
    </row>
    <row r="82" spans="1:64" ht="15" customHeight="1">
      <c r="A82" s="34" t="s">
        <v>199</v>
      </c>
      <c r="B82" s="11" t="s">
        <v>200</v>
      </c>
      <c r="C82" s="11" t="s">
        <v>201</v>
      </c>
      <c r="D82" s="11"/>
      <c r="E82" s="11" t="s">
        <v>85</v>
      </c>
      <c r="F82" s="35">
        <v>2805.97</v>
      </c>
      <c r="G82" s="35">
        <v>0</v>
      </c>
      <c r="H82" s="35">
        <f>F82*AO82</f>
        <v>0</v>
      </c>
      <c r="I82" s="35">
        <f>F82*AP82</f>
        <v>0</v>
      </c>
      <c r="J82" s="35">
        <f>F82*G82</f>
        <v>0</v>
      </c>
      <c r="K82" s="35">
        <v>0.00088</v>
      </c>
      <c r="L82" s="35">
        <f>F82*K82</f>
        <v>0</v>
      </c>
      <c r="M82" s="36" t="s">
        <v>57</v>
      </c>
      <c r="Z82" s="35">
        <f>IF(AQ82="5",BJ82,0)</f>
        <v>0</v>
      </c>
      <c r="AB82" s="35">
        <f>IF(AQ82="1",BH82,0)</f>
        <v>0</v>
      </c>
      <c r="AC82" s="35">
        <f>IF(AQ82="1",BI82,0)</f>
        <v>0</v>
      </c>
      <c r="AD82" s="35">
        <f>IF(AQ82="7",BH82,0)</f>
        <v>0</v>
      </c>
      <c r="AE82" s="35">
        <f>IF(AQ82="7",BI82,0)</f>
        <v>0</v>
      </c>
      <c r="AF82" s="35">
        <f>IF(AQ82="2",BH82,0)</f>
        <v>0</v>
      </c>
      <c r="AG82" s="35">
        <f>IF(AQ82="2",BI82,0)</f>
        <v>0</v>
      </c>
      <c r="AH82" s="35">
        <f>IF(AQ82="0",BJ82,0)</f>
        <v>0</v>
      </c>
      <c r="AI82" s="21"/>
      <c r="AJ82" s="35">
        <f>IF(AN82=0,J82,0)</f>
        <v>0</v>
      </c>
      <c r="AK82" s="35">
        <f>IF(AN82=15,J82,0)</f>
        <v>0</v>
      </c>
      <c r="AL82" s="35">
        <f>IF(AN82=21,J82,0)</f>
        <v>0</v>
      </c>
      <c r="AN82" s="35">
        <v>15</v>
      </c>
      <c r="AO82" s="35">
        <f>G82*0.242479673040333</f>
        <v>0</v>
      </c>
      <c r="AP82" s="35">
        <f>G82*(1-0.242479673040333)</f>
        <v>0</v>
      </c>
      <c r="AQ82" s="37" t="s">
        <v>53</v>
      </c>
      <c r="AV82" s="35">
        <f>AW82+AX82</f>
        <v>0</v>
      </c>
      <c r="AW82" s="35">
        <f>F82*AO82</f>
        <v>0</v>
      </c>
      <c r="AX82" s="35">
        <f>F82*AP82</f>
        <v>0</v>
      </c>
      <c r="AY82" s="37" t="s">
        <v>187</v>
      </c>
      <c r="AZ82" s="37" t="s">
        <v>180</v>
      </c>
      <c r="BA82" s="21" t="s">
        <v>59</v>
      </c>
      <c r="BC82" s="35">
        <f>AW82+AX82</f>
        <v>0</v>
      </c>
      <c r="BD82" s="35">
        <f>G82/(100-BE82)*100</f>
        <v>0</v>
      </c>
      <c r="BE82" s="35">
        <v>0</v>
      </c>
      <c r="BF82" s="35">
        <f>L82</f>
        <v>0</v>
      </c>
      <c r="BH82" s="35">
        <f>F82*AO82</f>
        <v>0</v>
      </c>
      <c r="BI82" s="35">
        <f>F82*AP82</f>
        <v>0</v>
      </c>
      <c r="BJ82" s="35">
        <f>F82*G82</f>
        <v>0</v>
      </c>
      <c r="BK82" s="35"/>
      <c r="BL82" s="35">
        <v>62</v>
      </c>
    </row>
    <row r="83" spans="1:13" ht="15" customHeight="1">
      <c r="A83" s="38"/>
      <c r="C83" s="39" t="s">
        <v>202</v>
      </c>
      <c r="D83" s="39" t="s">
        <v>203</v>
      </c>
      <c r="F83" s="40">
        <v>2805.97</v>
      </c>
      <c r="M83" s="41"/>
    </row>
    <row r="84" spans="1:64" ht="15" customHeight="1">
      <c r="A84" s="34" t="s">
        <v>204</v>
      </c>
      <c r="B84" s="11" t="s">
        <v>205</v>
      </c>
      <c r="C84" s="11" t="s">
        <v>206</v>
      </c>
      <c r="D84" s="11"/>
      <c r="E84" s="11" t="s">
        <v>85</v>
      </c>
      <c r="F84" s="35">
        <v>255.63</v>
      </c>
      <c r="G84" s="35">
        <v>0</v>
      </c>
      <c r="H84" s="35">
        <f>F84*AO84</f>
        <v>0</v>
      </c>
      <c r="I84" s="35">
        <f>F84*AP84</f>
        <v>0</v>
      </c>
      <c r="J84" s="35">
        <f>F84*G84</f>
        <v>0</v>
      </c>
      <c r="K84" s="35">
        <v>0.02227</v>
      </c>
      <c r="L84" s="35">
        <f>F84*K84</f>
        <v>5.11</v>
      </c>
      <c r="M84" s="36" t="s">
        <v>57</v>
      </c>
      <c r="Z84" s="35">
        <f>IF(AQ84="5",BJ84,0)</f>
        <v>0</v>
      </c>
      <c r="AB84" s="35">
        <f>IF(AQ84="1",BH84,0)</f>
        <v>0</v>
      </c>
      <c r="AC84" s="35">
        <f>IF(AQ84="1",BI84,0)</f>
        <v>0</v>
      </c>
      <c r="AD84" s="35">
        <f>IF(AQ84="7",BH84,0)</f>
        <v>0</v>
      </c>
      <c r="AE84" s="35">
        <f>IF(AQ84="7",BI84,0)</f>
        <v>0</v>
      </c>
      <c r="AF84" s="35">
        <f>IF(AQ84="2",BH84,0)</f>
        <v>0</v>
      </c>
      <c r="AG84" s="35">
        <f>IF(AQ84="2",BI84,0)</f>
        <v>0</v>
      </c>
      <c r="AH84" s="35">
        <f>IF(AQ84="0",BJ84,0)</f>
        <v>0</v>
      </c>
      <c r="AI84" s="21"/>
      <c r="AJ84" s="35">
        <f>IF(AN84=0,J84,0)</f>
        <v>0</v>
      </c>
      <c r="AK84" s="35">
        <f>IF(AN84=15,J84,0)</f>
        <v>0</v>
      </c>
      <c r="AL84" s="35">
        <f>IF(AN84=21,J84,0)</f>
        <v>0</v>
      </c>
      <c r="AN84" s="35">
        <v>15</v>
      </c>
      <c r="AO84" s="35">
        <f>G84*0.374589010989011</f>
        <v>0</v>
      </c>
      <c r="AP84" s="35">
        <f>G84*(1-0.374589010989011)</f>
        <v>0</v>
      </c>
      <c r="AQ84" s="37" t="s">
        <v>53</v>
      </c>
      <c r="AV84" s="35">
        <f>AW84+AX84</f>
        <v>0</v>
      </c>
      <c r="AW84" s="35">
        <f>F84*AO84</f>
        <v>0</v>
      </c>
      <c r="AX84" s="35">
        <f>F84*AP84</f>
        <v>0</v>
      </c>
      <c r="AY84" s="37" t="s">
        <v>187</v>
      </c>
      <c r="AZ84" s="37" t="s">
        <v>180</v>
      </c>
      <c r="BA84" s="21" t="s">
        <v>59</v>
      </c>
      <c r="BC84" s="35">
        <f>AW84+AX84</f>
        <v>0</v>
      </c>
      <c r="BD84" s="35">
        <f>G84/(100-BE84)*100</f>
        <v>0</v>
      </c>
      <c r="BE84" s="35">
        <v>0</v>
      </c>
      <c r="BF84" s="35">
        <f>L84</f>
        <v>5.11</v>
      </c>
      <c r="BH84" s="35">
        <f>F84*AO84</f>
        <v>0</v>
      </c>
      <c r="BI84" s="35">
        <f>F84*AP84</f>
        <v>0</v>
      </c>
      <c r="BJ84" s="35">
        <f>F84*G84</f>
        <v>0</v>
      </c>
      <c r="BK84" s="35"/>
      <c r="BL84" s="35">
        <v>62</v>
      </c>
    </row>
    <row r="85" spans="1:13" ht="15" customHeight="1">
      <c r="A85" s="38"/>
      <c r="C85" s="39" t="s">
        <v>207</v>
      </c>
      <c r="D85" s="39" t="s">
        <v>208</v>
      </c>
      <c r="F85" s="40">
        <v>68.88000000000001</v>
      </c>
      <c r="M85" s="41"/>
    </row>
    <row r="86" spans="1:13" ht="15" customHeight="1">
      <c r="A86" s="38"/>
      <c r="C86" s="39" t="s">
        <v>209</v>
      </c>
      <c r="D86" s="39"/>
      <c r="F86" s="40">
        <v>63.60000000000001</v>
      </c>
      <c r="M86" s="41"/>
    </row>
    <row r="87" spans="1:13" ht="15" customHeight="1">
      <c r="A87" s="38"/>
      <c r="C87" s="39" t="s">
        <v>210</v>
      </c>
      <c r="D87" s="39" t="s">
        <v>211</v>
      </c>
      <c r="F87" s="40">
        <v>42</v>
      </c>
      <c r="M87" s="41"/>
    </row>
    <row r="88" spans="1:13" ht="15" customHeight="1">
      <c r="A88" s="38"/>
      <c r="C88" s="39" t="s">
        <v>212</v>
      </c>
      <c r="D88" s="39"/>
      <c r="F88" s="40">
        <v>36.24</v>
      </c>
      <c r="M88" s="41"/>
    </row>
    <row r="89" spans="1:13" ht="15" customHeight="1">
      <c r="A89" s="38"/>
      <c r="C89" s="39" t="s">
        <v>213</v>
      </c>
      <c r="D89" s="39" t="s">
        <v>214</v>
      </c>
      <c r="F89" s="40">
        <v>1</v>
      </c>
      <c r="M89" s="41"/>
    </row>
    <row r="90" spans="1:13" ht="15" customHeight="1">
      <c r="A90" s="38"/>
      <c r="C90" s="39" t="s">
        <v>215</v>
      </c>
      <c r="D90" s="39"/>
      <c r="F90" s="40">
        <v>43.91</v>
      </c>
      <c r="M90" s="41"/>
    </row>
    <row r="91" spans="1:64" ht="15" customHeight="1">
      <c r="A91" s="34" t="s">
        <v>216</v>
      </c>
      <c r="B91" s="11" t="s">
        <v>217</v>
      </c>
      <c r="C91" s="11" t="s">
        <v>218</v>
      </c>
      <c r="D91" s="11"/>
      <c r="E91" s="11" t="s">
        <v>85</v>
      </c>
      <c r="F91" s="35">
        <v>2316.64</v>
      </c>
      <c r="G91" s="35">
        <v>0</v>
      </c>
      <c r="H91" s="35">
        <f>F91*AO91</f>
        <v>0</v>
      </c>
      <c r="I91" s="35">
        <f>F91*AP91</f>
        <v>0</v>
      </c>
      <c r="J91" s="35">
        <f>F91*G91</f>
        <v>0</v>
      </c>
      <c r="K91" s="35">
        <v>0</v>
      </c>
      <c r="L91" s="35">
        <f>F91*K91</f>
        <v>0</v>
      </c>
      <c r="M91" s="36" t="s">
        <v>57</v>
      </c>
      <c r="Z91" s="35">
        <f>IF(AQ91="5",BJ91,0)</f>
        <v>0</v>
      </c>
      <c r="AB91" s="35">
        <f>IF(AQ91="1",BH91,0)</f>
        <v>0</v>
      </c>
      <c r="AC91" s="35">
        <f>IF(AQ91="1",BI91,0)</f>
        <v>0</v>
      </c>
      <c r="AD91" s="35">
        <f>IF(AQ91="7",BH91,0)</f>
        <v>0</v>
      </c>
      <c r="AE91" s="35">
        <f>IF(AQ91="7",BI91,0)</f>
        <v>0</v>
      </c>
      <c r="AF91" s="35">
        <f>IF(AQ91="2",BH91,0)</f>
        <v>0</v>
      </c>
      <c r="AG91" s="35">
        <f>IF(AQ91="2",BI91,0)</f>
        <v>0</v>
      </c>
      <c r="AH91" s="35">
        <f>IF(AQ91="0",BJ91,0)</f>
        <v>0</v>
      </c>
      <c r="AI91" s="21"/>
      <c r="AJ91" s="35">
        <f>IF(AN91=0,J91,0)</f>
        <v>0</v>
      </c>
      <c r="AK91" s="35">
        <f>IF(AN91=15,J91,0)</f>
        <v>0</v>
      </c>
      <c r="AL91" s="35">
        <f>IF(AN91=21,J91,0)</f>
        <v>0</v>
      </c>
      <c r="AN91" s="35">
        <v>15</v>
      </c>
      <c r="AO91" s="35">
        <f>G91*0.328095234883776</f>
        <v>0</v>
      </c>
      <c r="AP91" s="35">
        <f>G91*(1-0.328095234883776)</f>
        <v>0</v>
      </c>
      <c r="AQ91" s="37" t="s">
        <v>53</v>
      </c>
      <c r="AV91" s="35">
        <f>AW91+AX91</f>
        <v>0</v>
      </c>
      <c r="AW91" s="35">
        <f>F91*AO91</f>
        <v>0</v>
      </c>
      <c r="AX91" s="35">
        <f>F91*AP91</f>
        <v>0</v>
      </c>
      <c r="AY91" s="37" t="s">
        <v>187</v>
      </c>
      <c r="AZ91" s="37" t="s">
        <v>180</v>
      </c>
      <c r="BA91" s="21" t="s">
        <v>59</v>
      </c>
      <c r="BC91" s="35">
        <f>AW91+AX91</f>
        <v>0</v>
      </c>
      <c r="BD91" s="35">
        <f>G91/(100-BE91)*100</f>
        <v>0</v>
      </c>
      <c r="BE91" s="35">
        <v>0</v>
      </c>
      <c r="BF91" s="35">
        <f>L91</f>
        <v>0</v>
      </c>
      <c r="BH91" s="35">
        <f>F91*AO91</f>
        <v>0</v>
      </c>
      <c r="BI91" s="35">
        <f>F91*AP91</f>
        <v>0</v>
      </c>
      <c r="BJ91" s="35">
        <f>F91*G91</f>
        <v>0</v>
      </c>
      <c r="BK91" s="35"/>
      <c r="BL91" s="35">
        <v>62</v>
      </c>
    </row>
    <row r="92" spans="1:13" ht="15" customHeight="1">
      <c r="A92" s="38"/>
      <c r="C92" s="39" t="s">
        <v>219</v>
      </c>
      <c r="D92" s="39"/>
      <c r="F92" s="40">
        <v>2316.6400000000003</v>
      </c>
      <c r="M92" s="41"/>
    </row>
    <row r="93" spans="1:64" ht="15" customHeight="1">
      <c r="A93" s="34" t="s">
        <v>220</v>
      </c>
      <c r="B93" s="11" t="s">
        <v>221</v>
      </c>
      <c r="C93" s="11" t="s">
        <v>222</v>
      </c>
      <c r="D93" s="11"/>
      <c r="E93" s="11" t="s">
        <v>85</v>
      </c>
      <c r="F93" s="35">
        <v>50</v>
      </c>
      <c r="G93" s="35">
        <v>0</v>
      </c>
      <c r="H93" s="35">
        <f>F93*AO93</f>
        <v>0</v>
      </c>
      <c r="I93" s="35">
        <f>F93*AP93</f>
        <v>0</v>
      </c>
      <c r="J93" s="35">
        <f>F93*G93</f>
        <v>0</v>
      </c>
      <c r="K93" s="35">
        <v>0.0099</v>
      </c>
      <c r="L93" s="35">
        <f>F93*K93</f>
        <v>0.5</v>
      </c>
      <c r="M93" s="36" t="s">
        <v>57</v>
      </c>
      <c r="Z93" s="35">
        <f>IF(AQ93="5",BJ93,0)</f>
        <v>0</v>
      </c>
      <c r="AB93" s="35">
        <f>IF(AQ93="1",BH93,0)</f>
        <v>0</v>
      </c>
      <c r="AC93" s="35">
        <f>IF(AQ93="1",BI93,0)</f>
        <v>0</v>
      </c>
      <c r="AD93" s="35">
        <f>IF(AQ93="7",BH93,0)</f>
        <v>0</v>
      </c>
      <c r="AE93" s="35">
        <f>IF(AQ93="7",BI93,0)</f>
        <v>0</v>
      </c>
      <c r="AF93" s="35">
        <f>IF(AQ93="2",BH93,0)</f>
        <v>0</v>
      </c>
      <c r="AG93" s="35">
        <f>IF(AQ93="2",BI93,0)</f>
        <v>0</v>
      </c>
      <c r="AH93" s="35">
        <f>IF(AQ93="0",BJ93,0)</f>
        <v>0</v>
      </c>
      <c r="AI93" s="21"/>
      <c r="AJ93" s="35">
        <f>IF(AN93=0,J93,0)</f>
        <v>0</v>
      </c>
      <c r="AK93" s="35">
        <f>IF(AN93=15,J93,0)</f>
        <v>0</v>
      </c>
      <c r="AL93" s="35">
        <f>IF(AN93=21,J93,0)</f>
        <v>0</v>
      </c>
      <c r="AN93" s="35">
        <v>15</v>
      </c>
      <c r="AO93" s="35">
        <f>G93*0.0455157471175424</f>
        <v>0</v>
      </c>
      <c r="AP93" s="35">
        <f>G93*(1-0.0455157471175424)</f>
        <v>0</v>
      </c>
      <c r="AQ93" s="37" t="s">
        <v>53</v>
      </c>
      <c r="AV93" s="35">
        <f>AW93+AX93</f>
        <v>0</v>
      </c>
      <c r="AW93" s="35">
        <f>F93*AO93</f>
        <v>0</v>
      </c>
      <c r="AX93" s="35">
        <f>F93*AP93</f>
        <v>0</v>
      </c>
      <c r="AY93" s="37" t="s">
        <v>187</v>
      </c>
      <c r="AZ93" s="37" t="s">
        <v>180</v>
      </c>
      <c r="BA93" s="21" t="s">
        <v>59</v>
      </c>
      <c r="BC93" s="35">
        <f>AW93+AX93</f>
        <v>0</v>
      </c>
      <c r="BD93" s="35">
        <f>G93/(100-BE93)*100</f>
        <v>0</v>
      </c>
      <c r="BE93" s="35">
        <v>0</v>
      </c>
      <c r="BF93" s="35">
        <f>L93</f>
        <v>0.5</v>
      </c>
      <c r="BH93" s="35">
        <f>F93*AO93</f>
        <v>0</v>
      </c>
      <c r="BI93" s="35">
        <f>F93*AP93</f>
        <v>0</v>
      </c>
      <c r="BJ93" s="35">
        <f>F93*G93</f>
        <v>0</v>
      </c>
      <c r="BK93" s="35"/>
      <c r="BL93" s="35">
        <v>62</v>
      </c>
    </row>
    <row r="94" spans="1:13" ht="15" customHeight="1">
      <c r="A94" s="38"/>
      <c r="C94" s="39" t="s">
        <v>223</v>
      </c>
      <c r="D94" s="39" t="s">
        <v>224</v>
      </c>
      <c r="F94" s="40">
        <v>50.00000000000001</v>
      </c>
      <c r="M94" s="41"/>
    </row>
    <row r="95" spans="1:64" ht="15" customHeight="1">
      <c r="A95" s="34" t="s">
        <v>225</v>
      </c>
      <c r="B95" s="11" t="s">
        <v>226</v>
      </c>
      <c r="C95" s="11" t="s">
        <v>227</v>
      </c>
      <c r="D95" s="11"/>
      <c r="E95" s="11" t="s">
        <v>85</v>
      </c>
      <c r="F95" s="35">
        <v>741.8</v>
      </c>
      <c r="G95" s="35">
        <v>0</v>
      </c>
      <c r="H95" s="35">
        <f>F95*AO95</f>
        <v>0</v>
      </c>
      <c r="I95" s="35">
        <f>F95*AP95</f>
        <v>0</v>
      </c>
      <c r="J95" s="35">
        <f>F95*G95</f>
        <v>0</v>
      </c>
      <c r="K95" s="35">
        <v>4E-05</v>
      </c>
      <c r="L95" s="35">
        <f>F95*K95</f>
        <v>0</v>
      </c>
      <c r="M95" s="36" t="s">
        <v>57</v>
      </c>
      <c r="Z95" s="35">
        <f>IF(AQ95="5",BJ95,0)</f>
        <v>0</v>
      </c>
      <c r="AB95" s="35">
        <f>IF(AQ95="1",BH95,0)</f>
        <v>0</v>
      </c>
      <c r="AC95" s="35">
        <f>IF(AQ95="1",BI95,0)</f>
        <v>0</v>
      </c>
      <c r="AD95" s="35">
        <f>IF(AQ95="7",BH95,0)</f>
        <v>0</v>
      </c>
      <c r="AE95" s="35">
        <f>IF(AQ95="7",BI95,0)</f>
        <v>0</v>
      </c>
      <c r="AF95" s="35">
        <f>IF(AQ95="2",BH95,0)</f>
        <v>0</v>
      </c>
      <c r="AG95" s="35">
        <f>IF(AQ95="2",BI95,0)</f>
        <v>0</v>
      </c>
      <c r="AH95" s="35">
        <f>IF(AQ95="0",BJ95,0)</f>
        <v>0</v>
      </c>
      <c r="AI95" s="21"/>
      <c r="AJ95" s="35">
        <f>IF(AN95=0,J95,0)</f>
        <v>0</v>
      </c>
      <c r="AK95" s="35">
        <f>IF(AN95=15,J95,0)</f>
        <v>0</v>
      </c>
      <c r="AL95" s="35">
        <f>IF(AN95=21,J95,0)</f>
        <v>0</v>
      </c>
      <c r="AN95" s="35">
        <v>15</v>
      </c>
      <c r="AO95" s="35">
        <f>G95*0.293654281395594</f>
        <v>0</v>
      </c>
      <c r="AP95" s="35">
        <f>G95*(1-0.293654281395594)</f>
        <v>0</v>
      </c>
      <c r="AQ95" s="37" t="s">
        <v>53</v>
      </c>
      <c r="AV95" s="35">
        <f>AW95+AX95</f>
        <v>0</v>
      </c>
      <c r="AW95" s="35">
        <f>F95*AO95</f>
        <v>0</v>
      </c>
      <c r="AX95" s="35">
        <f>F95*AP95</f>
        <v>0</v>
      </c>
      <c r="AY95" s="37" t="s">
        <v>187</v>
      </c>
      <c r="AZ95" s="37" t="s">
        <v>180</v>
      </c>
      <c r="BA95" s="21" t="s">
        <v>59</v>
      </c>
      <c r="BC95" s="35">
        <f>AW95+AX95</f>
        <v>0</v>
      </c>
      <c r="BD95" s="35">
        <f>G95/(100-BE95)*100</f>
        <v>0</v>
      </c>
      <c r="BE95" s="35">
        <v>0</v>
      </c>
      <c r="BF95" s="35">
        <f>L95</f>
        <v>0</v>
      </c>
      <c r="BH95" s="35">
        <f>F95*AO95</f>
        <v>0</v>
      </c>
      <c r="BI95" s="35">
        <f>F95*AP95</f>
        <v>0</v>
      </c>
      <c r="BJ95" s="35">
        <f>F95*G95</f>
        <v>0</v>
      </c>
      <c r="BK95" s="35"/>
      <c r="BL95" s="35">
        <v>62</v>
      </c>
    </row>
    <row r="96" spans="1:13" ht="15" customHeight="1">
      <c r="A96" s="38"/>
      <c r="C96" s="39" t="s">
        <v>228</v>
      </c>
      <c r="D96" s="39"/>
      <c r="F96" s="40">
        <v>741.8</v>
      </c>
      <c r="M96" s="41"/>
    </row>
    <row r="97" spans="1:64" ht="15" customHeight="1">
      <c r="A97" s="34" t="s">
        <v>229</v>
      </c>
      <c r="B97" s="11" t="s">
        <v>230</v>
      </c>
      <c r="C97" s="11" t="s">
        <v>231</v>
      </c>
      <c r="D97" s="11"/>
      <c r="E97" s="11" t="s">
        <v>93</v>
      </c>
      <c r="F97" s="35">
        <v>3316.2</v>
      </c>
      <c r="G97" s="35">
        <v>0</v>
      </c>
      <c r="H97" s="35">
        <f>F97*AO97</f>
        <v>0</v>
      </c>
      <c r="I97" s="35">
        <f>F97*AP97</f>
        <v>0</v>
      </c>
      <c r="J97" s="35">
        <f>F97*G97</f>
        <v>0</v>
      </c>
      <c r="K97" s="35">
        <v>0.00031</v>
      </c>
      <c r="L97" s="35">
        <f>F97*K97</f>
        <v>0</v>
      </c>
      <c r="M97" s="36" t="s">
        <v>57</v>
      </c>
      <c r="Z97" s="35">
        <f>IF(AQ97="5",BJ97,0)</f>
        <v>0</v>
      </c>
      <c r="AB97" s="35">
        <f>IF(AQ97="1",BH97,0)</f>
        <v>0</v>
      </c>
      <c r="AC97" s="35">
        <f>IF(AQ97="1",BI97,0)</f>
        <v>0</v>
      </c>
      <c r="AD97" s="35">
        <f>IF(AQ97="7",BH97,0)</f>
        <v>0</v>
      </c>
      <c r="AE97" s="35">
        <f>IF(AQ97="7",BI97,0)</f>
        <v>0</v>
      </c>
      <c r="AF97" s="35">
        <f>IF(AQ97="2",BH97,0)</f>
        <v>0</v>
      </c>
      <c r="AG97" s="35">
        <f>IF(AQ97="2",BI97,0)</f>
        <v>0</v>
      </c>
      <c r="AH97" s="35">
        <f>IF(AQ97="0",BJ97,0)</f>
        <v>0</v>
      </c>
      <c r="AI97" s="21"/>
      <c r="AJ97" s="35">
        <f>IF(AN97=0,J97,0)</f>
        <v>0</v>
      </c>
      <c r="AK97" s="35">
        <f>IF(AN97=15,J97,0)</f>
        <v>0</v>
      </c>
      <c r="AL97" s="35">
        <f>IF(AN97=21,J97,0)</f>
        <v>0</v>
      </c>
      <c r="AN97" s="35">
        <v>15</v>
      </c>
      <c r="AO97" s="35">
        <f>G97*0.530227272727273</f>
        <v>0</v>
      </c>
      <c r="AP97" s="35">
        <f>G97*(1-0.530227272727273)</f>
        <v>0</v>
      </c>
      <c r="AQ97" s="37" t="s">
        <v>53</v>
      </c>
      <c r="AV97" s="35">
        <f>AW97+AX97</f>
        <v>0</v>
      </c>
      <c r="AW97" s="35">
        <f>F97*AO97</f>
        <v>0</v>
      </c>
      <c r="AX97" s="35">
        <f>F97*AP97</f>
        <v>0</v>
      </c>
      <c r="AY97" s="37" t="s">
        <v>187</v>
      </c>
      <c r="AZ97" s="37" t="s">
        <v>180</v>
      </c>
      <c r="BA97" s="21" t="s">
        <v>59</v>
      </c>
      <c r="BC97" s="35">
        <f>AW97+AX97</f>
        <v>0</v>
      </c>
      <c r="BD97" s="35">
        <f>G97/(100-BE97)*100</f>
        <v>0</v>
      </c>
      <c r="BE97" s="35">
        <v>0</v>
      </c>
      <c r="BF97" s="35">
        <f>L97</f>
        <v>0</v>
      </c>
      <c r="BH97" s="35">
        <f>F97*AO97</f>
        <v>0</v>
      </c>
      <c r="BI97" s="35">
        <f>F97*AP97</f>
        <v>0</v>
      </c>
      <c r="BJ97" s="35">
        <f>F97*G97</f>
        <v>0</v>
      </c>
      <c r="BK97" s="35"/>
      <c r="BL97" s="35">
        <v>62</v>
      </c>
    </row>
    <row r="98" spans="1:13" ht="15" customHeight="1">
      <c r="A98" s="38"/>
      <c r="C98" s="39" t="s">
        <v>232</v>
      </c>
      <c r="D98" s="39"/>
      <c r="F98" s="40">
        <v>3316.2</v>
      </c>
      <c r="M98" s="41"/>
    </row>
    <row r="99" spans="1:64" ht="15" customHeight="1">
      <c r="A99" s="34" t="s">
        <v>233</v>
      </c>
      <c r="B99" s="11" t="s">
        <v>234</v>
      </c>
      <c r="C99" s="11" t="s">
        <v>235</v>
      </c>
      <c r="D99" s="11"/>
      <c r="E99" s="11" t="s">
        <v>93</v>
      </c>
      <c r="F99" s="35">
        <v>318</v>
      </c>
      <c r="G99" s="35">
        <v>0</v>
      </c>
      <c r="H99" s="35">
        <f>F99*AO99</f>
        <v>0</v>
      </c>
      <c r="I99" s="35">
        <f>F99*AP99</f>
        <v>0</v>
      </c>
      <c r="J99" s="35">
        <f>F99*G99</f>
        <v>0</v>
      </c>
      <c r="K99" s="35">
        <v>0.00012</v>
      </c>
      <c r="L99" s="35">
        <f>F99*K99</f>
        <v>0</v>
      </c>
      <c r="M99" s="36" t="s">
        <v>57</v>
      </c>
      <c r="Z99" s="35">
        <f>IF(AQ99="5",BJ99,0)</f>
        <v>0</v>
      </c>
      <c r="AB99" s="35">
        <f>IF(AQ99="1",BH99,0)</f>
        <v>0</v>
      </c>
      <c r="AC99" s="35">
        <f>IF(AQ99="1",BI99,0)</f>
        <v>0</v>
      </c>
      <c r="AD99" s="35">
        <f>IF(AQ99="7",BH99,0)</f>
        <v>0</v>
      </c>
      <c r="AE99" s="35">
        <f>IF(AQ99="7",BI99,0)</f>
        <v>0</v>
      </c>
      <c r="AF99" s="35">
        <f>IF(AQ99="2",BH99,0)</f>
        <v>0</v>
      </c>
      <c r="AG99" s="35">
        <f>IF(AQ99="2",BI99,0)</f>
        <v>0</v>
      </c>
      <c r="AH99" s="35">
        <f>IF(AQ99="0",BJ99,0)</f>
        <v>0</v>
      </c>
      <c r="AI99" s="21"/>
      <c r="AJ99" s="35">
        <f>IF(AN99=0,J99,0)</f>
        <v>0</v>
      </c>
      <c r="AK99" s="35">
        <f>IF(AN99=15,J99,0)</f>
        <v>0</v>
      </c>
      <c r="AL99" s="35">
        <f>IF(AN99=21,J99,0)</f>
        <v>0</v>
      </c>
      <c r="AN99" s="35">
        <v>15</v>
      </c>
      <c r="AO99" s="35">
        <f>G99*0.657213930348259</f>
        <v>0</v>
      </c>
      <c r="AP99" s="35">
        <f>G99*(1-0.657213930348259)</f>
        <v>0</v>
      </c>
      <c r="AQ99" s="37" t="s">
        <v>53</v>
      </c>
      <c r="AV99" s="35">
        <f>AW99+AX99</f>
        <v>0</v>
      </c>
      <c r="AW99" s="35">
        <f>F99*AO99</f>
        <v>0</v>
      </c>
      <c r="AX99" s="35">
        <f>F99*AP99</f>
        <v>0</v>
      </c>
      <c r="AY99" s="37" t="s">
        <v>187</v>
      </c>
      <c r="AZ99" s="37" t="s">
        <v>180</v>
      </c>
      <c r="BA99" s="21" t="s">
        <v>59</v>
      </c>
      <c r="BC99" s="35">
        <f>AW99+AX99</f>
        <v>0</v>
      </c>
      <c r="BD99" s="35">
        <f>G99/(100-BE99)*100</f>
        <v>0</v>
      </c>
      <c r="BE99" s="35">
        <v>0</v>
      </c>
      <c r="BF99" s="35">
        <f>L99</f>
        <v>0</v>
      </c>
      <c r="BH99" s="35">
        <f>F99*AO99</f>
        <v>0</v>
      </c>
      <c r="BI99" s="35">
        <f>F99*AP99</f>
        <v>0</v>
      </c>
      <c r="BJ99" s="35">
        <f>F99*G99</f>
        <v>0</v>
      </c>
      <c r="BK99" s="35"/>
      <c r="BL99" s="35">
        <v>62</v>
      </c>
    </row>
    <row r="100" spans="1:13" ht="15" customHeight="1">
      <c r="A100" s="38"/>
      <c r="C100" s="39" t="s">
        <v>236</v>
      </c>
      <c r="D100" s="39" t="s">
        <v>211</v>
      </c>
      <c r="F100" s="40">
        <v>62.400000000000006</v>
      </c>
      <c r="M100" s="41"/>
    </row>
    <row r="101" spans="1:13" ht="15" customHeight="1">
      <c r="A101" s="38"/>
      <c r="C101" s="39" t="s">
        <v>237</v>
      </c>
      <c r="D101" s="39"/>
      <c r="F101" s="40">
        <v>39.6</v>
      </c>
      <c r="M101" s="41"/>
    </row>
    <row r="102" spans="1:13" ht="15" customHeight="1">
      <c r="A102" s="38"/>
      <c r="C102" s="39" t="s">
        <v>238</v>
      </c>
      <c r="D102" s="39"/>
      <c r="F102" s="40">
        <v>100.80000000000001</v>
      </c>
      <c r="M102" s="41"/>
    </row>
    <row r="103" spans="1:13" ht="15" customHeight="1">
      <c r="A103" s="38"/>
      <c r="C103" s="39" t="s">
        <v>239</v>
      </c>
      <c r="D103" s="39"/>
      <c r="F103" s="40">
        <v>115.2</v>
      </c>
      <c r="M103" s="41"/>
    </row>
    <row r="104" spans="1:64" ht="15" customHeight="1">
      <c r="A104" s="34" t="s">
        <v>240</v>
      </c>
      <c r="B104" s="11" t="s">
        <v>241</v>
      </c>
      <c r="C104" s="11" t="s">
        <v>242</v>
      </c>
      <c r="D104" s="11"/>
      <c r="E104" s="11" t="s">
        <v>93</v>
      </c>
      <c r="F104" s="35">
        <v>1206.9</v>
      </c>
      <c r="G104" s="35">
        <v>0</v>
      </c>
      <c r="H104" s="35">
        <f>F104*AO104</f>
        <v>0</v>
      </c>
      <c r="I104" s="35">
        <f>F104*AP104</f>
        <v>0</v>
      </c>
      <c r="J104" s="35">
        <f>F104*G104</f>
        <v>0</v>
      </c>
      <c r="K104" s="35">
        <v>0.00023</v>
      </c>
      <c r="L104" s="35">
        <f>F104*K104</f>
        <v>0</v>
      </c>
      <c r="M104" s="36" t="s">
        <v>57</v>
      </c>
      <c r="Z104" s="35">
        <f>IF(AQ104="5",BJ104,0)</f>
        <v>0</v>
      </c>
      <c r="AB104" s="35">
        <f>IF(AQ104="1",BH104,0)</f>
        <v>0</v>
      </c>
      <c r="AC104" s="35">
        <f>IF(AQ104="1",BI104,0)</f>
        <v>0</v>
      </c>
      <c r="AD104" s="35">
        <f>IF(AQ104="7",BH104,0)</f>
        <v>0</v>
      </c>
      <c r="AE104" s="35">
        <f>IF(AQ104="7",BI104,0)</f>
        <v>0</v>
      </c>
      <c r="AF104" s="35">
        <f>IF(AQ104="2",BH104,0)</f>
        <v>0</v>
      </c>
      <c r="AG104" s="35">
        <f>IF(AQ104="2",BI104,0)</f>
        <v>0</v>
      </c>
      <c r="AH104" s="35">
        <f>IF(AQ104="0",BJ104,0)</f>
        <v>0</v>
      </c>
      <c r="AI104" s="21"/>
      <c r="AJ104" s="35">
        <f>IF(AN104=0,J104,0)</f>
        <v>0</v>
      </c>
      <c r="AK104" s="35">
        <f>IF(AN104=15,J104,0)</f>
        <v>0</v>
      </c>
      <c r="AL104" s="35">
        <f>IF(AN104=21,J104,0)</f>
        <v>0</v>
      </c>
      <c r="AN104" s="35">
        <v>15</v>
      </c>
      <c r="AO104" s="35">
        <f>G104*0.701731629698563</f>
        <v>0</v>
      </c>
      <c r="AP104" s="35">
        <f>G104*(1-0.701731629698563)</f>
        <v>0</v>
      </c>
      <c r="AQ104" s="37" t="s">
        <v>53</v>
      </c>
      <c r="AV104" s="35">
        <f>AW104+AX104</f>
        <v>0</v>
      </c>
      <c r="AW104" s="35">
        <f>F104*AO104</f>
        <v>0</v>
      </c>
      <c r="AX104" s="35">
        <f>F104*AP104</f>
        <v>0</v>
      </c>
      <c r="AY104" s="37" t="s">
        <v>187</v>
      </c>
      <c r="AZ104" s="37" t="s">
        <v>180</v>
      </c>
      <c r="BA104" s="21" t="s">
        <v>59</v>
      </c>
      <c r="BC104" s="35">
        <f>AW104+AX104</f>
        <v>0</v>
      </c>
      <c r="BD104" s="35">
        <f>G104/(100-BE104)*100</f>
        <v>0</v>
      </c>
      <c r="BE104" s="35">
        <v>0</v>
      </c>
      <c r="BF104" s="35">
        <f>L104</f>
        <v>0</v>
      </c>
      <c r="BH104" s="35">
        <f>F104*AO104</f>
        <v>0</v>
      </c>
      <c r="BI104" s="35">
        <f>F104*AP104</f>
        <v>0</v>
      </c>
      <c r="BJ104" s="35">
        <f>F104*G104</f>
        <v>0</v>
      </c>
      <c r="BK104" s="35"/>
      <c r="BL104" s="35">
        <v>62</v>
      </c>
    </row>
    <row r="105" spans="1:13" ht="15" customHeight="1">
      <c r="A105" s="38"/>
      <c r="C105" s="39" t="s">
        <v>243</v>
      </c>
      <c r="D105" s="39" t="s">
        <v>244</v>
      </c>
      <c r="F105" s="40">
        <v>921.2</v>
      </c>
      <c r="M105" s="41"/>
    </row>
    <row r="106" spans="1:13" ht="15" customHeight="1">
      <c r="A106" s="38"/>
      <c r="C106" s="39" t="s">
        <v>245</v>
      </c>
      <c r="D106" s="39" t="s">
        <v>246</v>
      </c>
      <c r="F106" s="40">
        <v>285.70000000000005</v>
      </c>
      <c r="M106" s="41"/>
    </row>
    <row r="107" spans="1:64" ht="15" customHeight="1">
      <c r="A107" s="34" t="s">
        <v>247</v>
      </c>
      <c r="B107" s="11" t="s">
        <v>248</v>
      </c>
      <c r="C107" s="11" t="s">
        <v>249</v>
      </c>
      <c r="D107" s="11"/>
      <c r="E107" s="11" t="s">
        <v>93</v>
      </c>
      <c r="F107" s="35">
        <v>2126.9</v>
      </c>
      <c r="G107" s="35">
        <v>0</v>
      </c>
      <c r="H107" s="35">
        <f>F107*AO107</f>
        <v>0</v>
      </c>
      <c r="I107" s="35">
        <f>F107*AP107</f>
        <v>0</v>
      </c>
      <c r="J107" s="35">
        <f>F107*G107</f>
        <v>0</v>
      </c>
      <c r="K107" s="35">
        <v>0.0001</v>
      </c>
      <c r="L107" s="35">
        <f>F107*K107</f>
        <v>0</v>
      </c>
      <c r="M107" s="36" t="s">
        <v>57</v>
      </c>
      <c r="Z107" s="35">
        <f>IF(AQ107="5",BJ107,0)</f>
        <v>0</v>
      </c>
      <c r="AB107" s="35">
        <f>IF(AQ107="1",BH107,0)</f>
        <v>0</v>
      </c>
      <c r="AC107" s="35">
        <f>IF(AQ107="1",BI107,0)</f>
        <v>0</v>
      </c>
      <c r="AD107" s="35">
        <f>IF(AQ107="7",BH107,0)</f>
        <v>0</v>
      </c>
      <c r="AE107" s="35">
        <f>IF(AQ107="7",BI107,0)</f>
        <v>0</v>
      </c>
      <c r="AF107" s="35">
        <f>IF(AQ107="2",BH107,0)</f>
        <v>0</v>
      </c>
      <c r="AG107" s="35">
        <f>IF(AQ107="2",BI107,0)</f>
        <v>0</v>
      </c>
      <c r="AH107" s="35">
        <f>IF(AQ107="0",BJ107,0)</f>
        <v>0</v>
      </c>
      <c r="AI107" s="21"/>
      <c r="AJ107" s="35">
        <f>IF(AN107=0,J107,0)</f>
        <v>0</v>
      </c>
      <c r="AK107" s="35">
        <f>IF(AN107=15,J107,0)</f>
        <v>0</v>
      </c>
      <c r="AL107" s="35">
        <f>IF(AN107=21,J107,0)</f>
        <v>0</v>
      </c>
      <c r="AN107" s="35">
        <v>15</v>
      </c>
      <c r="AO107" s="35">
        <f>G107*1</f>
        <v>0</v>
      </c>
      <c r="AP107" s="35">
        <f>G107*(1-1)</f>
        <v>0</v>
      </c>
      <c r="AQ107" s="37" t="s">
        <v>53</v>
      </c>
      <c r="AV107" s="35">
        <f>AW107+AX107</f>
        <v>0</v>
      </c>
      <c r="AW107" s="35">
        <f>F107*AO107</f>
        <v>0</v>
      </c>
      <c r="AX107" s="35">
        <f>F107*AP107</f>
        <v>0</v>
      </c>
      <c r="AY107" s="37" t="s">
        <v>187</v>
      </c>
      <c r="AZ107" s="37" t="s">
        <v>180</v>
      </c>
      <c r="BA107" s="21" t="s">
        <v>59</v>
      </c>
      <c r="BC107" s="35">
        <f>AW107+AX107</f>
        <v>0</v>
      </c>
      <c r="BD107" s="35">
        <f>G107/(100-BE107)*100</f>
        <v>0</v>
      </c>
      <c r="BE107" s="35">
        <v>0</v>
      </c>
      <c r="BF107" s="35">
        <f>L107</f>
        <v>0</v>
      </c>
      <c r="BH107" s="35">
        <f>F107*AO107</f>
        <v>0</v>
      </c>
      <c r="BI107" s="35">
        <f>F107*AP107</f>
        <v>0</v>
      </c>
      <c r="BJ107" s="35">
        <f>F107*G107</f>
        <v>0</v>
      </c>
      <c r="BK107" s="35"/>
      <c r="BL107" s="35">
        <v>62</v>
      </c>
    </row>
    <row r="108" spans="1:13" ht="15" customHeight="1">
      <c r="A108" s="38"/>
      <c r="C108" s="39" t="s">
        <v>250</v>
      </c>
      <c r="D108" s="39"/>
      <c r="F108" s="40">
        <v>1323</v>
      </c>
      <c r="M108" s="41"/>
    </row>
    <row r="109" spans="1:13" ht="15" customHeight="1">
      <c r="A109" s="38"/>
      <c r="C109" s="39" t="s">
        <v>251</v>
      </c>
      <c r="D109" s="39"/>
      <c r="F109" s="40">
        <v>570</v>
      </c>
      <c r="M109" s="41"/>
    </row>
    <row r="110" spans="1:13" ht="15" customHeight="1">
      <c r="A110" s="38"/>
      <c r="C110" s="39" t="s">
        <v>252</v>
      </c>
      <c r="D110" s="39"/>
      <c r="F110" s="40">
        <v>233.9</v>
      </c>
      <c r="M110" s="41"/>
    </row>
    <row r="111" spans="1:64" ht="15" customHeight="1">
      <c r="A111" s="34" t="s">
        <v>253</v>
      </c>
      <c r="B111" s="11" t="s">
        <v>254</v>
      </c>
      <c r="C111" s="11" t="s">
        <v>255</v>
      </c>
      <c r="D111" s="11"/>
      <c r="E111" s="11" t="s">
        <v>93</v>
      </c>
      <c r="F111" s="35">
        <v>523</v>
      </c>
      <c r="G111" s="35">
        <v>0</v>
      </c>
      <c r="H111" s="35">
        <f>F111*AO111</f>
        <v>0</v>
      </c>
      <c r="I111" s="35">
        <f>F111*AP111</f>
        <v>0</v>
      </c>
      <c r="J111" s="35">
        <f>F111*G111</f>
        <v>0</v>
      </c>
      <c r="K111" s="35">
        <v>6E-05</v>
      </c>
      <c r="L111" s="35">
        <f>F111*K111</f>
        <v>0</v>
      </c>
      <c r="M111" s="36" t="s">
        <v>57</v>
      </c>
      <c r="Z111" s="35">
        <f>IF(AQ111="5",BJ111,0)</f>
        <v>0</v>
      </c>
      <c r="AB111" s="35">
        <f>IF(AQ111="1",BH111,0)</f>
        <v>0</v>
      </c>
      <c r="AC111" s="35">
        <f>IF(AQ111="1",BI111,0)</f>
        <v>0</v>
      </c>
      <c r="AD111" s="35">
        <f>IF(AQ111="7",BH111,0)</f>
        <v>0</v>
      </c>
      <c r="AE111" s="35">
        <f>IF(AQ111="7",BI111,0)</f>
        <v>0</v>
      </c>
      <c r="AF111" s="35">
        <f>IF(AQ111="2",BH111,0)</f>
        <v>0</v>
      </c>
      <c r="AG111" s="35">
        <f>IF(AQ111="2",BI111,0)</f>
        <v>0</v>
      </c>
      <c r="AH111" s="35">
        <f>IF(AQ111="0",BJ111,0)</f>
        <v>0</v>
      </c>
      <c r="AI111" s="21"/>
      <c r="AJ111" s="35">
        <f>IF(AN111=0,J111,0)</f>
        <v>0</v>
      </c>
      <c r="AK111" s="35">
        <f>IF(AN111=15,J111,0)</f>
        <v>0</v>
      </c>
      <c r="AL111" s="35">
        <f>IF(AN111=21,J111,0)</f>
        <v>0</v>
      </c>
      <c r="AN111" s="35">
        <v>15</v>
      </c>
      <c r="AO111" s="35">
        <f>G111*1</f>
        <v>0</v>
      </c>
      <c r="AP111" s="35">
        <f>G111*(1-1)</f>
        <v>0</v>
      </c>
      <c r="AQ111" s="37" t="s">
        <v>53</v>
      </c>
      <c r="AV111" s="35">
        <f>AW111+AX111</f>
        <v>0</v>
      </c>
      <c r="AW111" s="35">
        <f>F111*AO111</f>
        <v>0</v>
      </c>
      <c r="AX111" s="35">
        <f>F111*AP111</f>
        <v>0</v>
      </c>
      <c r="AY111" s="37" t="s">
        <v>187</v>
      </c>
      <c r="AZ111" s="37" t="s">
        <v>180</v>
      </c>
      <c r="BA111" s="21" t="s">
        <v>59</v>
      </c>
      <c r="BC111" s="35">
        <f>AW111+AX111</f>
        <v>0</v>
      </c>
      <c r="BD111" s="35">
        <f>G111/(100-BE111)*100</f>
        <v>0</v>
      </c>
      <c r="BE111" s="35">
        <v>0</v>
      </c>
      <c r="BF111" s="35">
        <f>L111</f>
        <v>0</v>
      </c>
      <c r="BH111" s="35">
        <f>F111*AO111</f>
        <v>0</v>
      </c>
      <c r="BI111" s="35">
        <f>F111*AP111</f>
        <v>0</v>
      </c>
      <c r="BJ111" s="35">
        <f>F111*G111</f>
        <v>0</v>
      </c>
      <c r="BK111" s="35"/>
      <c r="BL111" s="35">
        <v>62</v>
      </c>
    </row>
    <row r="112" spans="1:13" ht="15" customHeight="1">
      <c r="A112" s="38"/>
      <c r="C112" s="39" t="s">
        <v>256</v>
      </c>
      <c r="D112" s="39"/>
      <c r="F112" s="40">
        <v>523</v>
      </c>
      <c r="M112" s="41"/>
    </row>
    <row r="113" spans="1:64" ht="15" customHeight="1">
      <c r="A113" s="34" t="s">
        <v>257</v>
      </c>
      <c r="B113" s="11" t="s">
        <v>258</v>
      </c>
      <c r="C113" s="11" t="s">
        <v>259</v>
      </c>
      <c r="D113" s="11"/>
      <c r="E113" s="11" t="s">
        <v>85</v>
      </c>
      <c r="F113" s="35">
        <v>183.33</v>
      </c>
      <c r="G113" s="35">
        <v>0</v>
      </c>
      <c r="H113" s="35">
        <f>F113*AO113</f>
        <v>0</v>
      </c>
      <c r="I113" s="35">
        <f>F113*AP113</f>
        <v>0</v>
      </c>
      <c r="J113" s="35">
        <f>F113*G113</f>
        <v>0</v>
      </c>
      <c r="K113" s="35">
        <v>0.02741</v>
      </c>
      <c r="L113" s="35">
        <f>F113*K113</f>
        <v>5.5</v>
      </c>
      <c r="M113" s="36" t="s">
        <v>86</v>
      </c>
      <c r="Z113" s="35">
        <f>IF(AQ113="5",BJ113,0)</f>
        <v>0</v>
      </c>
      <c r="AB113" s="35">
        <f>IF(AQ113="1",BH113,0)</f>
        <v>0</v>
      </c>
      <c r="AC113" s="35">
        <f>IF(AQ113="1",BI113,0)</f>
        <v>0</v>
      </c>
      <c r="AD113" s="35">
        <f>IF(AQ113="7",BH113,0)</f>
        <v>0</v>
      </c>
      <c r="AE113" s="35">
        <f>IF(AQ113="7",BI113,0)</f>
        <v>0</v>
      </c>
      <c r="AF113" s="35">
        <f>IF(AQ113="2",BH113,0)</f>
        <v>0</v>
      </c>
      <c r="AG113" s="35">
        <f>IF(AQ113="2",BI113,0)</f>
        <v>0</v>
      </c>
      <c r="AH113" s="35">
        <f>IF(AQ113="0",BJ113,0)</f>
        <v>0</v>
      </c>
      <c r="AI113" s="21"/>
      <c r="AJ113" s="35">
        <f>IF(AN113=0,J113,0)</f>
        <v>0</v>
      </c>
      <c r="AK113" s="35">
        <f>IF(AN113=15,J113,0)</f>
        <v>0</v>
      </c>
      <c r="AL113" s="35">
        <f>IF(AN113=21,J113,0)</f>
        <v>0</v>
      </c>
      <c r="AN113" s="35">
        <v>15</v>
      </c>
      <c r="AO113" s="35">
        <f>G113*0.668995670995671</f>
        <v>0</v>
      </c>
      <c r="AP113" s="35">
        <f>G113*(1-0.668995670995671)</f>
        <v>0</v>
      </c>
      <c r="AQ113" s="37" t="s">
        <v>53</v>
      </c>
      <c r="AV113" s="35">
        <f>AW113+AX113</f>
        <v>0</v>
      </c>
      <c r="AW113" s="35">
        <f>F113*AO113</f>
        <v>0</v>
      </c>
      <c r="AX113" s="35">
        <f>F113*AP113</f>
        <v>0</v>
      </c>
      <c r="AY113" s="37" t="s">
        <v>187</v>
      </c>
      <c r="AZ113" s="37" t="s">
        <v>180</v>
      </c>
      <c r="BA113" s="21" t="s">
        <v>59</v>
      </c>
      <c r="BC113" s="35">
        <f>AW113+AX113</f>
        <v>0</v>
      </c>
      <c r="BD113" s="35">
        <f>G113/(100-BE113)*100</f>
        <v>0</v>
      </c>
      <c r="BE113" s="35">
        <v>0</v>
      </c>
      <c r="BF113" s="35">
        <f>L113</f>
        <v>5.5</v>
      </c>
      <c r="BH113" s="35">
        <f>F113*AO113</f>
        <v>0</v>
      </c>
      <c r="BI113" s="35">
        <f>F113*AP113</f>
        <v>0</v>
      </c>
      <c r="BJ113" s="35">
        <f>F113*G113</f>
        <v>0</v>
      </c>
      <c r="BK113" s="35"/>
      <c r="BL113" s="35">
        <v>62</v>
      </c>
    </row>
    <row r="114" spans="1:13" ht="15" customHeight="1">
      <c r="A114" s="38"/>
      <c r="C114" s="39" t="s">
        <v>260</v>
      </c>
      <c r="D114" s="39" t="s">
        <v>261</v>
      </c>
      <c r="F114" s="40">
        <v>196.65</v>
      </c>
      <c r="M114" s="41"/>
    </row>
    <row r="115" spans="1:13" ht="15" customHeight="1">
      <c r="A115" s="38"/>
      <c r="C115" s="39" t="s">
        <v>262</v>
      </c>
      <c r="D115" s="39"/>
      <c r="F115" s="40">
        <v>-7.56</v>
      </c>
      <c r="M115" s="41"/>
    </row>
    <row r="116" spans="1:13" ht="15" customHeight="1">
      <c r="A116" s="38"/>
      <c r="C116" s="39" t="s">
        <v>263</v>
      </c>
      <c r="D116" s="39"/>
      <c r="F116" s="40">
        <v>-5.760000000000001</v>
      </c>
      <c r="M116" s="41"/>
    </row>
    <row r="117" spans="1:64" ht="15" customHeight="1">
      <c r="A117" s="34" t="s">
        <v>264</v>
      </c>
      <c r="B117" s="11" t="s">
        <v>265</v>
      </c>
      <c r="C117" s="11" t="s">
        <v>266</v>
      </c>
      <c r="D117" s="11"/>
      <c r="E117" s="11" t="s">
        <v>85</v>
      </c>
      <c r="F117" s="35">
        <v>2316.64</v>
      </c>
      <c r="G117" s="35">
        <v>0</v>
      </c>
      <c r="H117" s="35">
        <f>F117*AO117</f>
        <v>0</v>
      </c>
      <c r="I117" s="35">
        <f>F117*AP117</f>
        <v>0</v>
      </c>
      <c r="J117" s="35">
        <f>F117*G117</f>
        <v>0</v>
      </c>
      <c r="K117" s="35">
        <v>0.02957</v>
      </c>
      <c r="L117" s="35">
        <f>F117*K117</f>
        <v>69.5</v>
      </c>
      <c r="M117" s="36" t="s">
        <v>86</v>
      </c>
      <c r="Z117" s="35">
        <f>IF(AQ117="5",BJ117,0)</f>
        <v>0</v>
      </c>
      <c r="AB117" s="35">
        <f>IF(AQ117="1",BH117,0)</f>
        <v>0</v>
      </c>
      <c r="AC117" s="35">
        <f>IF(AQ117="1",BI117,0)</f>
        <v>0</v>
      </c>
      <c r="AD117" s="35">
        <f>IF(AQ117="7",BH117,0)</f>
        <v>0</v>
      </c>
      <c r="AE117" s="35">
        <f>IF(AQ117="7",BI117,0)</f>
        <v>0</v>
      </c>
      <c r="AF117" s="35">
        <f>IF(AQ117="2",BH117,0)</f>
        <v>0</v>
      </c>
      <c r="AG117" s="35">
        <f>IF(AQ117="2",BI117,0)</f>
        <v>0</v>
      </c>
      <c r="AH117" s="35">
        <f>IF(AQ117="0",BJ117,0)</f>
        <v>0</v>
      </c>
      <c r="AI117" s="21"/>
      <c r="AJ117" s="35">
        <f>IF(AN117=0,J117,0)</f>
        <v>0</v>
      </c>
      <c r="AK117" s="35">
        <f>IF(AN117=15,J117,0)</f>
        <v>0</v>
      </c>
      <c r="AL117" s="35">
        <f>IF(AN117=21,J117,0)</f>
        <v>0</v>
      </c>
      <c r="AN117" s="35">
        <v>15</v>
      </c>
      <c r="AO117" s="35">
        <f>G117*0.691062626262626</f>
        <v>0</v>
      </c>
      <c r="AP117" s="35">
        <f>G117*(1-0.691062626262626)</f>
        <v>0</v>
      </c>
      <c r="AQ117" s="37" t="s">
        <v>53</v>
      </c>
      <c r="AV117" s="35">
        <f>AW117+AX117</f>
        <v>0</v>
      </c>
      <c r="AW117" s="35">
        <f>F117*AO117</f>
        <v>0</v>
      </c>
      <c r="AX117" s="35">
        <f>F117*AP117</f>
        <v>0</v>
      </c>
      <c r="AY117" s="37" t="s">
        <v>187</v>
      </c>
      <c r="AZ117" s="37" t="s">
        <v>180</v>
      </c>
      <c r="BA117" s="21" t="s">
        <v>59</v>
      </c>
      <c r="BC117" s="35">
        <f>AW117+AX117</f>
        <v>0</v>
      </c>
      <c r="BD117" s="35">
        <f>G117/(100-BE117)*100</f>
        <v>0</v>
      </c>
      <c r="BE117" s="35">
        <v>0</v>
      </c>
      <c r="BF117" s="35">
        <f>L117</f>
        <v>69.5</v>
      </c>
      <c r="BH117" s="35">
        <f>F117*AO117</f>
        <v>0</v>
      </c>
      <c r="BI117" s="35">
        <f>F117*AP117</f>
        <v>0</v>
      </c>
      <c r="BJ117" s="35">
        <f>F117*G117</f>
        <v>0</v>
      </c>
      <c r="BK117" s="35"/>
      <c r="BL117" s="35">
        <v>62</v>
      </c>
    </row>
    <row r="118" spans="1:13" ht="15" customHeight="1">
      <c r="A118" s="38"/>
      <c r="C118" s="39" t="s">
        <v>267</v>
      </c>
      <c r="D118" s="39"/>
      <c r="F118" s="40">
        <v>3058.0000000000005</v>
      </c>
      <c r="M118" s="41"/>
    </row>
    <row r="119" spans="1:13" ht="15" customHeight="1">
      <c r="A119" s="38"/>
      <c r="C119" s="39" t="s">
        <v>268</v>
      </c>
      <c r="D119" s="39" t="s">
        <v>211</v>
      </c>
      <c r="F119" s="40">
        <v>-114.75000000000001</v>
      </c>
      <c r="M119" s="41"/>
    </row>
    <row r="120" spans="1:13" ht="15" customHeight="1">
      <c r="A120" s="38"/>
      <c r="C120" s="39" t="s">
        <v>269</v>
      </c>
      <c r="D120" s="39"/>
      <c r="F120" s="40">
        <v>-78.03</v>
      </c>
      <c r="M120" s="41"/>
    </row>
    <row r="121" spans="1:13" ht="15" customHeight="1">
      <c r="A121" s="38"/>
      <c r="C121" s="39" t="s">
        <v>270</v>
      </c>
      <c r="D121" s="39"/>
      <c r="F121" s="40">
        <v>-74.97000000000001</v>
      </c>
      <c r="M121" s="41"/>
    </row>
    <row r="122" spans="1:13" ht="15" customHeight="1">
      <c r="A122" s="38"/>
      <c r="C122" s="39" t="s">
        <v>271</v>
      </c>
      <c r="D122" s="39"/>
      <c r="F122" s="40">
        <v>-111.69000000000001</v>
      </c>
      <c r="M122" s="41"/>
    </row>
    <row r="123" spans="1:13" ht="15" customHeight="1">
      <c r="A123" s="38"/>
      <c r="C123" s="39" t="s">
        <v>272</v>
      </c>
      <c r="D123" s="39" t="s">
        <v>244</v>
      </c>
      <c r="F123" s="40">
        <v>-41.760000000000005</v>
      </c>
      <c r="M123" s="41"/>
    </row>
    <row r="124" spans="1:13" ht="15" customHeight="1">
      <c r="A124" s="38"/>
      <c r="C124" s="39" t="s">
        <v>273</v>
      </c>
      <c r="D124" s="39"/>
      <c r="F124" s="40">
        <v>-83.52000000000001</v>
      </c>
      <c r="M124" s="41"/>
    </row>
    <row r="125" spans="1:13" ht="15" customHeight="1">
      <c r="A125" s="38"/>
      <c r="C125" s="39" t="s">
        <v>274</v>
      </c>
      <c r="D125" s="39" t="s">
        <v>275</v>
      </c>
      <c r="F125" s="40">
        <v>-104.4</v>
      </c>
      <c r="M125" s="41"/>
    </row>
    <row r="126" spans="1:13" ht="15" customHeight="1">
      <c r="A126" s="38"/>
      <c r="C126" s="39" t="s">
        <v>276</v>
      </c>
      <c r="D126" s="39"/>
      <c r="F126" s="40">
        <v>-125.28000000000002</v>
      </c>
      <c r="M126" s="41"/>
    </row>
    <row r="127" spans="1:13" ht="15" customHeight="1">
      <c r="A127" s="38"/>
      <c r="C127" s="39" t="s">
        <v>277</v>
      </c>
      <c r="D127" s="39" t="s">
        <v>214</v>
      </c>
      <c r="F127" s="40">
        <v>-1.8</v>
      </c>
      <c r="M127" s="41"/>
    </row>
    <row r="128" spans="1:13" ht="15" customHeight="1">
      <c r="A128" s="38"/>
      <c r="C128" s="39" t="s">
        <v>278</v>
      </c>
      <c r="D128" s="39"/>
      <c r="F128" s="40">
        <v>-5.16</v>
      </c>
      <c r="M128" s="41"/>
    </row>
    <row r="129" spans="1:64" ht="15" customHeight="1">
      <c r="A129" s="34" t="s">
        <v>125</v>
      </c>
      <c r="B129" s="11" t="s">
        <v>258</v>
      </c>
      <c r="C129" s="11" t="s">
        <v>259</v>
      </c>
      <c r="D129" s="11"/>
      <c r="E129" s="11" t="s">
        <v>85</v>
      </c>
      <c r="F129" s="35">
        <v>163.936</v>
      </c>
      <c r="G129" s="35">
        <v>0</v>
      </c>
      <c r="H129" s="35">
        <f>F129*AO129</f>
        <v>0</v>
      </c>
      <c r="I129" s="35">
        <f>F129*AP129</f>
        <v>0</v>
      </c>
      <c r="J129" s="35">
        <f>F129*G129</f>
        <v>0</v>
      </c>
      <c r="K129" s="35">
        <v>0.02741</v>
      </c>
      <c r="L129" s="35">
        <f>F129*K129</f>
        <v>4.92</v>
      </c>
      <c r="M129" s="36" t="s">
        <v>86</v>
      </c>
      <c r="Z129" s="35">
        <f>IF(AQ129="5",BJ129,0)</f>
        <v>0</v>
      </c>
      <c r="AB129" s="35">
        <f>IF(AQ129="1",BH129,0)</f>
        <v>0</v>
      </c>
      <c r="AC129" s="35">
        <f>IF(AQ129="1",BI129,0)</f>
        <v>0</v>
      </c>
      <c r="AD129" s="35">
        <f>IF(AQ129="7",BH129,0)</f>
        <v>0</v>
      </c>
      <c r="AE129" s="35">
        <f>IF(AQ129="7",BI129,0)</f>
        <v>0</v>
      </c>
      <c r="AF129" s="35">
        <f>IF(AQ129="2",BH129,0)</f>
        <v>0</v>
      </c>
      <c r="AG129" s="35">
        <f>IF(AQ129="2",BI129,0)</f>
        <v>0</v>
      </c>
      <c r="AH129" s="35">
        <f>IF(AQ129="0",BJ129,0)</f>
        <v>0</v>
      </c>
      <c r="AI129" s="21"/>
      <c r="AJ129" s="35">
        <f>IF(AN129=0,J129,0)</f>
        <v>0</v>
      </c>
      <c r="AK129" s="35">
        <f>IF(AN129=15,J129,0)</f>
        <v>0</v>
      </c>
      <c r="AL129" s="35">
        <f>IF(AN129=21,J129,0)</f>
        <v>0</v>
      </c>
      <c r="AN129" s="35">
        <v>15</v>
      </c>
      <c r="AO129" s="35">
        <f>G129*0.668995670995671</f>
        <v>0</v>
      </c>
      <c r="AP129" s="35">
        <f>G129*(1-0.668995670995671)</f>
        <v>0</v>
      </c>
      <c r="AQ129" s="37" t="s">
        <v>53</v>
      </c>
      <c r="AV129" s="35">
        <f>AW129+AX129</f>
        <v>0</v>
      </c>
      <c r="AW129" s="35">
        <f>F129*AO129</f>
        <v>0</v>
      </c>
      <c r="AX129" s="35">
        <f>F129*AP129</f>
        <v>0</v>
      </c>
      <c r="AY129" s="37" t="s">
        <v>187</v>
      </c>
      <c r="AZ129" s="37" t="s">
        <v>180</v>
      </c>
      <c r="BA129" s="21" t="s">
        <v>59</v>
      </c>
      <c r="BC129" s="35">
        <f>AW129+AX129</f>
        <v>0</v>
      </c>
      <c r="BD129" s="35">
        <f>G129/(100-BE129)*100</f>
        <v>0</v>
      </c>
      <c r="BE129" s="35">
        <v>0</v>
      </c>
      <c r="BF129" s="35">
        <f>L129</f>
        <v>4.92</v>
      </c>
      <c r="BH129" s="35">
        <f>F129*AO129</f>
        <v>0</v>
      </c>
      <c r="BI129" s="35">
        <f>F129*AP129</f>
        <v>0</v>
      </c>
      <c r="BJ129" s="35">
        <f>F129*G129</f>
        <v>0</v>
      </c>
      <c r="BK129" s="35"/>
      <c r="BL129" s="35">
        <v>62</v>
      </c>
    </row>
    <row r="130" spans="1:13" ht="15" customHeight="1">
      <c r="A130" s="38"/>
      <c r="C130" s="39" t="s">
        <v>279</v>
      </c>
      <c r="D130" s="39" t="s">
        <v>280</v>
      </c>
      <c r="F130" s="40">
        <v>85.68</v>
      </c>
      <c r="M130" s="41"/>
    </row>
    <row r="131" spans="1:13" ht="15" customHeight="1">
      <c r="A131" s="38"/>
      <c r="C131" s="39" t="s">
        <v>281</v>
      </c>
      <c r="D131" s="39" t="s">
        <v>282</v>
      </c>
      <c r="F131" s="40">
        <v>78.256</v>
      </c>
      <c r="M131" s="41"/>
    </row>
    <row r="132" spans="1:64" ht="15" customHeight="1">
      <c r="A132" s="34" t="s">
        <v>283</v>
      </c>
      <c r="B132" s="11" t="s">
        <v>284</v>
      </c>
      <c r="C132" s="11" t="s">
        <v>285</v>
      </c>
      <c r="D132" s="11"/>
      <c r="E132" s="11" t="s">
        <v>85</v>
      </c>
      <c r="F132" s="35">
        <v>220.32</v>
      </c>
      <c r="G132" s="35">
        <v>0</v>
      </c>
      <c r="H132" s="35">
        <f>F132*AO132</f>
        <v>0</v>
      </c>
      <c r="I132" s="35">
        <f>F132*AP132</f>
        <v>0</v>
      </c>
      <c r="J132" s="35">
        <f>F132*G132</f>
        <v>0</v>
      </c>
      <c r="K132" s="35">
        <v>0.03389</v>
      </c>
      <c r="L132" s="35">
        <f>F132*K132</f>
        <v>6.61</v>
      </c>
      <c r="M132" s="36" t="s">
        <v>86</v>
      </c>
      <c r="Z132" s="35">
        <f>IF(AQ132="5",BJ132,0)</f>
        <v>0</v>
      </c>
      <c r="AB132" s="35">
        <f>IF(AQ132="1",BH132,0)</f>
        <v>0</v>
      </c>
      <c r="AC132" s="35">
        <f>IF(AQ132="1",BI132,0)</f>
        <v>0</v>
      </c>
      <c r="AD132" s="35">
        <f>IF(AQ132="7",BH132,0)</f>
        <v>0</v>
      </c>
      <c r="AE132" s="35">
        <f>IF(AQ132="7",BI132,0)</f>
        <v>0</v>
      </c>
      <c r="AF132" s="35">
        <f>IF(AQ132="2",BH132,0)</f>
        <v>0</v>
      </c>
      <c r="AG132" s="35">
        <f>IF(AQ132="2",BI132,0)</f>
        <v>0</v>
      </c>
      <c r="AH132" s="35">
        <f>IF(AQ132="0",BJ132,0)</f>
        <v>0</v>
      </c>
      <c r="AI132" s="21"/>
      <c r="AJ132" s="35">
        <f>IF(AN132=0,J132,0)</f>
        <v>0</v>
      </c>
      <c r="AK132" s="35">
        <f>IF(AN132=15,J132,0)</f>
        <v>0</v>
      </c>
      <c r="AL132" s="35">
        <f>IF(AN132=21,J132,0)</f>
        <v>0</v>
      </c>
      <c r="AN132" s="35">
        <v>15</v>
      </c>
      <c r="AO132" s="35">
        <f>G132*0.730292768959436</f>
        <v>0</v>
      </c>
      <c r="AP132" s="35">
        <f>G132*(1-0.730292768959436)</f>
        <v>0</v>
      </c>
      <c r="AQ132" s="37" t="s">
        <v>53</v>
      </c>
      <c r="AV132" s="35">
        <f>AW132+AX132</f>
        <v>0</v>
      </c>
      <c r="AW132" s="35">
        <f>F132*AO132</f>
        <v>0</v>
      </c>
      <c r="AX132" s="35">
        <f>F132*AP132</f>
        <v>0</v>
      </c>
      <c r="AY132" s="37" t="s">
        <v>187</v>
      </c>
      <c r="AZ132" s="37" t="s">
        <v>180</v>
      </c>
      <c r="BA132" s="21" t="s">
        <v>59</v>
      </c>
      <c r="BC132" s="35">
        <f>AW132+AX132</f>
        <v>0</v>
      </c>
      <c r="BD132" s="35">
        <f>G132/(100-BE132)*100</f>
        <v>0</v>
      </c>
      <c r="BE132" s="35">
        <v>0</v>
      </c>
      <c r="BF132" s="35">
        <f>L132</f>
        <v>6.61</v>
      </c>
      <c r="BH132" s="35">
        <f>F132*AO132</f>
        <v>0</v>
      </c>
      <c r="BI132" s="35">
        <f>F132*AP132</f>
        <v>0</v>
      </c>
      <c r="BJ132" s="35">
        <f>F132*G132</f>
        <v>0</v>
      </c>
      <c r="BK132" s="35"/>
      <c r="BL132" s="35">
        <v>62</v>
      </c>
    </row>
    <row r="133" spans="1:13" ht="15" customHeight="1">
      <c r="A133" s="38"/>
      <c r="C133" s="39" t="s">
        <v>286</v>
      </c>
      <c r="D133" s="39" t="s">
        <v>287</v>
      </c>
      <c r="F133" s="40">
        <v>220.32000000000002</v>
      </c>
      <c r="M133" s="41"/>
    </row>
    <row r="134" spans="1:64" ht="15" customHeight="1">
      <c r="A134" s="34" t="s">
        <v>288</v>
      </c>
      <c r="B134" s="11" t="s">
        <v>289</v>
      </c>
      <c r="C134" s="11" t="s">
        <v>290</v>
      </c>
      <c r="D134" s="11"/>
      <c r="E134" s="11" t="s">
        <v>85</v>
      </c>
      <c r="F134" s="35">
        <v>198.899</v>
      </c>
      <c r="G134" s="35">
        <v>0</v>
      </c>
      <c r="H134" s="35">
        <f>F134*AO134</f>
        <v>0</v>
      </c>
      <c r="I134" s="35">
        <f>F134*AP134</f>
        <v>0</v>
      </c>
      <c r="J134" s="35">
        <f>F134*G134</f>
        <v>0</v>
      </c>
      <c r="K134" s="35">
        <v>0.02607</v>
      </c>
      <c r="L134" s="35">
        <f>F134*K134</f>
        <v>5.97</v>
      </c>
      <c r="M134" s="36" t="s">
        <v>86</v>
      </c>
      <c r="Z134" s="35">
        <f>IF(AQ134="5",BJ134,0)</f>
        <v>0</v>
      </c>
      <c r="AB134" s="35">
        <f>IF(AQ134="1",BH134,0)</f>
        <v>0</v>
      </c>
      <c r="AC134" s="35">
        <f>IF(AQ134="1",BI134,0)</f>
        <v>0</v>
      </c>
      <c r="AD134" s="35">
        <f>IF(AQ134="7",BH134,0)</f>
        <v>0</v>
      </c>
      <c r="AE134" s="35">
        <f>IF(AQ134="7",BI134,0)</f>
        <v>0</v>
      </c>
      <c r="AF134" s="35">
        <f>IF(AQ134="2",BH134,0)</f>
        <v>0</v>
      </c>
      <c r="AG134" s="35">
        <f>IF(AQ134="2",BI134,0)</f>
        <v>0</v>
      </c>
      <c r="AH134" s="35">
        <f>IF(AQ134="0",BJ134,0)</f>
        <v>0</v>
      </c>
      <c r="AI134" s="21"/>
      <c r="AJ134" s="35">
        <f>IF(AN134=0,J134,0)</f>
        <v>0</v>
      </c>
      <c r="AK134" s="35">
        <f>IF(AN134=15,J134,0)</f>
        <v>0</v>
      </c>
      <c r="AL134" s="35">
        <f>IF(AN134=21,J134,0)</f>
        <v>0</v>
      </c>
      <c r="AN134" s="35">
        <v>15</v>
      </c>
      <c r="AO134" s="35">
        <f>G134*0.615106557377049</f>
        <v>0</v>
      </c>
      <c r="AP134" s="35">
        <f>G134*(1-0.615106557377049)</f>
        <v>0</v>
      </c>
      <c r="AQ134" s="37" t="s">
        <v>53</v>
      </c>
      <c r="AV134" s="35">
        <f>AW134+AX134</f>
        <v>0</v>
      </c>
      <c r="AW134" s="35">
        <f>F134*AO134</f>
        <v>0</v>
      </c>
      <c r="AX134" s="35">
        <f>F134*AP134</f>
        <v>0</v>
      </c>
      <c r="AY134" s="37" t="s">
        <v>187</v>
      </c>
      <c r="AZ134" s="37" t="s">
        <v>180</v>
      </c>
      <c r="BA134" s="21" t="s">
        <v>59</v>
      </c>
      <c r="BC134" s="35">
        <f>AW134+AX134</f>
        <v>0</v>
      </c>
      <c r="BD134" s="35">
        <f>G134/(100-BE134)*100</f>
        <v>0</v>
      </c>
      <c r="BE134" s="35">
        <v>0</v>
      </c>
      <c r="BF134" s="35">
        <f>L134</f>
        <v>5.97</v>
      </c>
      <c r="BH134" s="35">
        <f>F134*AO134</f>
        <v>0</v>
      </c>
      <c r="BI134" s="35">
        <f>F134*AP134</f>
        <v>0</v>
      </c>
      <c r="BJ134" s="35">
        <f>F134*G134</f>
        <v>0</v>
      </c>
      <c r="BK134" s="35"/>
      <c r="BL134" s="35">
        <v>62</v>
      </c>
    </row>
    <row r="135" spans="1:13" ht="15" customHeight="1">
      <c r="A135" s="38"/>
      <c r="C135" s="39" t="s">
        <v>291</v>
      </c>
      <c r="D135" s="39"/>
      <c r="F135" s="40">
        <v>198.89900000000003</v>
      </c>
      <c r="M135" s="41"/>
    </row>
    <row r="136" spans="1:64" ht="15" customHeight="1">
      <c r="A136" s="34" t="s">
        <v>134</v>
      </c>
      <c r="B136" s="11" t="s">
        <v>292</v>
      </c>
      <c r="C136" s="11" t="s">
        <v>293</v>
      </c>
      <c r="D136" s="11"/>
      <c r="E136" s="11" t="s">
        <v>85</v>
      </c>
      <c r="F136" s="35">
        <v>11.52</v>
      </c>
      <c r="G136" s="35">
        <v>0</v>
      </c>
      <c r="H136" s="35">
        <f>F136*AO136</f>
        <v>0</v>
      </c>
      <c r="I136" s="35">
        <f>F136*AP136</f>
        <v>0</v>
      </c>
      <c r="J136" s="35">
        <f>F136*G136</f>
        <v>0</v>
      </c>
      <c r="K136" s="35">
        <v>0.05946</v>
      </c>
      <c r="L136" s="35">
        <f>F136*K136</f>
        <v>0.69</v>
      </c>
      <c r="M136" s="36" t="s">
        <v>86</v>
      </c>
      <c r="Z136" s="35">
        <f>IF(AQ136="5",BJ136,0)</f>
        <v>0</v>
      </c>
      <c r="AB136" s="35">
        <f>IF(AQ136="1",BH136,0)</f>
        <v>0</v>
      </c>
      <c r="AC136" s="35">
        <f>IF(AQ136="1",BI136,0)</f>
        <v>0</v>
      </c>
      <c r="AD136" s="35">
        <f>IF(AQ136="7",BH136,0)</f>
        <v>0</v>
      </c>
      <c r="AE136" s="35">
        <f>IF(AQ136="7",BI136,0)</f>
        <v>0</v>
      </c>
      <c r="AF136" s="35">
        <f>IF(AQ136="2",BH136,0)</f>
        <v>0</v>
      </c>
      <c r="AG136" s="35">
        <f>IF(AQ136="2",BI136,0)</f>
        <v>0</v>
      </c>
      <c r="AH136" s="35">
        <f>IF(AQ136="0",BJ136,0)</f>
        <v>0</v>
      </c>
      <c r="AI136" s="21"/>
      <c r="AJ136" s="35">
        <f>IF(AN136=0,J136,0)</f>
        <v>0</v>
      </c>
      <c r="AK136" s="35">
        <f>IF(AN136=15,J136,0)</f>
        <v>0</v>
      </c>
      <c r="AL136" s="35">
        <f>IF(AN136=21,J136,0)</f>
        <v>0</v>
      </c>
      <c r="AN136" s="35">
        <v>15</v>
      </c>
      <c r="AO136" s="35">
        <f>G136*0.125466666666667</f>
        <v>0</v>
      </c>
      <c r="AP136" s="35">
        <f>G136*(1-0.125466666666667)</f>
        <v>0</v>
      </c>
      <c r="AQ136" s="37" t="s">
        <v>53</v>
      </c>
      <c r="AV136" s="35">
        <f>AW136+AX136</f>
        <v>0</v>
      </c>
      <c r="AW136" s="35">
        <f>F136*AO136</f>
        <v>0</v>
      </c>
      <c r="AX136" s="35">
        <f>F136*AP136</f>
        <v>0</v>
      </c>
      <c r="AY136" s="37" t="s">
        <v>187</v>
      </c>
      <c r="AZ136" s="37" t="s">
        <v>180</v>
      </c>
      <c r="BA136" s="21" t="s">
        <v>59</v>
      </c>
      <c r="BC136" s="35">
        <f>AW136+AX136</f>
        <v>0</v>
      </c>
      <c r="BD136" s="35">
        <f>G136/(100-BE136)*100</f>
        <v>0</v>
      </c>
      <c r="BE136" s="35">
        <v>0</v>
      </c>
      <c r="BF136" s="35">
        <f>L136</f>
        <v>0.69</v>
      </c>
      <c r="BH136" s="35">
        <f>F136*AO136</f>
        <v>0</v>
      </c>
      <c r="BI136" s="35">
        <f>F136*AP136</f>
        <v>0</v>
      </c>
      <c r="BJ136" s="35">
        <f>F136*G136</f>
        <v>0</v>
      </c>
      <c r="BK136" s="35"/>
      <c r="BL136" s="35">
        <v>62</v>
      </c>
    </row>
    <row r="137" spans="1:13" ht="15" customHeight="1">
      <c r="A137" s="38"/>
      <c r="C137" s="39" t="s">
        <v>154</v>
      </c>
      <c r="D137" s="39"/>
      <c r="F137" s="40">
        <v>11.520000000000001</v>
      </c>
      <c r="M137" s="41"/>
    </row>
    <row r="138" spans="1:64" ht="15" customHeight="1">
      <c r="A138" s="34" t="s">
        <v>294</v>
      </c>
      <c r="B138" s="11" t="s">
        <v>295</v>
      </c>
      <c r="C138" s="11" t="s">
        <v>296</v>
      </c>
      <c r="D138" s="11"/>
      <c r="E138" s="11" t="s">
        <v>172</v>
      </c>
      <c r="F138" s="35">
        <v>104.821</v>
      </c>
      <c r="G138" s="35">
        <v>0</v>
      </c>
      <c r="H138" s="35">
        <f>F138*AO138</f>
        <v>0</v>
      </c>
      <c r="I138" s="35">
        <f>F138*AP138</f>
        <v>0</v>
      </c>
      <c r="J138" s="35">
        <f>F138*G138</f>
        <v>0</v>
      </c>
      <c r="K138" s="35">
        <v>0</v>
      </c>
      <c r="L138" s="35">
        <f>F138*K138</f>
        <v>0</v>
      </c>
      <c r="M138" s="36" t="s">
        <v>57</v>
      </c>
      <c r="Z138" s="35">
        <f>IF(AQ138="5",BJ138,0)</f>
        <v>0</v>
      </c>
      <c r="AB138" s="35">
        <f>IF(AQ138="1",BH138,0)</f>
        <v>0</v>
      </c>
      <c r="AC138" s="35">
        <f>IF(AQ138="1",BI138,0)</f>
        <v>0</v>
      </c>
      <c r="AD138" s="35">
        <f>IF(AQ138="7",BH138,0)</f>
        <v>0</v>
      </c>
      <c r="AE138" s="35">
        <f>IF(AQ138="7",BI138,0)</f>
        <v>0</v>
      </c>
      <c r="AF138" s="35">
        <f>IF(AQ138="2",BH138,0)</f>
        <v>0</v>
      </c>
      <c r="AG138" s="35">
        <f>IF(AQ138="2",BI138,0)</f>
        <v>0</v>
      </c>
      <c r="AH138" s="35">
        <f>IF(AQ138="0",BJ138,0)</f>
        <v>0</v>
      </c>
      <c r="AI138" s="21"/>
      <c r="AJ138" s="35">
        <f>IF(AN138=0,J138,0)</f>
        <v>0</v>
      </c>
      <c r="AK138" s="35">
        <f>IF(AN138=15,J138,0)</f>
        <v>0</v>
      </c>
      <c r="AL138" s="35">
        <f>IF(AN138=21,J138,0)</f>
        <v>0</v>
      </c>
      <c r="AN138" s="35">
        <v>15</v>
      </c>
      <c r="AO138" s="35">
        <f>G138*0</f>
        <v>0</v>
      </c>
      <c r="AP138" s="35">
        <f>G138*(1-0)</f>
        <v>0</v>
      </c>
      <c r="AQ138" s="37" t="s">
        <v>70</v>
      </c>
      <c r="AV138" s="35">
        <f>AW138+AX138</f>
        <v>0</v>
      </c>
      <c r="AW138" s="35">
        <f>F138*AO138</f>
        <v>0</v>
      </c>
      <c r="AX138" s="35">
        <f>F138*AP138</f>
        <v>0</v>
      </c>
      <c r="AY138" s="37" t="s">
        <v>187</v>
      </c>
      <c r="AZ138" s="37" t="s">
        <v>180</v>
      </c>
      <c r="BA138" s="21" t="s">
        <v>59</v>
      </c>
      <c r="BC138" s="35">
        <f>AW138+AX138</f>
        <v>0</v>
      </c>
      <c r="BD138" s="35">
        <f>G138/(100-BE138)*100</f>
        <v>0</v>
      </c>
      <c r="BE138" s="35">
        <v>0</v>
      </c>
      <c r="BF138" s="35">
        <f>L138</f>
        <v>0</v>
      </c>
      <c r="BH138" s="35">
        <f>F138*AO138</f>
        <v>0</v>
      </c>
      <c r="BI138" s="35">
        <f>F138*AP138</f>
        <v>0</v>
      </c>
      <c r="BJ138" s="35">
        <f>F138*G138</f>
        <v>0</v>
      </c>
      <c r="BK138" s="35"/>
      <c r="BL138" s="35">
        <v>62</v>
      </c>
    </row>
    <row r="139" spans="1:13" ht="15" customHeight="1">
      <c r="A139" s="38"/>
      <c r="C139" s="39" t="s">
        <v>297</v>
      </c>
      <c r="D139" s="39"/>
      <c r="F139" s="40">
        <v>104.82100000000001</v>
      </c>
      <c r="M139" s="41"/>
    </row>
    <row r="140" spans="1:47" ht="15" customHeight="1">
      <c r="A140" s="30"/>
      <c r="B140" s="31" t="s">
        <v>298</v>
      </c>
      <c r="C140" s="31" t="s">
        <v>299</v>
      </c>
      <c r="D140" s="31"/>
      <c r="E140" s="32" t="s">
        <v>4</v>
      </c>
      <c r="F140" s="32" t="s">
        <v>4</v>
      </c>
      <c r="G140" s="32" t="s">
        <v>4</v>
      </c>
      <c r="H140" s="3">
        <f>SUM(H141:H145)</f>
        <v>0</v>
      </c>
      <c r="I140" s="3">
        <f>SUM(I141:I145)</f>
        <v>0</v>
      </c>
      <c r="J140" s="3">
        <f>SUM(J141:J145)</f>
        <v>0</v>
      </c>
      <c r="K140" s="21"/>
      <c r="L140" s="3">
        <f>SUM(L141:L145)</f>
        <v>2.8</v>
      </c>
      <c r="M140" s="33"/>
      <c r="AI140" s="21"/>
      <c r="AS140" s="3">
        <f>SUM(AJ141:AJ145)</f>
        <v>0</v>
      </c>
      <c r="AT140" s="3">
        <f>SUM(AK141:AK145)</f>
        <v>0</v>
      </c>
      <c r="AU140" s="3">
        <f>SUM(AL141:AL145)</f>
        <v>0</v>
      </c>
    </row>
    <row r="141" spans="1:64" ht="15" customHeight="1">
      <c r="A141" s="34" t="s">
        <v>300</v>
      </c>
      <c r="B141" s="11" t="s">
        <v>301</v>
      </c>
      <c r="C141" s="11" t="s">
        <v>302</v>
      </c>
      <c r="D141" s="11"/>
      <c r="E141" s="11" t="s">
        <v>85</v>
      </c>
      <c r="F141" s="35">
        <v>11.52</v>
      </c>
      <c r="G141" s="35">
        <v>0</v>
      </c>
      <c r="H141" s="35">
        <f>F141*AO141</f>
        <v>0</v>
      </c>
      <c r="I141" s="35">
        <f>F141*AP141</f>
        <v>0</v>
      </c>
      <c r="J141" s="35">
        <f>F141*G141</f>
        <v>0</v>
      </c>
      <c r="K141" s="35">
        <v>0.06615</v>
      </c>
      <c r="L141" s="35">
        <f>F141*K141</f>
        <v>0.81</v>
      </c>
      <c r="M141" s="36" t="s">
        <v>86</v>
      </c>
      <c r="Z141" s="35">
        <f>IF(AQ141="5",BJ141,0)</f>
        <v>0</v>
      </c>
      <c r="AB141" s="35">
        <f>IF(AQ141="1",BH141,0)</f>
        <v>0</v>
      </c>
      <c r="AC141" s="35">
        <f>IF(AQ141="1",BI141,0)</f>
        <v>0</v>
      </c>
      <c r="AD141" s="35">
        <f>IF(AQ141="7",BH141,0)</f>
        <v>0</v>
      </c>
      <c r="AE141" s="35">
        <f>IF(AQ141="7",BI141,0)</f>
        <v>0</v>
      </c>
      <c r="AF141" s="35">
        <f>IF(AQ141="2",BH141,0)</f>
        <v>0</v>
      </c>
      <c r="AG141" s="35">
        <f>IF(AQ141="2",BI141,0)</f>
        <v>0</v>
      </c>
      <c r="AH141" s="35">
        <f>IF(AQ141="0",BJ141,0)</f>
        <v>0</v>
      </c>
      <c r="AI141" s="21"/>
      <c r="AJ141" s="35">
        <f>IF(AN141=0,J141,0)</f>
        <v>0</v>
      </c>
      <c r="AK141" s="35">
        <f>IF(AN141=15,J141,0)</f>
        <v>0</v>
      </c>
      <c r="AL141" s="35">
        <f>IF(AN141=21,J141,0)</f>
        <v>0</v>
      </c>
      <c r="AN141" s="35">
        <v>15</v>
      </c>
      <c r="AO141" s="35">
        <f>G141*0.723210059171598</f>
        <v>0</v>
      </c>
      <c r="AP141" s="35">
        <f>G141*(1-0.723210059171598)</f>
        <v>0</v>
      </c>
      <c r="AQ141" s="37" t="s">
        <v>53</v>
      </c>
      <c r="AV141" s="35">
        <f>AW141+AX141</f>
        <v>0</v>
      </c>
      <c r="AW141" s="35">
        <f>F141*AO141</f>
        <v>0</v>
      </c>
      <c r="AX141" s="35">
        <f>F141*AP141</f>
        <v>0</v>
      </c>
      <c r="AY141" s="37" t="s">
        <v>303</v>
      </c>
      <c r="AZ141" s="37" t="s">
        <v>180</v>
      </c>
      <c r="BA141" s="21" t="s">
        <v>59</v>
      </c>
      <c r="BC141" s="35">
        <f>AW141+AX141</f>
        <v>0</v>
      </c>
      <c r="BD141" s="35">
        <f>G141/(100-BE141)*100</f>
        <v>0</v>
      </c>
      <c r="BE141" s="35">
        <v>0</v>
      </c>
      <c r="BF141" s="35">
        <f>L141</f>
        <v>0.81</v>
      </c>
      <c r="BH141" s="35">
        <f>F141*AO141</f>
        <v>0</v>
      </c>
      <c r="BI141" s="35">
        <f>F141*AP141</f>
        <v>0</v>
      </c>
      <c r="BJ141" s="35">
        <f>F141*G141</f>
        <v>0</v>
      </c>
      <c r="BK141" s="35"/>
      <c r="BL141" s="35">
        <v>63</v>
      </c>
    </row>
    <row r="142" spans="1:13" ht="15" customHeight="1">
      <c r="A142" s="38"/>
      <c r="C142" s="39" t="s">
        <v>154</v>
      </c>
      <c r="D142" s="39" t="s">
        <v>304</v>
      </c>
      <c r="F142" s="40">
        <v>11.520000000000001</v>
      </c>
      <c r="M142" s="41"/>
    </row>
    <row r="143" spans="1:64" ht="15" customHeight="1">
      <c r="A143" s="34" t="s">
        <v>305</v>
      </c>
      <c r="B143" s="11" t="s">
        <v>306</v>
      </c>
      <c r="C143" s="11" t="s">
        <v>307</v>
      </c>
      <c r="D143" s="11"/>
      <c r="E143" s="11" t="s">
        <v>93</v>
      </c>
      <c r="F143" s="35">
        <v>9.6</v>
      </c>
      <c r="G143" s="35">
        <v>0</v>
      </c>
      <c r="H143" s="35">
        <f>F143*AO143</f>
        <v>0</v>
      </c>
      <c r="I143" s="35">
        <f>F143*AP143</f>
        <v>0</v>
      </c>
      <c r="J143" s="35">
        <f>F143*G143</f>
        <v>0</v>
      </c>
      <c r="K143" s="35">
        <v>0.0017</v>
      </c>
      <c r="L143" s="35">
        <f>F143*K143</f>
        <v>0</v>
      </c>
      <c r="M143" s="36" t="s">
        <v>86</v>
      </c>
      <c r="Z143" s="35">
        <f>IF(AQ143="5",BJ143,0)</f>
        <v>0</v>
      </c>
      <c r="AB143" s="35">
        <f>IF(AQ143="1",BH143,0)</f>
        <v>0</v>
      </c>
      <c r="AC143" s="35">
        <f>IF(AQ143="1",BI143,0)</f>
        <v>0</v>
      </c>
      <c r="AD143" s="35">
        <f>IF(AQ143="7",BH143,0)</f>
        <v>0</v>
      </c>
      <c r="AE143" s="35">
        <f>IF(AQ143="7",BI143,0)</f>
        <v>0</v>
      </c>
      <c r="AF143" s="35">
        <f>IF(AQ143="2",BH143,0)</f>
        <v>0</v>
      </c>
      <c r="AG143" s="35">
        <f>IF(AQ143="2",BI143,0)</f>
        <v>0</v>
      </c>
      <c r="AH143" s="35">
        <f>IF(AQ143="0",BJ143,0)</f>
        <v>0</v>
      </c>
      <c r="AI143" s="21"/>
      <c r="AJ143" s="35">
        <f>IF(AN143=0,J143,0)</f>
        <v>0</v>
      </c>
      <c r="AK143" s="35">
        <f>IF(AN143=15,J143,0)</f>
        <v>0</v>
      </c>
      <c r="AL143" s="35">
        <f>IF(AN143=21,J143,0)</f>
        <v>0</v>
      </c>
      <c r="AN143" s="35">
        <v>15</v>
      </c>
      <c r="AO143" s="35">
        <f>G143*0.714277777777778</f>
        <v>0</v>
      </c>
      <c r="AP143" s="35">
        <f>G143*(1-0.714277777777778)</f>
        <v>0</v>
      </c>
      <c r="AQ143" s="37" t="s">
        <v>53</v>
      </c>
      <c r="AV143" s="35">
        <f>AW143+AX143</f>
        <v>0</v>
      </c>
      <c r="AW143" s="35">
        <f>F143*AO143</f>
        <v>0</v>
      </c>
      <c r="AX143" s="35">
        <f>F143*AP143</f>
        <v>0</v>
      </c>
      <c r="AY143" s="37" t="s">
        <v>303</v>
      </c>
      <c r="AZ143" s="37" t="s">
        <v>180</v>
      </c>
      <c r="BA143" s="21" t="s">
        <v>59</v>
      </c>
      <c r="BC143" s="35">
        <f>AW143+AX143</f>
        <v>0</v>
      </c>
      <c r="BD143" s="35">
        <f>G143/(100-BE143)*100</f>
        <v>0</v>
      </c>
      <c r="BE143" s="35">
        <v>0</v>
      </c>
      <c r="BF143" s="35">
        <f>L143</f>
        <v>0</v>
      </c>
      <c r="BH143" s="35">
        <f>F143*AO143</f>
        <v>0</v>
      </c>
      <c r="BI143" s="35">
        <f>F143*AP143</f>
        <v>0</v>
      </c>
      <c r="BJ143" s="35">
        <f>F143*G143</f>
        <v>0</v>
      </c>
      <c r="BK143" s="35"/>
      <c r="BL143" s="35">
        <v>63</v>
      </c>
    </row>
    <row r="144" spans="1:13" ht="15" customHeight="1">
      <c r="A144" s="38"/>
      <c r="C144" s="39" t="s">
        <v>308</v>
      </c>
      <c r="D144" s="39"/>
      <c r="F144" s="40">
        <v>9.600000000000001</v>
      </c>
      <c r="M144" s="41"/>
    </row>
    <row r="145" spans="1:64" ht="15" customHeight="1">
      <c r="A145" s="34" t="s">
        <v>309</v>
      </c>
      <c r="B145" s="11" t="s">
        <v>310</v>
      </c>
      <c r="C145" s="11" t="s">
        <v>311</v>
      </c>
      <c r="D145" s="11"/>
      <c r="E145" s="11" t="s">
        <v>85</v>
      </c>
      <c r="F145" s="35">
        <v>198.899</v>
      </c>
      <c r="G145" s="35">
        <v>0</v>
      </c>
      <c r="H145" s="35">
        <f>F145*AO145</f>
        <v>0</v>
      </c>
      <c r="I145" s="35">
        <f>F145*AP145</f>
        <v>0</v>
      </c>
      <c r="J145" s="35">
        <f>F145*G145</f>
        <v>0</v>
      </c>
      <c r="K145" s="35">
        <v>0.007</v>
      </c>
      <c r="L145" s="35">
        <f>F145*K145</f>
        <v>1.99</v>
      </c>
      <c r="M145" s="36" t="s">
        <v>86</v>
      </c>
      <c r="Z145" s="35">
        <f>IF(AQ145="5",BJ145,0)</f>
        <v>0</v>
      </c>
      <c r="AB145" s="35">
        <f>IF(AQ145="1",BH145,0)</f>
        <v>0</v>
      </c>
      <c r="AC145" s="35">
        <f>IF(AQ145="1",BI145,0)</f>
        <v>0</v>
      </c>
      <c r="AD145" s="35">
        <f>IF(AQ145="7",BH145,0)</f>
        <v>0</v>
      </c>
      <c r="AE145" s="35">
        <f>IF(AQ145="7",BI145,0)</f>
        <v>0</v>
      </c>
      <c r="AF145" s="35">
        <f>IF(AQ145="2",BH145,0)</f>
        <v>0</v>
      </c>
      <c r="AG145" s="35">
        <f>IF(AQ145="2",BI145,0)</f>
        <v>0</v>
      </c>
      <c r="AH145" s="35">
        <f>IF(AQ145="0",BJ145,0)</f>
        <v>0</v>
      </c>
      <c r="AI145" s="21"/>
      <c r="AJ145" s="35">
        <f>IF(AN145=0,J145,0)</f>
        <v>0</v>
      </c>
      <c r="AK145" s="35">
        <f>IF(AN145=15,J145,0)</f>
        <v>0</v>
      </c>
      <c r="AL145" s="35">
        <f>IF(AN145=21,J145,0)</f>
        <v>0</v>
      </c>
      <c r="AN145" s="35">
        <v>15</v>
      </c>
      <c r="AO145" s="35">
        <f>G145*0.545636347813123</f>
        <v>0</v>
      </c>
      <c r="AP145" s="35">
        <f>G145*(1-0.545636347813123)</f>
        <v>0</v>
      </c>
      <c r="AQ145" s="37" t="s">
        <v>53</v>
      </c>
      <c r="AV145" s="35">
        <f>AW145+AX145</f>
        <v>0</v>
      </c>
      <c r="AW145" s="35">
        <f>F145*AO145</f>
        <v>0</v>
      </c>
      <c r="AX145" s="35">
        <f>F145*AP145</f>
        <v>0</v>
      </c>
      <c r="AY145" s="37" t="s">
        <v>303</v>
      </c>
      <c r="AZ145" s="37" t="s">
        <v>180</v>
      </c>
      <c r="BA145" s="21" t="s">
        <v>59</v>
      </c>
      <c r="BC145" s="35">
        <f>AW145+AX145</f>
        <v>0</v>
      </c>
      <c r="BD145" s="35">
        <f>G145/(100-BE145)*100</f>
        <v>0</v>
      </c>
      <c r="BE145" s="35">
        <v>0</v>
      </c>
      <c r="BF145" s="35">
        <f>L145</f>
        <v>1.99</v>
      </c>
      <c r="BH145" s="35">
        <f>F145*AO145</f>
        <v>0</v>
      </c>
      <c r="BI145" s="35">
        <f>F145*AP145</f>
        <v>0</v>
      </c>
      <c r="BJ145" s="35">
        <f>F145*G145</f>
        <v>0</v>
      </c>
      <c r="BK145" s="35"/>
      <c r="BL145" s="35">
        <v>63</v>
      </c>
    </row>
    <row r="146" spans="1:13" ht="15" customHeight="1">
      <c r="A146" s="38"/>
      <c r="C146" s="39" t="s">
        <v>291</v>
      </c>
      <c r="D146" s="39"/>
      <c r="F146" s="40">
        <v>198.89900000000003</v>
      </c>
      <c r="M146" s="41"/>
    </row>
    <row r="147" spans="1:47" ht="15" customHeight="1">
      <c r="A147" s="30"/>
      <c r="B147" s="31" t="s">
        <v>312</v>
      </c>
      <c r="C147" s="31" t="s">
        <v>313</v>
      </c>
      <c r="D147" s="31"/>
      <c r="E147" s="32" t="s">
        <v>4</v>
      </c>
      <c r="F147" s="32" t="s">
        <v>4</v>
      </c>
      <c r="G147" s="32" t="s">
        <v>4</v>
      </c>
      <c r="H147" s="3">
        <f>SUM(H148:H150)</f>
        <v>0</v>
      </c>
      <c r="I147" s="3">
        <f>SUM(I148:I150)</f>
        <v>0</v>
      </c>
      <c r="J147" s="3">
        <f>SUM(J148:J150)</f>
        <v>0</v>
      </c>
      <c r="K147" s="21"/>
      <c r="L147" s="3">
        <f>SUM(L148:L150)</f>
        <v>0.43</v>
      </c>
      <c r="M147" s="33"/>
      <c r="AI147" s="21"/>
      <c r="AS147" s="3">
        <f>SUM(AJ148:AJ150)</f>
        <v>0</v>
      </c>
      <c r="AT147" s="3">
        <f>SUM(AK148:AK150)</f>
        <v>0</v>
      </c>
      <c r="AU147" s="3">
        <f>SUM(AL148:AL150)</f>
        <v>0</v>
      </c>
    </row>
    <row r="148" spans="1:64" ht="15" customHeight="1">
      <c r="A148" s="34" t="s">
        <v>314</v>
      </c>
      <c r="B148" s="11" t="s">
        <v>315</v>
      </c>
      <c r="C148" s="11" t="s">
        <v>316</v>
      </c>
      <c r="D148" s="11"/>
      <c r="E148" s="11" t="s">
        <v>163</v>
      </c>
      <c r="F148" s="35">
        <v>1</v>
      </c>
      <c r="G148" s="35">
        <v>0</v>
      </c>
      <c r="H148" s="35">
        <f>F148*AO148</f>
        <v>0</v>
      </c>
      <c r="I148" s="35">
        <f>F148*AP148</f>
        <v>0</v>
      </c>
      <c r="J148" s="35">
        <f>F148*G148</f>
        <v>0</v>
      </c>
      <c r="K148" s="35">
        <v>0.24784</v>
      </c>
      <c r="L148" s="35">
        <f>F148*K148</f>
        <v>0.25</v>
      </c>
      <c r="M148" s="36" t="s">
        <v>86</v>
      </c>
      <c r="Z148" s="35">
        <f>IF(AQ148="5",BJ148,0)</f>
        <v>0</v>
      </c>
      <c r="AB148" s="35">
        <f>IF(AQ148="1",BH148,0)</f>
        <v>0</v>
      </c>
      <c r="AC148" s="35">
        <f>IF(AQ148="1",BI148,0)</f>
        <v>0</v>
      </c>
      <c r="AD148" s="35">
        <f>IF(AQ148="7",BH148,0)</f>
        <v>0</v>
      </c>
      <c r="AE148" s="35">
        <f>IF(AQ148="7",BI148,0)</f>
        <v>0</v>
      </c>
      <c r="AF148" s="35">
        <f>IF(AQ148="2",BH148,0)</f>
        <v>0</v>
      </c>
      <c r="AG148" s="35">
        <f>IF(AQ148="2",BI148,0)</f>
        <v>0</v>
      </c>
      <c r="AH148" s="35">
        <f>IF(AQ148="0",BJ148,0)</f>
        <v>0</v>
      </c>
      <c r="AI148" s="21"/>
      <c r="AJ148" s="35">
        <f>IF(AN148=0,J148,0)</f>
        <v>0</v>
      </c>
      <c r="AK148" s="35">
        <f>IF(AN148=15,J148,0)</f>
        <v>0</v>
      </c>
      <c r="AL148" s="35">
        <f>IF(AN148=21,J148,0)</f>
        <v>0</v>
      </c>
      <c r="AN148" s="35">
        <v>15</v>
      </c>
      <c r="AO148" s="35">
        <f>G148*0.662409208022062</f>
        <v>0</v>
      </c>
      <c r="AP148" s="35">
        <f>G148*(1-0.662409208022062)</f>
        <v>0</v>
      </c>
      <c r="AQ148" s="37" t="s">
        <v>53</v>
      </c>
      <c r="AV148" s="35">
        <f>AW148+AX148</f>
        <v>0</v>
      </c>
      <c r="AW148" s="35">
        <f>F148*AO148</f>
        <v>0</v>
      </c>
      <c r="AX148" s="35">
        <f>F148*AP148</f>
        <v>0</v>
      </c>
      <c r="AY148" s="37" t="s">
        <v>317</v>
      </c>
      <c r="AZ148" s="37" t="s">
        <v>180</v>
      </c>
      <c r="BA148" s="21" t="s">
        <v>59</v>
      </c>
      <c r="BC148" s="35">
        <f>AW148+AX148</f>
        <v>0</v>
      </c>
      <c r="BD148" s="35">
        <f>G148/(100-BE148)*100</f>
        <v>0</v>
      </c>
      <c r="BE148" s="35">
        <v>0</v>
      </c>
      <c r="BF148" s="35">
        <f>L148</f>
        <v>0.25</v>
      </c>
      <c r="BH148" s="35">
        <f>F148*AO148</f>
        <v>0</v>
      </c>
      <c r="BI148" s="35">
        <f>F148*AP148</f>
        <v>0</v>
      </c>
      <c r="BJ148" s="35">
        <f>F148*G148</f>
        <v>0</v>
      </c>
      <c r="BK148" s="35"/>
      <c r="BL148" s="35">
        <v>64</v>
      </c>
    </row>
    <row r="149" spans="1:13" ht="15" customHeight="1">
      <c r="A149" s="38"/>
      <c r="C149" s="39" t="s">
        <v>53</v>
      </c>
      <c r="D149" s="39"/>
      <c r="F149" s="40">
        <v>1</v>
      </c>
      <c r="M149" s="41"/>
    </row>
    <row r="150" spans="1:64" ht="15" customHeight="1">
      <c r="A150" s="34" t="s">
        <v>318</v>
      </c>
      <c r="B150" s="11" t="s">
        <v>319</v>
      </c>
      <c r="C150" s="11" t="s">
        <v>320</v>
      </c>
      <c r="D150" s="11"/>
      <c r="E150" s="11" t="s">
        <v>163</v>
      </c>
      <c r="F150" s="35">
        <v>1</v>
      </c>
      <c r="G150" s="35">
        <v>0</v>
      </c>
      <c r="H150" s="35">
        <f>F150*AO150</f>
        <v>0</v>
      </c>
      <c r="I150" s="35">
        <f>F150*AP150</f>
        <v>0</v>
      </c>
      <c r="J150" s="35">
        <f>F150*G150</f>
        <v>0</v>
      </c>
      <c r="K150" s="35">
        <v>0.17557</v>
      </c>
      <c r="L150" s="35">
        <f>F150*K150</f>
        <v>0.18</v>
      </c>
      <c r="M150" s="36" t="s">
        <v>86</v>
      </c>
      <c r="Z150" s="35">
        <f>IF(AQ150="5",BJ150,0)</f>
        <v>0</v>
      </c>
      <c r="AB150" s="35">
        <f>IF(AQ150="1",BH150,0)</f>
        <v>0</v>
      </c>
      <c r="AC150" s="35">
        <f>IF(AQ150="1",BI150,0)</f>
        <v>0</v>
      </c>
      <c r="AD150" s="35">
        <f>IF(AQ150="7",BH150,0)</f>
        <v>0</v>
      </c>
      <c r="AE150" s="35">
        <f>IF(AQ150="7",BI150,0)</f>
        <v>0</v>
      </c>
      <c r="AF150" s="35">
        <f>IF(AQ150="2",BH150,0)</f>
        <v>0</v>
      </c>
      <c r="AG150" s="35">
        <f>IF(AQ150="2",BI150,0)</f>
        <v>0</v>
      </c>
      <c r="AH150" s="35">
        <f>IF(AQ150="0",BJ150,0)</f>
        <v>0</v>
      </c>
      <c r="AI150" s="21"/>
      <c r="AJ150" s="35">
        <f>IF(AN150=0,J150,0)</f>
        <v>0</v>
      </c>
      <c r="AK150" s="35">
        <f>IF(AN150=15,J150,0)</f>
        <v>0</v>
      </c>
      <c r="AL150" s="35">
        <f>IF(AN150=21,J150,0)</f>
        <v>0</v>
      </c>
      <c r="AN150" s="35">
        <v>15</v>
      </c>
      <c r="AO150" s="35">
        <f>G150*0.906451142268878</f>
        <v>0</v>
      </c>
      <c r="AP150" s="35">
        <f>G150*(1-0.906451142268878)</f>
        <v>0</v>
      </c>
      <c r="AQ150" s="37" t="s">
        <v>53</v>
      </c>
      <c r="AV150" s="35">
        <f>AW150+AX150</f>
        <v>0</v>
      </c>
      <c r="AW150" s="35">
        <f>F150*AO150</f>
        <v>0</v>
      </c>
      <c r="AX150" s="35">
        <f>F150*AP150</f>
        <v>0</v>
      </c>
      <c r="AY150" s="37" t="s">
        <v>317</v>
      </c>
      <c r="AZ150" s="37" t="s">
        <v>180</v>
      </c>
      <c r="BA150" s="21" t="s">
        <v>59</v>
      </c>
      <c r="BC150" s="35">
        <f>AW150+AX150</f>
        <v>0</v>
      </c>
      <c r="BD150" s="35">
        <f>G150/(100-BE150)*100</f>
        <v>0</v>
      </c>
      <c r="BE150" s="35">
        <v>0</v>
      </c>
      <c r="BF150" s="35">
        <f>L150</f>
        <v>0.18</v>
      </c>
      <c r="BH150" s="35">
        <f>F150*AO150</f>
        <v>0</v>
      </c>
      <c r="BI150" s="35">
        <f>F150*AP150</f>
        <v>0</v>
      </c>
      <c r="BJ150" s="35">
        <f>F150*G150</f>
        <v>0</v>
      </c>
      <c r="BK150" s="35"/>
      <c r="BL150" s="35">
        <v>64</v>
      </c>
    </row>
    <row r="151" spans="1:13" ht="15" customHeight="1">
      <c r="A151" s="38"/>
      <c r="C151" s="39" t="s">
        <v>53</v>
      </c>
      <c r="D151" s="39" t="s">
        <v>321</v>
      </c>
      <c r="F151" s="40">
        <v>1</v>
      </c>
      <c r="M151" s="41"/>
    </row>
    <row r="152" spans="1:47" ht="15" customHeight="1">
      <c r="A152" s="30"/>
      <c r="B152" s="31" t="s">
        <v>322</v>
      </c>
      <c r="C152" s="31" t="s">
        <v>323</v>
      </c>
      <c r="D152" s="31"/>
      <c r="E152" s="32" t="s">
        <v>4</v>
      </c>
      <c r="F152" s="32" t="s">
        <v>4</v>
      </c>
      <c r="G152" s="32" t="s">
        <v>4</v>
      </c>
      <c r="H152" s="3">
        <f>SUM(H153:H159)</f>
        <v>0</v>
      </c>
      <c r="I152" s="3">
        <f>SUM(I153:I159)</f>
        <v>0</v>
      </c>
      <c r="J152" s="3">
        <f>SUM(J153:J159)</f>
        <v>0</v>
      </c>
      <c r="K152" s="21"/>
      <c r="L152" s="3">
        <f>SUM(L153:L159)</f>
        <v>1.79</v>
      </c>
      <c r="M152" s="33"/>
      <c r="AI152" s="21"/>
      <c r="AS152" s="3">
        <f>SUM(AJ153:AJ159)</f>
        <v>0</v>
      </c>
      <c r="AT152" s="3">
        <f>SUM(AK153:AK159)</f>
        <v>0</v>
      </c>
      <c r="AU152" s="3">
        <f>SUM(AL153:AL159)</f>
        <v>0</v>
      </c>
    </row>
    <row r="153" spans="1:64" ht="15" customHeight="1">
      <c r="A153" s="34" t="s">
        <v>324</v>
      </c>
      <c r="B153" s="11" t="s">
        <v>325</v>
      </c>
      <c r="C153" s="11" t="s">
        <v>326</v>
      </c>
      <c r="D153" s="11"/>
      <c r="E153" s="11" t="s">
        <v>85</v>
      </c>
      <c r="F153" s="35">
        <v>167.2</v>
      </c>
      <c r="G153" s="35">
        <v>0</v>
      </c>
      <c r="H153" s="35">
        <f>F153*AO153</f>
        <v>0</v>
      </c>
      <c r="I153" s="35">
        <f>F153*AP153</f>
        <v>0</v>
      </c>
      <c r="J153" s="35">
        <f>F153*G153</f>
        <v>0</v>
      </c>
      <c r="K153" s="35">
        <v>0.0061</v>
      </c>
      <c r="L153" s="35">
        <f>F153*K153</f>
        <v>1.67</v>
      </c>
      <c r="M153" s="36" t="s">
        <v>86</v>
      </c>
      <c r="Z153" s="35">
        <f>IF(AQ153="5",BJ153,0)</f>
        <v>0</v>
      </c>
      <c r="AB153" s="35">
        <f>IF(AQ153="1",BH153,0)</f>
        <v>0</v>
      </c>
      <c r="AC153" s="35">
        <f>IF(AQ153="1",BI153,0)</f>
        <v>0</v>
      </c>
      <c r="AD153" s="35">
        <f>IF(AQ153="7",BH153,0)</f>
        <v>0</v>
      </c>
      <c r="AE153" s="35">
        <f>IF(AQ153="7",BI153,0)</f>
        <v>0</v>
      </c>
      <c r="AF153" s="35">
        <f>IF(AQ153="2",BH153,0)</f>
        <v>0</v>
      </c>
      <c r="AG153" s="35">
        <f>IF(AQ153="2",BI153,0)</f>
        <v>0</v>
      </c>
      <c r="AH153" s="35">
        <f>IF(AQ153="0",BJ153,0)</f>
        <v>0</v>
      </c>
      <c r="AI153" s="21"/>
      <c r="AJ153" s="35">
        <f>IF(AN153=0,J153,0)</f>
        <v>0</v>
      </c>
      <c r="AK153" s="35">
        <f>IF(AN153=15,J153,0)</f>
        <v>0</v>
      </c>
      <c r="AL153" s="35">
        <f>IF(AN153=21,J153,0)</f>
        <v>0</v>
      </c>
      <c r="AN153" s="35">
        <v>15</v>
      </c>
      <c r="AO153" s="35">
        <f>G153*0.792828125</f>
        <v>0</v>
      </c>
      <c r="AP153" s="35">
        <f>G153*(1-0.792828125)</f>
        <v>0</v>
      </c>
      <c r="AQ153" s="37" t="s">
        <v>82</v>
      </c>
      <c r="AV153" s="35">
        <f>AW153+AX153</f>
        <v>0</v>
      </c>
      <c r="AW153" s="35">
        <f>F153*AO153</f>
        <v>0</v>
      </c>
      <c r="AX153" s="35">
        <f>F153*AP153</f>
        <v>0</v>
      </c>
      <c r="AY153" s="37" t="s">
        <v>327</v>
      </c>
      <c r="AZ153" s="37" t="s">
        <v>328</v>
      </c>
      <c r="BA153" s="21" t="s">
        <v>59</v>
      </c>
      <c r="BC153" s="35">
        <f>AW153+AX153</f>
        <v>0</v>
      </c>
      <c r="BD153" s="35">
        <f>G153/(100-BE153)*100</f>
        <v>0</v>
      </c>
      <c r="BE153" s="35">
        <v>0</v>
      </c>
      <c r="BF153" s="35">
        <f>L153</f>
        <v>1.67</v>
      </c>
      <c r="BH153" s="35">
        <f>F153*AO153</f>
        <v>0</v>
      </c>
      <c r="BI153" s="35">
        <f>F153*AP153</f>
        <v>0</v>
      </c>
      <c r="BJ153" s="35">
        <f>F153*G153</f>
        <v>0</v>
      </c>
      <c r="BK153" s="35"/>
      <c r="BL153" s="35">
        <v>711</v>
      </c>
    </row>
    <row r="154" spans="1:13" ht="15" customHeight="1">
      <c r="A154" s="38"/>
      <c r="C154" s="39" t="s">
        <v>329</v>
      </c>
      <c r="D154" s="39" t="s">
        <v>330</v>
      </c>
      <c r="F154" s="40">
        <v>167.2</v>
      </c>
      <c r="M154" s="41"/>
    </row>
    <row r="155" spans="1:64" ht="15" customHeight="1">
      <c r="A155" s="34" t="s">
        <v>331</v>
      </c>
      <c r="B155" s="11" t="s">
        <v>332</v>
      </c>
      <c r="C155" s="11" t="s">
        <v>333</v>
      </c>
      <c r="D155" s="11"/>
      <c r="E155" s="11" t="s">
        <v>85</v>
      </c>
      <c r="F155" s="35">
        <v>11.52</v>
      </c>
      <c r="G155" s="35">
        <v>0</v>
      </c>
      <c r="H155" s="35">
        <f>F155*AO155</f>
        <v>0</v>
      </c>
      <c r="I155" s="35">
        <f>F155*AP155</f>
        <v>0</v>
      </c>
      <c r="J155" s="35">
        <f>F155*G155</f>
        <v>0</v>
      </c>
      <c r="K155" s="35">
        <v>0.00033</v>
      </c>
      <c r="L155" s="35">
        <f>F155*K155</f>
        <v>0</v>
      </c>
      <c r="M155" s="36" t="s">
        <v>86</v>
      </c>
      <c r="Z155" s="35">
        <f>IF(AQ155="5",BJ155,0)</f>
        <v>0</v>
      </c>
      <c r="AB155" s="35">
        <f>IF(AQ155="1",BH155,0)</f>
        <v>0</v>
      </c>
      <c r="AC155" s="35">
        <f>IF(AQ155="1",BI155,0)</f>
        <v>0</v>
      </c>
      <c r="AD155" s="35">
        <f>IF(AQ155="7",BH155,0)</f>
        <v>0</v>
      </c>
      <c r="AE155" s="35">
        <f>IF(AQ155="7",BI155,0)</f>
        <v>0</v>
      </c>
      <c r="AF155" s="35">
        <f>IF(AQ155="2",BH155,0)</f>
        <v>0</v>
      </c>
      <c r="AG155" s="35">
        <f>IF(AQ155="2",BI155,0)</f>
        <v>0</v>
      </c>
      <c r="AH155" s="35">
        <f>IF(AQ155="0",BJ155,0)</f>
        <v>0</v>
      </c>
      <c r="AI155" s="21"/>
      <c r="AJ155" s="35">
        <f>IF(AN155=0,J155,0)</f>
        <v>0</v>
      </c>
      <c r="AK155" s="35">
        <f>IF(AN155=15,J155,0)</f>
        <v>0</v>
      </c>
      <c r="AL155" s="35">
        <f>IF(AN155=21,J155,0)</f>
        <v>0</v>
      </c>
      <c r="AN155" s="35">
        <v>15</v>
      </c>
      <c r="AO155" s="35">
        <f>G155*0.732112513962698</f>
        <v>0</v>
      </c>
      <c r="AP155" s="35">
        <f>G155*(1-0.732112513962698)</f>
        <v>0</v>
      </c>
      <c r="AQ155" s="37" t="s">
        <v>82</v>
      </c>
      <c r="AV155" s="35">
        <f>AW155+AX155</f>
        <v>0</v>
      </c>
      <c r="AW155" s="35">
        <f>F155*AO155</f>
        <v>0</v>
      </c>
      <c r="AX155" s="35">
        <f>F155*AP155</f>
        <v>0</v>
      </c>
      <c r="AY155" s="37" t="s">
        <v>327</v>
      </c>
      <c r="AZ155" s="37" t="s">
        <v>328</v>
      </c>
      <c r="BA155" s="21" t="s">
        <v>59</v>
      </c>
      <c r="BC155" s="35">
        <f>AW155+AX155</f>
        <v>0</v>
      </c>
      <c r="BD155" s="35">
        <f>G155/(100-BE155)*100</f>
        <v>0</v>
      </c>
      <c r="BE155" s="35">
        <v>0</v>
      </c>
      <c r="BF155" s="35">
        <f>L155</f>
        <v>0</v>
      </c>
      <c r="BH155" s="35">
        <f>F155*AO155</f>
        <v>0</v>
      </c>
      <c r="BI155" s="35">
        <f>F155*AP155</f>
        <v>0</v>
      </c>
      <c r="BJ155" s="35">
        <f>F155*G155</f>
        <v>0</v>
      </c>
      <c r="BK155" s="35"/>
      <c r="BL155" s="35">
        <v>711</v>
      </c>
    </row>
    <row r="156" spans="1:13" ht="15" customHeight="1">
      <c r="A156" s="38"/>
      <c r="C156" s="39" t="s">
        <v>154</v>
      </c>
      <c r="D156" s="39" t="s">
        <v>334</v>
      </c>
      <c r="F156" s="40">
        <v>11.520000000000001</v>
      </c>
      <c r="M156" s="41"/>
    </row>
    <row r="157" spans="1:64" ht="15" customHeight="1">
      <c r="A157" s="34" t="s">
        <v>223</v>
      </c>
      <c r="B157" s="11" t="s">
        <v>335</v>
      </c>
      <c r="C157" s="11" t="s">
        <v>336</v>
      </c>
      <c r="D157" s="11"/>
      <c r="E157" s="11" t="s">
        <v>85</v>
      </c>
      <c r="F157" s="35">
        <v>11.52</v>
      </c>
      <c r="G157" s="35">
        <v>0</v>
      </c>
      <c r="H157" s="35">
        <f>F157*AO157</f>
        <v>0</v>
      </c>
      <c r="I157" s="35">
        <f>F157*AP157</f>
        <v>0</v>
      </c>
      <c r="J157" s="35">
        <f>F157*G157</f>
        <v>0</v>
      </c>
      <c r="K157" s="35">
        <v>0.00559</v>
      </c>
      <c r="L157" s="35">
        <f>F157*K157</f>
        <v>0.12</v>
      </c>
      <c r="M157" s="36" t="s">
        <v>86</v>
      </c>
      <c r="Z157" s="35">
        <f>IF(AQ157="5",BJ157,0)</f>
        <v>0</v>
      </c>
      <c r="AB157" s="35">
        <f>IF(AQ157="1",BH157,0)</f>
        <v>0</v>
      </c>
      <c r="AC157" s="35">
        <f>IF(AQ157="1",BI157,0)</f>
        <v>0</v>
      </c>
      <c r="AD157" s="35">
        <f>IF(AQ157="7",BH157,0)</f>
        <v>0</v>
      </c>
      <c r="AE157" s="35">
        <f>IF(AQ157="7",BI157,0)</f>
        <v>0</v>
      </c>
      <c r="AF157" s="35">
        <f>IF(AQ157="2",BH157,0)</f>
        <v>0</v>
      </c>
      <c r="AG157" s="35">
        <f>IF(AQ157="2",BI157,0)</f>
        <v>0</v>
      </c>
      <c r="AH157" s="35">
        <f>IF(AQ157="0",BJ157,0)</f>
        <v>0</v>
      </c>
      <c r="AI157" s="21"/>
      <c r="AJ157" s="35">
        <f>IF(AN157=0,J157,0)</f>
        <v>0</v>
      </c>
      <c r="AK157" s="35">
        <f>IF(AN157=15,J157,0)</f>
        <v>0</v>
      </c>
      <c r="AL157" s="35">
        <f>IF(AN157=21,J157,0)</f>
        <v>0</v>
      </c>
      <c r="AN157" s="35">
        <v>15</v>
      </c>
      <c r="AO157" s="35">
        <f>G157*0.781916508538899</f>
        <v>0</v>
      </c>
      <c r="AP157" s="35">
        <f>G157*(1-0.781916508538899)</f>
        <v>0</v>
      </c>
      <c r="AQ157" s="37" t="s">
        <v>82</v>
      </c>
      <c r="AV157" s="35">
        <f>AW157+AX157</f>
        <v>0</v>
      </c>
      <c r="AW157" s="35">
        <f>F157*AO157</f>
        <v>0</v>
      </c>
      <c r="AX157" s="35">
        <f>F157*AP157</f>
        <v>0</v>
      </c>
      <c r="AY157" s="37" t="s">
        <v>327</v>
      </c>
      <c r="AZ157" s="37" t="s">
        <v>328</v>
      </c>
      <c r="BA157" s="21" t="s">
        <v>59</v>
      </c>
      <c r="BC157" s="35">
        <f>AW157+AX157</f>
        <v>0</v>
      </c>
      <c r="BD157" s="35">
        <f>G157/(100-BE157)*100</f>
        <v>0</v>
      </c>
      <c r="BE157" s="35">
        <v>0</v>
      </c>
      <c r="BF157" s="35">
        <f>L157</f>
        <v>0.12</v>
      </c>
      <c r="BH157" s="35">
        <f>F157*AO157</f>
        <v>0</v>
      </c>
      <c r="BI157" s="35">
        <f>F157*AP157</f>
        <v>0</v>
      </c>
      <c r="BJ157" s="35">
        <f>F157*G157</f>
        <v>0</v>
      </c>
      <c r="BK157" s="35"/>
      <c r="BL157" s="35">
        <v>711</v>
      </c>
    </row>
    <row r="158" spans="1:13" ht="15" customHeight="1">
      <c r="A158" s="38"/>
      <c r="C158" s="39" t="s">
        <v>154</v>
      </c>
      <c r="D158" s="39" t="s">
        <v>337</v>
      </c>
      <c r="F158" s="40">
        <v>11.520000000000001</v>
      </c>
      <c r="M158" s="41"/>
    </row>
    <row r="159" spans="1:64" ht="15" customHeight="1">
      <c r="A159" s="34" t="s">
        <v>338</v>
      </c>
      <c r="B159" s="11" t="s">
        <v>339</v>
      </c>
      <c r="C159" s="11" t="s">
        <v>340</v>
      </c>
      <c r="D159" s="11"/>
      <c r="E159" s="11" t="s">
        <v>172</v>
      </c>
      <c r="F159" s="35">
        <v>1.088</v>
      </c>
      <c r="G159" s="35">
        <v>0</v>
      </c>
      <c r="H159" s="35">
        <f>F159*AO159</f>
        <v>0</v>
      </c>
      <c r="I159" s="35">
        <f>F159*AP159</f>
        <v>0</v>
      </c>
      <c r="J159" s="35">
        <f>F159*G159</f>
        <v>0</v>
      </c>
      <c r="K159" s="35">
        <v>0</v>
      </c>
      <c r="L159" s="35">
        <f>F159*K159</f>
        <v>0</v>
      </c>
      <c r="M159" s="36" t="s">
        <v>86</v>
      </c>
      <c r="Z159" s="35">
        <f>IF(AQ159="5",BJ159,0)</f>
        <v>0</v>
      </c>
      <c r="AB159" s="35">
        <f>IF(AQ159="1",BH159,0)</f>
        <v>0</v>
      </c>
      <c r="AC159" s="35">
        <f>IF(AQ159="1",BI159,0)</f>
        <v>0</v>
      </c>
      <c r="AD159" s="35">
        <f>IF(AQ159="7",BH159,0)</f>
        <v>0</v>
      </c>
      <c r="AE159" s="35">
        <f>IF(AQ159="7",BI159,0)</f>
        <v>0</v>
      </c>
      <c r="AF159" s="35">
        <f>IF(AQ159="2",BH159,0)</f>
        <v>0</v>
      </c>
      <c r="AG159" s="35">
        <f>IF(AQ159="2",BI159,0)</f>
        <v>0</v>
      </c>
      <c r="AH159" s="35">
        <f>IF(AQ159="0",BJ159,0)</f>
        <v>0</v>
      </c>
      <c r="AI159" s="21"/>
      <c r="AJ159" s="35">
        <f>IF(AN159=0,J159,0)</f>
        <v>0</v>
      </c>
      <c r="AK159" s="35">
        <f>IF(AN159=15,J159,0)</f>
        <v>0</v>
      </c>
      <c r="AL159" s="35">
        <f>IF(AN159=21,J159,0)</f>
        <v>0</v>
      </c>
      <c r="AN159" s="35">
        <v>15</v>
      </c>
      <c r="AO159" s="35">
        <f>G159*0</f>
        <v>0</v>
      </c>
      <c r="AP159" s="35">
        <f>G159*(1-0)</f>
        <v>0</v>
      </c>
      <c r="AQ159" s="37" t="s">
        <v>70</v>
      </c>
      <c r="AV159" s="35">
        <f>AW159+AX159</f>
        <v>0</v>
      </c>
      <c r="AW159" s="35">
        <f>F159*AO159</f>
        <v>0</v>
      </c>
      <c r="AX159" s="35">
        <f>F159*AP159</f>
        <v>0</v>
      </c>
      <c r="AY159" s="37" t="s">
        <v>327</v>
      </c>
      <c r="AZ159" s="37" t="s">
        <v>328</v>
      </c>
      <c r="BA159" s="21" t="s">
        <v>59</v>
      </c>
      <c r="BC159" s="35">
        <f>AW159+AX159</f>
        <v>0</v>
      </c>
      <c r="BD159" s="35">
        <f>G159/(100-BE159)*100</f>
        <v>0</v>
      </c>
      <c r="BE159" s="35">
        <v>0</v>
      </c>
      <c r="BF159" s="35">
        <f>L159</f>
        <v>0</v>
      </c>
      <c r="BH159" s="35">
        <f>F159*AO159</f>
        <v>0</v>
      </c>
      <c r="BI159" s="35">
        <f>F159*AP159</f>
        <v>0</v>
      </c>
      <c r="BJ159" s="35">
        <f>F159*G159</f>
        <v>0</v>
      </c>
      <c r="BK159" s="35"/>
      <c r="BL159" s="35">
        <v>711</v>
      </c>
    </row>
    <row r="160" spans="1:13" ht="15" customHeight="1">
      <c r="A160" s="38"/>
      <c r="C160" s="39" t="s">
        <v>341</v>
      </c>
      <c r="D160" s="39"/>
      <c r="F160" s="40">
        <v>1.088</v>
      </c>
      <c r="M160" s="41"/>
    </row>
    <row r="161" spans="1:47" ht="15" customHeight="1">
      <c r="A161" s="30"/>
      <c r="B161" s="31" t="s">
        <v>342</v>
      </c>
      <c r="C161" s="31" t="s">
        <v>343</v>
      </c>
      <c r="D161" s="31"/>
      <c r="E161" s="32" t="s">
        <v>4</v>
      </c>
      <c r="F161" s="32" t="s">
        <v>4</v>
      </c>
      <c r="G161" s="32" t="s">
        <v>4</v>
      </c>
      <c r="H161" s="3">
        <f>SUM(H162:H167)</f>
        <v>0</v>
      </c>
      <c r="I161" s="3">
        <f>SUM(I162:I167)</f>
        <v>0</v>
      </c>
      <c r="J161" s="3">
        <f>SUM(J162:J167)</f>
        <v>0</v>
      </c>
      <c r="K161" s="21"/>
      <c r="L161" s="3">
        <f>SUM(L162:L167)</f>
        <v>2.88</v>
      </c>
      <c r="M161" s="33"/>
      <c r="AI161" s="21"/>
      <c r="AS161" s="3">
        <f>SUM(AJ162:AJ167)</f>
        <v>0</v>
      </c>
      <c r="AT161" s="3">
        <f>SUM(AK162:AK167)</f>
        <v>0</v>
      </c>
      <c r="AU161" s="3">
        <f>SUM(AL162:AL167)</f>
        <v>0</v>
      </c>
    </row>
    <row r="162" spans="1:64" ht="15" customHeight="1">
      <c r="A162" s="34" t="s">
        <v>344</v>
      </c>
      <c r="B162" s="11" t="s">
        <v>345</v>
      </c>
      <c r="C162" s="11" t="s">
        <v>346</v>
      </c>
      <c r="D162" s="11"/>
      <c r="E162" s="11" t="s">
        <v>85</v>
      </c>
      <c r="F162" s="35">
        <v>114.5475</v>
      </c>
      <c r="G162" s="35">
        <v>0</v>
      </c>
      <c r="H162" s="35">
        <f>F162*AO162</f>
        <v>0</v>
      </c>
      <c r="I162" s="35">
        <f>F162*AP162</f>
        <v>0</v>
      </c>
      <c r="J162" s="35">
        <f>F162*G162</f>
        <v>0</v>
      </c>
      <c r="K162" s="35">
        <v>0.02216</v>
      </c>
      <c r="L162" s="35">
        <f>F162*K162</f>
        <v>2.29</v>
      </c>
      <c r="M162" s="36" t="s">
        <v>57</v>
      </c>
      <c r="Z162" s="35">
        <f>IF(AQ162="5",BJ162,0)</f>
        <v>0</v>
      </c>
      <c r="AB162" s="35">
        <f>IF(AQ162="1",BH162,0)</f>
        <v>0</v>
      </c>
      <c r="AC162" s="35">
        <f>IF(AQ162="1",BI162,0)</f>
        <v>0</v>
      </c>
      <c r="AD162" s="35">
        <f>IF(AQ162="7",BH162,0)</f>
        <v>0</v>
      </c>
      <c r="AE162" s="35">
        <f>IF(AQ162="7",BI162,0)</f>
        <v>0</v>
      </c>
      <c r="AF162" s="35">
        <f>IF(AQ162="2",BH162,0)</f>
        <v>0</v>
      </c>
      <c r="AG162" s="35">
        <f>IF(AQ162="2",BI162,0)</f>
        <v>0</v>
      </c>
      <c r="AH162" s="35">
        <f>IF(AQ162="0",BJ162,0)</f>
        <v>0</v>
      </c>
      <c r="AI162" s="21"/>
      <c r="AJ162" s="35">
        <f>IF(AN162=0,J162,0)</f>
        <v>0</v>
      </c>
      <c r="AK162" s="35">
        <f>IF(AN162=15,J162,0)</f>
        <v>0</v>
      </c>
      <c r="AL162" s="35">
        <f>IF(AN162=21,J162,0)</f>
        <v>0</v>
      </c>
      <c r="AN162" s="35">
        <v>15</v>
      </c>
      <c r="AO162" s="35">
        <f>G162*0.0793990945281399</f>
        <v>0</v>
      </c>
      <c r="AP162" s="35">
        <f>G162*(1-0.0793990945281399)</f>
        <v>0</v>
      </c>
      <c r="AQ162" s="37" t="s">
        <v>82</v>
      </c>
      <c r="AV162" s="35">
        <f>AW162+AX162</f>
        <v>0</v>
      </c>
      <c r="AW162" s="35">
        <f>F162*AO162</f>
        <v>0</v>
      </c>
      <c r="AX162" s="35">
        <f>F162*AP162</f>
        <v>0</v>
      </c>
      <c r="AY162" s="37" t="s">
        <v>347</v>
      </c>
      <c r="AZ162" s="37" t="s">
        <v>348</v>
      </c>
      <c r="BA162" s="21" t="s">
        <v>59</v>
      </c>
      <c r="BC162" s="35">
        <f>AW162+AX162</f>
        <v>0</v>
      </c>
      <c r="BD162" s="35">
        <f>G162/(100-BE162)*100</f>
        <v>0</v>
      </c>
      <c r="BE162" s="35">
        <v>0</v>
      </c>
      <c r="BF162" s="35">
        <f>L162</f>
        <v>2.29</v>
      </c>
      <c r="BH162" s="35">
        <f>F162*AO162</f>
        <v>0</v>
      </c>
      <c r="BI162" s="35">
        <f>F162*AP162</f>
        <v>0</v>
      </c>
      <c r="BJ162" s="35">
        <f>F162*G162</f>
        <v>0</v>
      </c>
      <c r="BK162" s="35"/>
      <c r="BL162" s="35">
        <v>763</v>
      </c>
    </row>
    <row r="163" spans="1:13" ht="15" customHeight="1">
      <c r="A163" s="38"/>
      <c r="C163" s="39" t="s">
        <v>349</v>
      </c>
      <c r="D163" s="39"/>
      <c r="F163" s="40">
        <v>19.5075</v>
      </c>
      <c r="M163" s="41"/>
    </row>
    <row r="164" spans="1:13" ht="15" customHeight="1">
      <c r="A164" s="38"/>
      <c r="C164" s="39" t="s">
        <v>350</v>
      </c>
      <c r="D164" s="39"/>
      <c r="F164" s="40">
        <v>95.04</v>
      </c>
      <c r="M164" s="41"/>
    </row>
    <row r="165" spans="1:64" ht="15" customHeight="1">
      <c r="A165" s="34" t="s">
        <v>351</v>
      </c>
      <c r="B165" s="11" t="s">
        <v>352</v>
      </c>
      <c r="C165" s="11" t="s">
        <v>353</v>
      </c>
      <c r="D165" s="11"/>
      <c r="E165" s="11" t="s">
        <v>85</v>
      </c>
      <c r="F165" s="35">
        <v>19.507</v>
      </c>
      <c r="G165" s="35">
        <v>0</v>
      </c>
      <c r="H165" s="35">
        <f>F165*AO165</f>
        <v>0</v>
      </c>
      <c r="I165" s="35">
        <f>F165*AP165</f>
        <v>0</v>
      </c>
      <c r="J165" s="35">
        <f>F165*G165</f>
        <v>0</v>
      </c>
      <c r="K165" s="35">
        <v>0.03041</v>
      </c>
      <c r="L165" s="35">
        <f>F165*K165</f>
        <v>0.59</v>
      </c>
      <c r="M165" s="36" t="s">
        <v>57</v>
      </c>
      <c r="Z165" s="35">
        <f>IF(AQ165="5",BJ165,0)</f>
        <v>0</v>
      </c>
      <c r="AB165" s="35">
        <f>IF(AQ165="1",BH165,0)</f>
        <v>0</v>
      </c>
      <c r="AC165" s="35">
        <f>IF(AQ165="1",BI165,0)</f>
        <v>0</v>
      </c>
      <c r="AD165" s="35">
        <f>IF(AQ165="7",BH165,0)</f>
        <v>0</v>
      </c>
      <c r="AE165" s="35">
        <f>IF(AQ165="7",BI165,0)</f>
        <v>0</v>
      </c>
      <c r="AF165" s="35">
        <f>IF(AQ165="2",BH165,0)</f>
        <v>0</v>
      </c>
      <c r="AG165" s="35">
        <f>IF(AQ165="2",BI165,0)</f>
        <v>0</v>
      </c>
      <c r="AH165" s="35">
        <f>IF(AQ165="0",BJ165,0)</f>
        <v>0</v>
      </c>
      <c r="AI165" s="21"/>
      <c r="AJ165" s="35">
        <f>IF(AN165=0,J165,0)</f>
        <v>0</v>
      </c>
      <c r="AK165" s="35">
        <f>IF(AN165=15,J165,0)</f>
        <v>0</v>
      </c>
      <c r="AL165" s="35">
        <f>IF(AN165=21,J165,0)</f>
        <v>0</v>
      </c>
      <c r="AN165" s="35">
        <v>15</v>
      </c>
      <c r="AO165" s="35">
        <f>G165*0.823646706172104</f>
        <v>0</v>
      </c>
      <c r="AP165" s="35">
        <f>G165*(1-0.823646706172104)</f>
        <v>0</v>
      </c>
      <c r="AQ165" s="37" t="s">
        <v>82</v>
      </c>
      <c r="AV165" s="35">
        <f>AW165+AX165</f>
        <v>0</v>
      </c>
      <c r="AW165" s="35">
        <f>F165*AO165</f>
        <v>0</v>
      </c>
      <c r="AX165" s="35">
        <f>F165*AP165</f>
        <v>0</v>
      </c>
      <c r="AY165" s="37" t="s">
        <v>347</v>
      </c>
      <c r="AZ165" s="37" t="s">
        <v>348</v>
      </c>
      <c r="BA165" s="21" t="s">
        <v>59</v>
      </c>
      <c r="BC165" s="35">
        <f>AW165+AX165</f>
        <v>0</v>
      </c>
      <c r="BD165" s="35">
        <f>G165/(100-BE165)*100</f>
        <v>0</v>
      </c>
      <c r="BE165" s="35">
        <v>0</v>
      </c>
      <c r="BF165" s="35">
        <f>L165</f>
        <v>0.59</v>
      </c>
      <c r="BH165" s="35">
        <f>F165*AO165</f>
        <v>0</v>
      </c>
      <c r="BI165" s="35">
        <f>F165*AP165</f>
        <v>0</v>
      </c>
      <c r="BJ165" s="35">
        <f>F165*G165</f>
        <v>0</v>
      </c>
      <c r="BK165" s="35"/>
      <c r="BL165" s="35">
        <v>763</v>
      </c>
    </row>
    <row r="166" spans="1:13" ht="15" customHeight="1">
      <c r="A166" s="38"/>
      <c r="C166" s="39" t="s">
        <v>354</v>
      </c>
      <c r="D166" s="39"/>
      <c r="F166" s="40">
        <v>19.507</v>
      </c>
      <c r="M166" s="41"/>
    </row>
    <row r="167" spans="1:64" ht="15" customHeight="1">
      <c r="A167" s="34" t="s">
        <v>355</v>
      </c>
      <c r="B167" s="11" t="s">
        <v>295</v>
      </c>
      <c r="C167" s="11" t="s">
        <v>296</v>
      </c>
      <c r="D167" s="11"/>
      <c r="E167" s="11" t="s">
        <v>172</v>
      </c>
      <c r="F167" s="35">
        <v>3.132</v>
      </c>
      <c r="G167" s="35">
        <v>0</v>
      </c>
      <c r="H167" s="35">
        <f>F167*AO167</f>
        <v>0</v>
      </c>
      <c r="I167" s="35">
        <f>F167*AP167</f>
        <v>0</v>
      </c>
      <c r="J167" s="35">
        <f>F167*G167</f>
        <v>0</v>
      </c>
      <c r="K167" s="35">
        <v>0</v>
      </c>
      <c r="L167" s="35">
        <f>F167*K167</f>
        <v>0</v>
      </c>
      <c r="M167" s="36" t="s">
        <v>57</v>
      </c>
      <c r="Z167" s="35">
        <f>IF(AQ167="5",BJ167,0)</f>
        <v>0</v>
      </c>
      <c r="AB167" s="35">
        <f>IF(AQ167="1",BH167,0)</f>
        <v>0</v>
      </c>
      <c r="AC167" s="35">
        <f>IF(AQ167="1",BI167,0)</f>
        <v>0</v>
      </c>
      <c r="AD167" s="35">
        <f>IF(AQ167="7",BH167,0)</f>
        <v>0</v>
      </c>
      <c r="AE167" s="35">
        <f>IF(AQ167="7",BI167,0)</f>
        <v>0</v>
      </c>
      <c r="AF167" s="35">
        <f>IF(AQ167="2",BH167,0)</f>
        <v>0</v>
      </c>
      <c r="AG167" s="35">
        <f>IF(AQ167="2",BI167,0)</f>
        <v>0</v>
      </c>
      <c r="AH167" s="35">
        <f>IF(AQ167="0",BJ167,0)</f>
        <v>0</v>
      </c>
      <c r="AI167" s="21"/>
      <c r="AJ167" s="35">
        <f>IF(AN167=0,J167,0)</f>
        <v>0</v>
      </c>
      <c r="AK167" s="35">
        <f>IF(AN167=15,J167,0)</f>
        <v>0</v>
      </c>
      <c r="AL167" s="35">
        <f>IF(AN167=21,J167,0)</f>
        <v>0</v>
      </c>
      <c r="AN167" s="35">
        <v>15</v>
      </c>
      <c r="AO167" s="35">
        <f>G167*0</f>
        <v>0</v>
      </c>
      <c r="AP167" s="35">
        <f>G167*(1-0)</f>
        <v>0</v>
      </c>
      <c r="AQ167" s="37" t="s">
        <v>70</v>
      </c>
      <c r="AV167" s="35">
        <f>AW167+AX167</f>
        <v>0</v>
      </c>
      <c r="AW167" s="35">
        <f>F167*AO167</f>
        <v>0</v>
      </c>
      <c r="AX167" s="35">
        <f>F167*AP167</f>
        <v>0</v>
      </c>
      <c r="AY167" s="37" t="s">
        <v>347</v>
      </c>
      <c r="AZ167" s="37" t="s">
        <v>348</v>
      </c>
      <c r="BA167" s="21" t="s">
        <v>59</v>
      </c>
      <c r="BC167" s="35">
        <f>AW167+AX167</f>
        <v>0</v>
      </c>
      <c r="BD167" s="35">
        <f>G167/(100-BE167)*100</f>
        <v>0</v>
      </c>
      <c r="BE167" s="35">
        <v>0</v>
      </c>
      <c r="BF167" s="35">
        <f>L167</f>
        <v>0</v>
      </c>
      <c r="BH167" s="35">
        <f>F167*AO167</f>
        <v>0</v>
      </c>
      <c r="BI167" s="35">
        <f>F167*AP167</f>
        <v>0</v>
      </c>
      <c r="BJ167" s="35">
        <f>F167*G167</f>
        <v>0</v>
      </c>
      <c r="BK167" s="35"/>
      <c r="BL167" s="35">
        <v>763</v>
      </c>
    </row>
    <row r="168" spans="1:13" ht="15" customHeight="1">
      <c r="A168" s="38"/>
      <c r="C168" s="39" t="s">
        <v>356</v>
      </c>
      <c r="D168" s="39"/>
      <c r="F168" s="40">
        <v>3.132</v>
      </c>
      <c r="M168" s="41"/>
    </row>
    <row r="169" spans="1:47" ht="15" customHeight="1">
      <c r="A169" s="30"/>
      <c r="B169" s="31" t="s">
        <v>357</v>
      </c>
      <c r="C169" s="31" t="s">
        <v>358</v>
      </c>
      <c r="D169" s="31"/>
      <c r="E169" s="32" t="s">
        <v>4</v>
      </c>
      <c r="F169" s="32" t="s">
        <v>4</v>
      </c>
      <c r="G169" s="32" t="s">
        <v>4</v>
      </c>
      <c r="H169" s="3">
        <f>SUM(H170:H186)</f>
        <v>0</v>
      </c>
      <c r="I169" s="3">
        <f>SUM(I170:I186)</f>
        <v>0</v>
      </c>
      <c r="J169" s="3">
        <f>SUM(J170:J186)</f>
        <v>0</v>
      </c>
      <c r="K169" s="21"/>
      <c r="L169" s="3">
        <f>SUM(L170:L186)</f>
        <v>5.31</v>
      </c>
      <c r="M169" s="33"/>
      <c r="AI169" s="21"/>
      <c r="AS169" s="3">
        <f>SUM(AJ170:AJ186)</f>
        <v>0</v>
      </c>
      <c r="AT169" s="3">
        <f>SUM(AK170:AK186)</f>
        <v>0</v>
      </c>
      <c r="AU169" s="3">
        <f>SUM(AL170:AL186)</f>
        <v>0</v>
      </c>
    </row>
    <row r="170" spans="1:64" ht="15" customHeight="1">
      <c r="A170" s="34" t="s">
        <v>359</v>
      </c>
      <c r="B170" s="11" t="s">
        <v>360</v>
      </c>
      <c r="C170" s="11" t="s">
        <v>361</v>
      </c>
      <c r="D170" s="11"/>
      <c r="E170" s="11" t="s">
        <v>163</v>
      </c>
      <c r="F170" s="35">
        <v>3115.72</v>
      </c>
      <c r="G170" s="35">
        <v>0</v>
      </c>
      <c r="H170" s="35">
        <f>F170*AO170</f>
        <v>0</v>
      </c>
      <c r="I170" s="35">
        <f>F170*AP170</f>
        <v>0</v>
      </c>
      <c r="J170" s="35">
        <f>F170*G170</f>
        <v>0</v>
      </c>
      <c r="K170" s="35">
        <v>5E-05</v>
      </c>
      <c r="L170" s="35">
        <f>F170*K170</f>
        <v>0</v>
      </c>
      <c r="M170" s="36" t="s">
        <v>57</v>
      </c>
      <c r="Z170" s="35">
        <f>IF(AQ170="5",BJ170,0)</f>
        <v>0</v>
      </c>
      <c r="AB170" s="35">
        <f>IF(AQ170="1",BH170,0)</f>
        <v>0</v>
      </c>
      <c r="AC170" s="35">
        <f>IF(AQ170="1",BI170,0)</f>
        <v>0</v>
      </c>
      <c r="AD170" s="35">
        <f>IF(AQ170="7",BH170,0)</f>
        <v>0</v>
      </c>
      <c r="AE170" s="35">
        <f>IF(AQ170="7",BI170,0)</f>
        <v>0</v>
      </c>
      <c r="AF170" s="35">
        <f>IF(AQ170="2",BH170,0)</f>
        <v>0</v>
      </c>
      <c r="AG170" s="35">
        <f>IF(AQ170="2",BI170,0)</f>
        <v>0</v>
      </c>
      <c r="AH170" s="35">
        <f>IF(AQ170="0",BJ170,0)</f>
        <v>0</v>
      </c>
      <c r="AI170" s="21"/>
      <c r="AJ170" s="35">
        <f>IF(AN170=0,J170,0)</f>
        <v>0</v>
      </c>
      <c r="AK170" s="35">
        <f>IF(AN170=15,J170,0)</f>
        <v>0</v>
      </c>
      <c r="AL170" s="35">
        <f>IF(AN170=21,J170,0)</f>
        <v>0</v>
      </c>
      <c r="AN170" s="35">
        <v>15</v>
      </c>
      <c r="AO170" s="35">
        <f>G170*0.471645012907594</f>
        <v>0</v>
      </c>
      <c r="AP170" s="35">
        <f>G170*(1-0.471645012907594)</f>
        <v>0</v>
      </c>
      <c r="AQ170" s="37" t="s">
        <v>82</v>
      </c>
      <c r="AV170" s="35">
        <f>AW170+AX170</f>
        <v>0</v>
      </c>
      <c r="AW170" s="35">
        <f>F170*AO170</f>
        <v>0</v>
      </c>
      <c r="AX170" s="35">
        <f>F170*AP170</f>
        <v>0</v>
      </c>
      <c r="AY170" s="37" t="s">
        <v>362</v>
      </c>
      <c r="AZ170" s="37" t="s">
        <v>328</v>
      </c>
      <c r="BA170" s="21" t="s">
        <v>59</v>
      </c>
      <c r="BC170" s="35">
        <f>AW170+AX170</f>
        <v>0</v>
      </c>
      <c r="BD170" s="35">
        <f>G170/(100-BE170)*100</f>
        <v>0</v>
      </c>
      <c r="BE170" s="35">
        <v>0</v>
      </c>
      <c r="BF170" s="35">
        <f>L170</f>
        <v>0</v>
      </c>
      <c r="BH170" s="35">
        <f>F170*AO170</f>
        <v>0</v>
      </c>
      <c r="BI170" s="35">
        <f>F170*AP170</f>
        <v>0</v>
      </c>
      <c r="BJ170" s="35">
        <f>F170*G170</f>
        <v>0</v>
      </c>
      <c r="BK170" s="35"/>
      <c r="BL170" s="35">
        <v>712</v>
      </c>
    </row>
    <row r="171" spans="1:13" ht="15" customHeight="1">
      <c r="A171" s="38"/>
      <c r="C171" s="39" t="s">
        <v>363</v>
      </c>
      <c r="D171" s="39" t="s">
        <v>364</v>
      </c>
      <c r="F171" s="40">
        <v>3058.0000000000005</v>
      </c>
      <c r="M171" s="41"/>
    </row>
    <row r="172" spans="1:13" ht="15" customHeight="1">
      <c r="A172" s="38"/>
      <c r="C172" s="39" t="s">
        <v>365</v>
      </c>
      <c r="D172" s="39" t="s">
        <v>366</v>
      </c>
      <c r="F172" s="40">
        <v>57.720000000000006</v>
      </c>
      <c r="M172" s="41"/>
    </row>
    <row r="173" spans="1:64" ht="15" customHeight="1">
      <c r="A173" s="34" t="s">
        <v>367</v>
      </c>
      <c r="B173" s="11" t="s">
        <v>368</v>
      </c>
      <c r="C173" s="11" t="s">
        <v>369</v>
      </c>
      <c r="D173" s="11"/>
      <c r="E173" s="11" t="s">
        <v>85</v>
      </c>
      <c r="F173" s="35">
        <v>404.2295</v>
      </c>
      <c r="G173" s="35">
        <v>0</v>
      </c>
      <c r="H173" s="35">
        <f>F173*AO173</f>
        <v>0</v>
      </c>
      <c r="I173" s="35">
        <f>F173*AP173</f>
        <v>0</v>
      </c>
      <c r="J173" s="35">
        <f>F173*G173</f>
        <v>0</v>
      </c>
      <c r="K173" s="35">
        <v>0</v>
      </c>
      <c r="L173" s="35">
        <f>F173*K173</f>
        <v>0</v>
      </c>
      <c r="M173" s="36" t="s">
        <v>57</v>
      </c>
      <c r="Z173" s="35">
        <f>IF(AQ173="5",BJ173,0)</f>
        <v>0</v>
      </c>
      <c r="AB173" s="35">
        <f>IF(AQ173="1",BH173,0)</f>
        <v>0</v>
      </c>
      <c r="AC173" s="35">
        <f>IF(AQ173="1",BI173,0)</f>
        <v>0</v>
      </c>
      <c r="AD173" s="35">
        <f>IF(AQ173="7",BH173,0)</f>
        <v>0</v>
      </c>
      <c r="AE173" s="35">
        <f>IF(AQ173="7",BI173,0)</f>
        <v>0</v>
      </c>
      <c r="AF173" s="35">
        <f>IF(AQ173="2",BH173,0)</f>
        <v>0</v>
      </c>
      <c r="AG173" s="35">
        <f>IF(AQ173="2",BI173,0)</f>
        <v>0</v>
      </c>
      <c r="AH173" s="35">
        <f>IF(AQ173="0",BJ173,0)</f>
        <v>0</v>
      </c>
      <c r="AI173" s="21"/>
      <c r="AJ173" s="35">
        <f>IF(AN173=0,J173,0)</f>
        <v>0</v>
      </c>
      <c r="AK173" s="35">
        <f>IF(AN173=15,J173,0)</f>
        <v>0</v>
      </c>
      <c r="AL173" s="35">
        <f>IF(AN173=21,J173,0)</f>
        <v>0</v>
      </c>
      <c r="AN173" s="35">
        <v>15</v>
      </c>
      <c r="AO173" s="35">
        <f>G173*0.426504189014357</f>
        <v>0</v>
      </c>
      <c r="AP173" s="35">
        <f>G173*(1-0.426504189014357)</f>
        <v>0</v>
      </c>
      <c r="AQ173" s="37" t="s">
        <v>82</v>
      </c>
      <c r="AV173" s="35">
        <f>AW173+AX173</f>
        <v>0</v>
      </c>
      <c r="AW173" s="35">
        <f>F173*AO173</f>
        <v>0</v>
      </c>
      <c r="AX173" s="35">
        <f>F173*AP173</f>
        <v>0</v>
      </c>
      <c r="AY173" s="37" t="s">
        <v>362</v>
      </c>
      <c r="AZ173" s="37" t="s">
        <v>328</v>
      </c>
      <c r="BA173" s="21" t="s">
        <v>59</v>
      </c>
      <c r="BC173" s="35">
        <f>AW173+AX173</f>
        <v>0</v>
      </c>
      <c r="BD173" s="35">
        <f>G173/(100-BE173)*100</f>
        <v>0</v>
      </c>
      <c r="BE173" s="35">
        <v>0</v>
      </c>
      <c r="BF173" s="35">
        <f>L173</f>
        <v>0</v>
      </c>
      <c r="BH173" s="35">
        <f>F173*AO173</f>
        <v>0</v>
      </c>
      <c r="BI173" s="35">
        <f>F173*AP173</f>
        <v>0</v>
      </c>
      <c r="BJ173" s="35">
        <f>F173*G173</f>
        <v>0</v>
      </c>
      <c r="BK173" s="35"/>
      <c r="BL173" s="35">
        <v>712</v>
      </c>
    </row>
    <row r="174" spans="1:13" ht="15" customHeight="1">
      <c r="A174" s="38"/>
      <c r="C174" s="39" t="s">
        <v>370</v>
      </c>
      <c r="D174" s="39"/>
      <c r="F174" s="40">
        <v>375.50000000000006</v>
      </c>
      <c r="M174" s="41"/>
    </row>
    <row r="175" spans="1:13" ht="15" customHeight="1">
      <c r="A175" s="38"/>
      <c r="C175" s="39" t="s">
        <v>371</v>
      </c>
      <c r="D175" s="39" t="s">
        <v>372</v>
      </c>
      <c r="F175" s="40">
        <v>28.7295</v>
      </c>
      <c r="M175" s="41"/>
    </row>
    <row r="176" spans="1:64" ht="15" customHeight="1">
      <c r="A176" s="34" t="s">
        <v>373</v>
      </c>
      <c r="B176" s="11" t="s">
        <v>374</v>
      </c>
      <c r="C176" s="11" t="s">
        <v>375</v>
      </c>
      <c r="D176" s="11"/>
      <c r="E176" s="11" t="s">
        <v>85</v>
      </c>
      <c r="F176" s="35">
        <v>461.949</v>
      </c>
      <c r="G176" s="35">
        <v>0</v>
      </c>
      <c r="H176" s="35">
        <f>F176*AO176</f>
        <v>0</v>
      </c>
      <c r="I176" s="35">
        <f>F176*AP176</f>
        <v>0</v>
      </c>
      <c r="J176" s="35">
        <f>F176*G176</f>
        <v>0</v>
      </c>
      <c r="K176" s="35">
        <v>4E-05</v>
      </c>
      <c r="L176" s="35">
        <f>F176*K176</f>
        <v>0</v>
      </c>
      <c r="M176" s="36" t="s">
        <v>86</v>
      </c>
      <c r="Z176" s="35">
        <f>IF(AQ176="5",BJ176,0)</f>
        <v>0</v>
      </c>
      <c r="AB176" s="35">
        <f>IF(AQ176="1",BH176,0)</f>
        <v>0</v>
      </c>
      <c r="AC176" s="35">
        <f>IF(AQ176="1",BI176,0)</f>
        <v>0</v>
      </c>
      <c r="AD176" s="35">
        <f>IF(AQ176="7",BH176,0)</f>
        <v>0</v>
      </c>
      <c r="AE176" s="35">
        <f>IF(AQ176="7",BI176,0)</f>
        <v>0</v>
      </c>
      <c r="AF176" s="35">
        <f>IF(AQ176="2",BH176,0)</f>
        <v>0</v>
      </c>
      <c r="AG176" s="35">
        <f>IF(AQ176="2",BI176,0)</f>
        <v>0</v>
      </c>
      <c r="AH176" s="35">
        <f>IF(AQ176="0",BJ176,0)</f>
        <v>0</v>
      </c>
      <c r="AI176" s="21"/>
      <c r="AJ176" s="35">
        <f>IF(AN176=0,J176,0)</f>
        <v>0</v>
      </c>
      <c r="AK176" s="35">
        <f>IF(AN176=15,J176,0)</f>
        <v>0</v>
      </c>
      <c r="AL176" s="35">
        <f>IF(AN176=21,J176,0)</f>
        <v>0</v>
      </c>
      <c r="AN176" s="35">
        <v>15</v>
      </c>
      <c r="AO176" s="35">
        <f>G176*0.0407079674611927</f>
        <v>0</v>
      </c>
      <c r="AP176" s="35">
        <f>G176*(1-0.0407079674611927)</f>
        <v>0</v>
      </c>
      <c r="AQ176" s="37" t="s">
        <v>82</v>
      </c>
      <c r="AV176" s="35">
        <f>AW176+AX176</f>
        <v>0</v>
      </c>
      <c r="AW176" s="35">
        <f>F176*AO176</f>
        <v>0</v>
      </c>
      <c r="AX176" s="35">
        <f>F176*AP176</f>
        <v>0</v>
      </c>
      <c r="AY176" s="37" t="s">
        <v>362</v>
      </c>
      <c r="AZ176" s="37" t="s">
        <v>328</v>
      </c>
      <c r="BA176" s="21" t="s">
        <v>59</v>
      </c>
      <c r="BC176" s="35">
        <f>AW176+AX176</f>
        <v>0</v>
      </c>
      <c r="BD176" s="35">
        <f>G176/(100-BE176)*100</f>
        <v>0</v>
      </c>
      <c r="BE176" s="35">
        <v>0</v>
      </c>
      <c r="BF176" s="35">
        <f>L176</f>
        <v>0</v>
      </c>
      <c r="BH176" s="35">
        <f>F176*AO176</f>
        <v>0</v>
      </c>
      <c r="BI176" s="35">
        <f>F176*AP176</f>
        <v>0</v>
      </c>
      <c r="BJ176" s="35">
        <f>F176*G176</f>
        <v>0</v>
      </c>
      <c r="BK176" s="35"/>
      <c r="BL176" s="35">
        <v>712</v>
      </c>
    </row>
    <row r="177" spans="1:13" ht="15" customHeight="1">
      <c r="A177" s="38"/>
      <c r="C177" s="39" t="s">
        <v>376</v>
      </c>
      <c r="D177" s="39"/>
      <c r="F177" s="40">
        <v>461.949</v>
      </c>
      <c r="M177" s="41"/>
    </row>
    <row r="178" spans="1:64" ht="15" customHeight="1">
      <c r="A178" s="34" t="s">
        <v>377</v>
      </c>
      <c r="B178" s="11" t="s">
        <v>378</v>
      </c>
      <c r="C178" s="11" t="s">
        <v>379</v>
      </c>
      <c r="D178" s="11"/>
      <c r="E178" s="11" t="s">
        <v>85</v>
      </c>
      <c r="F178" s="35">
        <v>531.24135</v>
      </c>
      <c r="G178" s="35">
        <v>0</v>
      </c>
      <c r="H178" s="35">
        <f>F178*AO178</f>
        <v>0</v>
      </c>
      <c r="I178" s="35">
        <f>F178*AP178</f>
        <v>0</v>
      </c>
      <c r="J178" s="35">
        <f>F178*G178</f>
        <v>0</v>
      </c>
      <c r="K178" s="35">
        <v>0.0035</v>
      </c>
      <c r="L178" s="35">
        <f>F178*K178</f>
        <v>0</v>
      </c>
      <c r="M178" s="36" t="s">
        <v>86</v>
      </c>
      <c r="Z178" s="35">
        <f>IF(AQ178="5",BJ178,0)</f>
        <v>0</v>
      </c>
      <c r="AB178" s="35">
        <f>IF(AQ178="1",BH178,0)</f>
        <v>0</v>
      </c>
      <c r="AC178" s="35">
        <f>IF(AQ178="1",BI178,0)</f>
        <v>0</v>
      </c>
      <c r="AD178" s="35">
        <f>IF(AQ178="7",BH178,0)</f>
        <v>0</v>
      </c>
      <c r="AE178" s="35">
        <f>IF(AQ178="7",BI178,0)</f>
        <v>0</v>
      </c>
      <c r="AF178" s="35">
        <f>IF(AQ178="2",BH178,0)</f>
        <v>0</v>
      </c>
      <c r="AG178" s="35">
        <f>IF(AQ178="2",BI178,0)</f>
        <v>0</v>
      </c>
      <c r="AH178" s="35">
        <f>IF(AQ178="0",BJ178,0)</f>
        <v>0</v>
      </c>
      <c r="AI178" s="21"/>
      <c r="AJ178" s="35">
        <f>IF(AN178=0,J178,0)</f>
        <v>0</v>
      </c>
      <c r="AK178" s="35">
        <f>IF(AN178=15,J178,0)</f>
        <v>0</v>
      </c>
      <c r="AL178" s="35">
        <f>IF(AN178=21,J178,0)</f>
        <v>0</v>
      </c>
      <c r="AN178" s="35">
        <v>15</v>
      </c>
      <c r="AO178" s="35">
        <f>G178*1</f>
        <v>0</v>
      </c>
      <c r="AP178" s="35">
        <f>G178*(1-1)</f>
        <v>0</v>
      </c>
      <c r="AQ178" s="37" t="s">
        <v>82</v>
      </c>
      <c r="AV178" s="35">
        <f>AW178+AX178</f>
        <v>0</v>
      </c>
      <c r="AW178" s="35">
        <f>F178*AO178</f>
        <v>0</v>
      </c>
      <c r="AX178" s="35">
        <f>F178*AP178</f>
        <v>0</v>
      </c>
      <c r="AY178" s="37" t="s">
        <v>362</v>
      </c>
      <c r="AZ178" s="37" t="s">
        <v>328</v>
      </c>
      <c r="BA178" s="21" t="s">
        <v>59</v>
      </c>
      <c r="BC178" s="35">
        <f>AW178+AX178</f>
        <v>0</v>
      </c>
      <c r="BD178" s="35">
        <f>G178/(100-BE178)*100</f>
        <v>0</v>
      </c>
      <c r="BE178" s="35">
        <v>0</v>
      </c>
      <c r="BF178" s="35">
        <f>L178</f>
        <v>0</v>
      </c>
      <c r="BH178" s="35">
        <f>F178*AO178</f>
        <v>0</v>
      </c>
      <c r="BI178" s="35">
        <f>F178*AP178</f>
        <v>0</v>
      </c>
      <c r="BJ178" s="35">
        <f>F178*G178</f>
        <v>0</v>
      </c>
      <c r="BK178" s="35"/>
      <c r="BL178" s="35">
        <v>712</v>
      </c>
    </row>
    <row r="179" spans="1:13" ht="15" customHeight="1">
      <c r="A179" s="38"/>
      <c r="C179" s="39" t="s">
        <v>376</v>
      </c>
      <c r="D179" s="39"/>
      <c r="F179" s="40">
        <v>461.949</v>
      </c>
      <c r="M179" s="41"/>
    </row>
    <row r="180" spans="1:13" ht="15" customHeight="1">
      <c r="A180" s="38"/>
      <c r="C180" s="39" t="s">
        <v>380</v>
      </c>
      <c r="D180" s="39"/>
      <c r="F180" s="40">
        <v>69.29235</v>
      </c>
      <c r="M180" s="41"/>
    </row>
    <row r="181" spans="1:64" ht="15" customHeight="1">
      <c r="A181" s="34" t="s">
        <v>144</v>
      </c>
      <c r="B181" s="11" t="s">
        <v>381</v>
      </c>
      <c r="C181" s="11" t="s">
        <v>382</v>
      </c>
      <c r="D181" s="11"/>
      <c r="E181" s="11" t="s">
        <v>85</v>
      </c>
      <c r="F181" s="35">
        <v>461.949</v>
      </c>
      <c r="G181" s="35">
        <v>0</v>
      </c>
      <c r="H181" s="35">
        <f>F181*AO181</f>
        <v>0</v>
      </c>
      <c r="I181" s="35">
        <f>F181*AP181</f>
        <v>0</v>
      </c>
      <c r="J181" s="35">
        <f>F181*G181</f>
        <v>0</v>
      </c>
      <c r="K181" s="35">
        <v>0.00035</v>
      </c>
      <c r="L181" s="35">
        <f>F181*K181</f>
        <v>0</v>
      </c>
      <c r="M181" s="36" t="s">
        <v>86</v>
      </c>
      <c r="Z181" s="35">
        <f>IF(AQ181="5",BJ181,0)</f>
        <v>0</v>
      </c>
      <c r="AB181" s="35">
        <f>IF(AQ181="1",BH181,0)</f>
        <v>0</v>
      </c>
      <c r="AC181" s="35">
        <f>IF(AQ181="1",BI181,0)</f>
        <v>0</v>
      </c>
      <c r="AD181" s="35">
        <f>IF(AQ181="7",BH181,0)</f>
        <v>0</v>
      </c>
      <c r="AE181" s="35">
        <f>IF(AQ181="7",BI181,0)</f>
        <v>0</v>
      </c>
      <c r="AF181" s="35">
        <f>IF(AQ181="2",BH181,0)</f>
        <v>0</v>
      </c>
      <c r="AG181" s="35">
        <f>IF(AQ181="2",BI181,0)</f>
        <v>0</v>
      </c>
      <c r="AH181" s="35">
        <f>IF(AQ181="0",BJ181,0)</f>
        <v>0</v>
      </c>
      <c r="AI181" s="21"/>
      <c r="AJ181" s="35">
        <f>IF(AN181=0,J181,0)</f>
        <v>0</v>
      </c>
      <c r="AK181" s="35">
        <f>IF(AN181=15,J181,0)</f>
        <v>0</v>
      </c>
      <c r="AL181" s="35">
        <f>IF(AN181=21,J181,0)</f>
        <v>0</v>
      </c>
      <c r="AN181" s="35">
        <v>15</v>
      </c>
      <c r="AO181" s="35">
        <f>G181*0.0882027646836618</f>
        <v>0</v>
      </c>
      <c r="AP181" s="35">
        <f>G181*(1-0.0882027646836618)</f>
        <v>0</v>
      </c>
      <c r="AQ181" s="37" t="s">
        <v>82</v>
      </c>
      <c r="AV181" s="35">
        <f>AW181+AX181</f>
        <v>0</v>
      </c>
      <c r="AW181" s="35">
        <f>F181*AO181</f>
        <v>0</v>
      </c>
      <c r="AX181" s="35">
        <f>F181*AP181</f>
        <v>0</v>
      </c>
      <c r="AY181" s="37" t="s">
        <v>362</v>
      </c>
      <c r="AZ181" s="37" t="s">
        <v>328</v>
      </c>
      <c r="BA181" s="21" t="s">
        <v>59</v>
      </c>
      <c r="BC181" s="35">
        <f>AW181+AX181</f>
        <v>0</v>
      </c>
      <c r="BD181" s="35">
        <f>G181/(100-BE181)*100</f>
        <v>0</v>
      </c>
      <c r="BE181" s="35">
        <v>0</v>
      </c>
      <c r="BF181" s="35">
        <f>L181</f>
        <v>0</v>
      </c>
      <c r="BH181" s="35">
        <f>F181*AO181</f>
        <v>0</v>
      </c>
      <c r="BI181" s="35">
        <f>F181*AP181</f>
        <v>0</v>
      </c>
      <c r="BJ181" s="35">
        <f>F181*G181</f>
        <v>0</v>
      </c>
      <c r="BK181" s="35"/>
      <c r="BL181" s="35">
        <v>712</v>
      </c>
    </row>
    <row r="182" spans="1:13" ht="15" customHeight="1">
      <c r="A182" s="38"/>
      <c r="C182" s="39" t="s">
        <v>376</v>
      </c>
      <c r="D182" s="39"/>
      <c r="F182" s="40">
        <v>461.949</v>
      </c>
      <c r="M182" s="41"/>
    </row>
    <row r="183" spans="1:64" ht="15" customHeight="1">
      <c r="A183" s="34" t="s">
        <v>383</v>
      </c>
      <c r="B183" s="11" t="s">
        <v>384</v>
      </c>
      <c r="C183" s="11" t="s">
        <v>385</v>
      </c>
      <c r="D183" s="11"/>
      <c r="E183" s="11" t="s">
        <v>85</v>
      </c>
      <c r="F183" s="35">
        <v>531.24135</v>
      </c>
      <c r="G183" s="35">
        <v>0</v>
      </c>
      <c r="H183" s="35">
        <f>F183*AO183</f>
        <v>0</v>
      </c>
      <c r="I183" s="35">
        <f>F183*AP183</f>
        <v>0</v>
      </c>
      <c r="J183" s="35">
        <f>F183*G183</f>
        <v>0</v>
      </c>
      <c r="K183" s="35">
        <v>0.0055</v>
      </c>
      <c r="L183" s="35">
        <f>F183*K183</f>
        <v>5.31</v>
      </c>
      <c r="M183" s="36" t="s">
        <v>86</v>
      </c>
      <c r="Z183" s="35">
        <f>IF(AQ183="5",BJ183,0)</f>
        <v>0</v>
      </c>
      <c r="AB183" s="35">
        <f>IF(AQ183="1",BH183,0)</f>
        <v>0</v>
      </c>
      <c r="AC183" s="35">
        <f>IF(AQ183="1",BI183,0)</f>
        <v>0</v>
      </c>
      <c r="AD183" s="35">
        <f>IF(AQ183="7",BH183,0)</f>
        <v>0</v>
      </c>
      <c r="AE183" s="35">
        <f>IF(AQ183="7",BI183,0)</f>
        <v>0</v>
      </c>
      <c r="AF183" s="35">
        <f>IF(AQ183="2",BH183,0)</f>
        <v>0</v>
      </c>
      <c r="AG183" s="35">
        <f>IF(AQ183="2",BI183,0)</f>
        <v>0</v>
      </c>
      <c r="AH183" s="35">
        <f>IF(AQ183="0",BJ183,0)</f>
        <v>0</v>
      </c>
      <c r="AI183" s="21"/>
      <c r="AJ183" s="35">
        <f>IF(AN183=0,J183,0)</f>
        <v>0</v>
      </c>
      <c r="AK183" s="35">
        <f>IF(AN183=15,J183,0)</f>
        <v>0</v>
      </c>
      <c r="AL183" s="35">
        <f>IF(AN183=21,J183,0)</f>
        <v>0</v>
      </c>
      <c r="AN183" s="35">
        <v>15</v>
      </c>
      <c r="AO183" s="35">
        <f>G183*1</f>
        <v>0</v>
      </c>
      <c r="AP183" s="35">
        <f>G183*(1-1)</f>
        <v>0</v>
      </c>
      <c r="AQ183" s="37" t="s">
        <v>82</v>
      </c>
      <c r="AV183" s="35">
        <f>AW183+AX183</f>
        <v>0</v>
      </c>
      <c r="AW183" s="35">
        <f>F183*AO183</f>
        <v>0</v>
      </c>
      <c r="AX183" s="35">
        <f>F183*AP183</f>
        <v>0</v>
      </c>
      <c r="AY183" s="37" t="s">
        <v>362</v>
      </c>
      <c r="AZ183" s="37" t="s">
        <v>328</v>
      </c>
      <c r="BA183" s="21" t="s">
        <v>59</v>
      </c>
      <c r="BC183" s="35">
        <f>AW183+AX183</f>
        <v>0</v>
      </c>
      <c r="BD183" s="35">
        <f>G183/(100-BE183)*100</f>
        <v>0</v>
      </c>
      <c r="BE183" s="35">
        <v>0</v>
      </c>
      <c r="BF183" s="35">
        <f>L183</f>
        <v>5.31</v>
      </c>
      <c r="BH183" s="35">
        <f>F183*AO183</f>
        <v>0</v>
      </c>
      <c r="BI183" s="35">
        <f>F183*AP183</f>
        <v>0</v>
      </c>
      <c r="BJ183" s="35">
        <f>F183*G183</f>
        <v>0</v>
      </c>
      <c r="BK183" s="35"/>
      <c r="BL183" s="35">
        <v>712</v>
      </c>
    </row>
    <row r="184" spans="1:13" ht="15" customHeight="1">
      <c r="A184" s="38"/>
      <c r="C184" s="39" t="s">
        <v>376</v>
      </c>
      <c r="D184" s="39" t="s">
        <v>386</v>
      </c>
      <c r="F184" s="40">
        <v>461.949</v>
      </c>
      <c r="M184" s="41"/>
    </row>
    <row r="185" spans="1:13" ht="15" customHeight="1">
      <c r="A185" s="38"/>
      <c r="C185" s="39" t="s">
        <v>380</v>
      </c>
      <c r="D185" s="39"/>
      <c r="F185" s="40">
        <v>69.29235</v>
      </c>
      <c r="M185" s="41"/>
    </row>
    <row r="186" spans="1:64" ht="15" customHeight="1">
      <c r="A186" s="34" t="s">
        <v>174</v>
      </c>
      <c r="B186" s="11" t="s">
        <v>387</v>
      </c>
      <c r="C186" s="11" t="s">
        <v>388</v>
      </c>
      <c r="D186" s="11"/>
      <c r="E186" s="11" t="s">
        <v>172</v>
      </c>
      <c r="F186" s="35">
        <v>5.117</v>
      </c>
      <c r="G186" s="35">
        <v>0</v>
      </c>
      <c r="H186" s="35">
        <f>F186*AO186</f>
        <v>0</v>
      </c>
      <c r="I186" s="35">
        <f>F186*AP186</f>
        <v>0</v>
      </c>
      <c r="J186" s="35">
        <f>F186*G186</f>
        <v>0</v>
      </c>
      <c r="K186" s="35">
        <v>0</v>
      </c>
      <c r="L186" s="35">
        <f>F186*K186</f>
        <v>0</v>
      </c>
      <c r="M186" s="36" t="s">
        <v>57</v>
      </c>
      <c r="Z186" s="35">
        <f>IF(AQ186="5",BJ186,0)</f>
        <v>0</v>
      </c>
      <c r="AB186" s="35">
        <f>IF(AQ186="1",BH186,0)</f>
        <v>0</v>
      </c>
      <c r="AC186" s="35">
        <f>IF(AQ186="1",BI186,0)</f>
        <v>0</v>
      </c>
      <c r="AD186" s="35">
        <f>IF(AQ186="7",BH186,0)</f>
        <v>0</v>
      </c>
      <c r="AE186" s="35">
        <f>IF(AQ186="7",BI186,0)</f>
        <v>0</v>
      </c>
      <c r="AF186" s="35">
        <f>IF(AQ186="2",BH186,0)</f>
        <v>0</v>
      </c>
      <c r="AG186" s="35">
        <f>IF(AQ186="2",BI186,0)</f>
        <v>0</v>
      </c>
      <c r="AH186" s="35">
        <f>IF(AQ186="0",BJ186,0)</f>
        <v>0</v>
      </c>
      <c r="AI186" s="21"/>
      <c r="AJ186" s="35">
        <f>IF(AN186=0,J186,0)</f>
        <v>0</v>
      </c>
      <c r="AK186" s="35">
        <f>IF(AN186=15,J186,0)</f>
        <v>0</v>
      </c>
      <c r="AL186" s="35">
        <f>IF(AN186=21,J186,0)</f>
        <v>0</v>
      </c>
      <c r="AN186" s="35">
        <v>15</v>
      </c>
      <c r="AO186" s="35">
        <f>G186*0</f>
        <v>0</v>
      </c>
      <c r="AP186" s="35">
        <f>G186*(1-0)</f>
        <v>0</v>
      </c>
      <c r="AQ186" s="37" t="s">
        <v>70</v>
      </c>
      <c r="AV186" s="35">
        <f>AW186+AX186</f>
        <v>0</v>
      </c>
      <c r="AW186" s="35">
        <f>F186*AO186</f>
        <v>0</v>
      </c>
      <c r="AX186" s="35">
        <f>F186*AP186</f>
        <v>0</v>
      </c>
      <c r="AY186" s="37" t="s">
        <v>362</v>
      </c>
      <c r="AZ186" s="37" t="s">
        <v>328</v>
      </c>
      <c r="BA186" s="21" t="s">
        <v>59</v>
      </c>
      <c r="BC186" s="35">
        <f>AW186+AX186</f>
        <v>0</v>
      </c>
      <c r="BD186" s="35">
        <f>G186/(100-BE186)*100</f>
        <v>0</v>
      </c>
      <c r="BE186" s="35">
        <v>0</v>
      </c>
      <c r="BF186" s="35">
        <f>L186</f>
        <v>0</v>
      </c>
      <c r="BH186" s="35">
        <f>F186*AO186</f>
        <v>0</v>
      </c>
      <c r="BI186" s="35">
        <f>F186*AP186</f>
        <v>0</v>
      </c>
      <c r="BJ186" s="35">
        <f>F186*G186</f>
        <v>0</v>
      </c>
      <c r="BK186" s="35"/>
      <c r="BL186" s="35">
        <v>712</v>
      </c>
    </row>
    <row r="187" spans="1:13" ht="15" customHeight="1">
      <c r="A187" s="38"/>
      <c r="C187" s="39" t="s">
        <v>389</v>
      </c>
      <c r="D187" s="39"/>
      <c r="F187" s="40">
        <v>5.117</v>
      </c>
      <c r="M187" s="41"/>
    </row>
    <row r="188" spans="1:47" ht="15" customHeight="1">
      <c r="A188" s="30"/>
      <c r="B188" s="31" t="s">
        <v>390</v>
      </c>
      <c r="C188" s="31" t="s">
        <v>391</v>
      </c>
      <c r="D188" s="31"/>
      <c r="E188" s="32" t="s">
        <v>4</v>
      </c>
      <c r="F188" s="32" t="s">
        <v>4</v>
      </c>
      <c r="G188" s="32" t="s">
        <v>4</v>
      </c>
      <c r="H188" s="3">
        <f>SUM(H189:H204)</f>
        <v>0</v>
      </c>
      <c r="I188" s="3">
        <f>SUM(I189:I204)</f>
        <v>0</v>
      </c>
      <c r="J188" s="3">
        <f>SUM(J189:J204)</f>
        <v>0</v>
      </c>
      <c r="K188" s="21"/>
      <c r="L188" s="3">
        <f>SUM(L189:L204)</f>
        <v>2.27</v>
      </c>
      <c r="M188" s="33"/>
      <c r="AI188" s="21"/>
      <c r="AS188" s="3">
        <f>SUM(AJ189:AJ204)</f>
        <v>0</v>
      </c>
      <c r="AT188" s="3">
        <f>SUM(AK189:AK204)</f>
        <v>0</v>
      </c>
      <c r="AU188" s="3">
        <f>SUM(AL189:AL204)</f>
        <v>0</v>
      </c>
    </row>
    <row r="189" spans="1:64" ht="15" customHeight="1">
      <c r="A189" s="34" t="s">
        <v>182</v>
      </c>
      <c r="B189" s="11" t="s">
        <v>392</v>
      </c>
      <c r="C189" s="11" t="s">
        <v>393</v>
      </c>
      <c r="D189" s="11"/>
      <c r="E189" s="11" t="s">
        <v>85</v>
      </c>
      <c r="F189" s="35">
        <v>404.229</v>
      </c>
      <c r="G189" s="35">
        <v>0</v>
      </c>
      <c r="H189" s="35">
        <f>F189*AO189</f>
        <v>0</v>
      </c>
      <c r="I189" s="35">
        <f>F189*AP189</f>
        <v>0</v>
      </c>
      <c r="J189" s="35">
        <f>F189*G189</f>
        <v>0</v>
      </c>
      <c r="K189" s="35">
        <v>0</v>
      </c>
      <c r="L189" s="35">
        <f>F189*K189</f>
        <v>0</v>
      </c>
      <c r="M189" s="36" t="s">
        <v>86</v>
      </c>
      <c r="Z189" s="35">
        <f>IF(AQ189="5",BJ189,0)</f>
        <v>0</v>
      </c>
      <c r="AB189" s="35">
        <f>IF(AQ189="1",BH189,0)</f>
        <v>0</v>
      </c>
      <c r="AC189" s="35">
        <f>IF(AQ189="1",BI189,0)</f>
        <v>0</v>
      </c>
      <c r="AD189" s="35">
        <f>IF(AQ189="7",BH189,0)</f>
        <v>0</v>
      </c>
      <c r="AE189" s="35">
        <f>IF(AQ189="7",BI189,0)</f>
        <v>0</v>
      </c>
      <c r="AF189" s="35">
        <f>IF(AQ189="2",BH189,0)</f>
        <v>0</v>
      </c>
      <c r="AG189" s="35">
        <f>IF(AQ189="2",BI189,0)</f>
        <v>0</v>
      </c>
      <c r="AH189" s="35">
        <f>IF(AQ189="0",BJ189,0)</f>
        <v>0</v>
      </c>
      <c r="AI189" s="21"/>
      <c r="AJ189" s="35">
        <f>IF(AN189=0,J189,0)</f>
        <v>0</v>
      </c>
      <c r="AK189" s="35">
        <f>IF(AN189=15,J189,0)</f>
        <v>0</v>
      </c>
      <c r="AL189" s="35">
        <f>IF(AN189=21,J189,0)</f>
        <v>0</v>
      </c>
      <c r="AN189" s="35">
        <v>15</v>
      </c>
      <c r="AO189" s="35">
        <f>G189*0.299766992691188</f>
        <v>0</v>
      </c>
      <c r="AP189" s="35">
        <f>G189*(1-0.299766992691188)</f>
        <v>0</v>
      </c>
      <c r="AQ189" s="37" t="s">
        <v>82</v>
      </c>
      <c r="AV189" s="35">
        <f>AW189+AX189</f>
        <v>0</v>
      </c>
      <c r="AW189" s="35">
        <f>F189*AO189</f>
        <v>0</v>
      </c>
      <c r="AX189" s="35">
        <f>F189*AP189</f>
        <v>0</v>
      </c>
      <c r="AY189" s="37" t="s">
        <v>394</v>
      </c>
      <c r="AZ189" s="37" t="s">
        <v>328</v>
      </c>
      <c r="BA189" s="21" t="s">
        <v>59</v>
      </c>
      <c r="BC189" s="35">
        <f>AW189+AX189</f>
        <v>0</v>
      </c>
      <c r="BD189" s="35">
        <f>G189/(100-BE189)*100</f>
        <v>0</v>
      </c>
      <c r="BE189" s="35">
        <v>0</v>
      </c>
      <c r="BF189" s="35">
        <f>L189</f>
        <v>0</v>
      </c>
      <c r="BH189" s="35">
        <f>F189*AO189</f>
        <v>0</v>
      </c>
      <c r="BI189" s="35">
        <f>F189*AP189</f>
        <v>0</v>
      </c>
      <c r="BJ189" s="35">
        <f>F189*G189</f>
        <v>0</v>
      </c>
      <c r="BK189" s="35"/>
      <c r="BL189" s="35">
        <v>713</v>
      </c>
    </row>
    <row r="190" spans="1:13" ht="15" customHeight="1">
      <c r="A190" s="38"/>
      <c r="C190" s="39" t="s">
        <v>395</v>
      </c>
      <c r="D190" s="39"/>
      <c r="F190" s="40">
        <v>404.22900000000004</v>
      </c>
      <c r="M190" s="41"/>
    </row>
    <row r="191" spans="1:64" ht="15" customHeight="1">
      <c r="A191" s="34" t="s">
        <v>298</v>
      </c>
      <c r="B191" s="11" t="s">
        <v>396</v>
      </c>
      <c r="C191" s="11" t="s">
        <v>397</v>
      </c>
      <c r="D191" s="11"/>
      <c r="E191" s="11" t="s">
        <v>100</v>
      </c>
      <c r="F191" s="35">
        <v>87.31346</v>
      </c>
      <c r="G191" s="35">
        <v>0</v>
      </c>
      <c r="H191" s="35">
        <f>F191*AO191</f>
        <v>0</v>
      </c>
      <c r="I191" s="35">
        <f>F191*AP191</f>
        <v>0</v>
      </c>
      <c r="J191" s="35">
        <f>F191*G191</f>
        <v>0</v>
      </c>
      <c r="K191" s="35">
        <v>0.02</v>
      </c>
      <c r="L191" s="35">
        <f>F191*K191</f>
        <v>1.75</v>
      </c>
      <c r="M191" s="36" t="s">
        <v>86</v>
      </c>
      <c r="Z191" s="35">
        <f>IF(AQ191="5",BJ191,0)</f>
        <v>0</v>
      </c>
      <c r="AB191" s="35">
        <f>IF(AQ191="1",BH191,0)</f>
        <v>0</v>
      </c>
      <c r="AC191" s="35">
        <f>IF(AQ191="1",BI191,0)</f>
        <v>0</v>
      </c>
      <c r="AD191" s="35">
        <f>IF(AQ191="7",BH191,0)</f>
        <v>0</v>
      </c>
      <c r="AE191" s="35">
        <f>IF(AQ191="7",BI191,0)</f>
        <v>0</v>
      </c>
      <c r="AF191" s="35">
        <f>IF(AQ191="2",BH191,0)</f>
        <v>0</v>
      </c>
      <c r="AG191" s="35">
        <f>IF(AQ191="2",BI191,0)</f>
        <v>0</v>
      </c>
      <c r="AH191" s="35">
        <f>IF(AQ191="0",BJ191,0)</f>
        <v>0</v>
      </c>
      <c r="AI191" s="21"/>
      <c r="AJ191" s="35">
        <f>IF(AN191=0,J191,0)</f>
        <v>0</v>
      </c>
      <c r="AK191" s="35">
        <f>IF(AN191=15,J191,0)</f>
        <v>0</v>
      </c>
      <c r="AL191" s="35">
        <f>IF(AN191=21,J191,0)</f>
        <v>0</v>
      </c>
      <c r="AN191" s="35">
        <v>15</v>
      </c>
      <c r="AO191" s="35">
        <f>G191*1</f>
        <v>0</v>
      </c>
      <c r="AP191" s="35">
        <f>G191*(1-1)</f>
        <v>0</v>
      </c>
      <c r="AQ191" s="37" t="s">
        <v>82</v>
      </c>
      <c r="AV191" s="35">
        <f>AW191+AX191</f>
        <v>0</v>
      </c>
      <c r="AW191" s="35">
        <f>F191*AO191</f>
        <v>0</v>
      </c>
      <c r="AX191" s="35">
        <f>F191*AP191</f>
        <v>0</v>
      </c>
      <c r="AY191" s="37" t="s">
        <v>394</v>
      </c>
      <c r="AZ191" s="37" t="s">
        <v>328</v>
      </c>
      <c r="BA191" s="21" t="s">
        <v>59</v>
      </c>
      <c r="BC191" s="35">
        <f>AW191+AX191</f>
        <v>0</v>
      </c>
      <c r="BD191" s="35">
        <f>G191/(100-BE191)*100</f>
        <v>0</v>
      </c>
      <c r="BE191" s="35">
        <v>0</v>
      </c>
      <c r="BF191" s="35">
        <f>L191</f>
        <v>1.75</v>
      </c>
      <c r="BH191" s="35">
        <f>F191*AO191</f>
        <v>0</v>
      </c>
      <c r="BI191" s="35">
        <f>F191*AP191</f>
        <v>0</v>
      </c>
      <c r="BJ191" s="35">
        <f>F191*G191</f>
        <v>0</v>
      </c>
      <c r="BK191" s="35"/>
      <c r="BL191" s="35">
        <v>713</v>
      </c>
    </row>
    <row r="192" spans="1:13" ht="15" customHeight="1">
      <c r="A192" s="38"/>
      <c r="C192" s="39" t="s">
        <v>398</v>
      </c>
      <c r="D192" s="39" t="s">
        <v>399</v>
      </c>
      <c r="F192" s="40">
        <v>80.84580000000001</v>
      </c>
      <c r="M192" s="41"/>
    </row>
    <row r="193" spans="1:13" ht="15" customHeight="1">
      <c r="A193" s="38"/>
      <c r="C193" s="39" t="s">
        <v>400</v>
      </c>
      <c r="D193" s="39"/>
      <c r="F193" s="40">
        <v>6.46766</v>
      </c>
      <c r="M193" s="41"/>
    </row>
    <row r="194" spans="1:64" ht="15" customHeight="1">
      <c r="A194" s="34" t="s">
        <v>312</v>
      </c>
      <c r="B194" s="11" t="s">
        <v>401</v>
      </c>
      <c r="C194" s="11" t="s">
        <v>402</v>
      </c>
      <c r="D194" s="11"/>
      <c r="E194" s="11" t="s">
        <v>85</v>
      </c>
      <c r="F194" s="35">
        <v>52.44</v>
      </c>
      <c r="G194" s="35">
        <v>0</v>
      </c>
      <c r="H194" s="35">
        <f>F194*AO194</f>
        <v>0</v>
      </c>
      <c r="I194" s="35">
        <f>F194*AP194</f>
        <v>0</v>
      </c>
      <c r="J194" s="35">
        <f>F194*G194</f>
        <v>0</v>
      </c>
      <c r="K194" s="35">
        <v>0</v>
      </c>
      <c r="L194" s="35">
        <f>F194*K194</f>
        <v>0</v>
      </c>
      <c r="M194" s="36" t="s">
        <v>86</v>
      </c>
      <c r="Z194" s="35">
        <f>IF(AQ194="5",BJ194,0)</f>
        <v>0</v>
      </c>
      <c r="AB194" s="35">
        <f>IF(AQ194="1",BH194,0)</f>
        <v>0</v>
      </c>
      <c r="AC194" s="35">
        <f>IF(AQ194="1",BI194,0)</f>
        <v>0</v>
      </c>
      <c r="AD194" s="35">
        <f>IF(AQ194="7",BH194,0)</f>
        <v>0</v>
      </c>
      <c r="AE194" s="35">
        <f>IF(AQ194="7",BI194,0)</f>
        <v>0</v>
      </c>
      <c r="AF194" s="35">
        <f>IF(AQ194="2",BH194,0)</f>
        <v>0</v>
      </c>
      <c r="AG194" s="35">
        <f>IF(AQ194="2",BI194,0)</f>
        <v>0</v>
      </c>
      <c r="AH194" s="35">
        <f>IF(AQ194="0",BJ194,0)</f>
        <v>0</v>
      </c>
      <c r="AI194" s="21"/>
      <c r="AJ194" s="35">
        <f>IF(AN194=0,J194,0)</f>
        <v>0</v>
      </c>
      <c r="AK194" s="35">
        <f>IF(AN194=15,J194,0)</f>
        <v>0</v>
      </c>
      <c r="AL194" s="35">
        <f>IF(AN194=21,J194,0)</f>
        <v>0</v>
      </c>
      <c r="AN194" s="35">
        <v>15</v>
      </c>
      <c r="AO194" s="35">
        <f>G194*0</f>
        <v>0</v>
      </c>
      <c r="AP194" s="35">
        <f>G194*(1-0)</f>
        <v>0</v>
      </c>
      <c r="AQ194" s="37" t="s">
        <v>82</v>
      </c>
      <c r="AV194" s="35">
        <f>AW194+AX194</f>
        <v>0</v>
      </c>
      <c r="AW194" s="35">
        <f>F194*AO194</f>
        <v>0</v>
      </c>
      <c r="AX194" s="35">
        <f>F194*AP194</f>
        <v>0</v>
      </c>
      <c r="AY194" s="37" t="s">
        <v>394</v>
      </c>
      <c r="AZ194" s="37" t="s">
        <v>328</v>
      </c>
      <c r="BA194" s="21" t="s">
        <v>59</v>
      </c>
      <c r="BC194" s="35">
        <f>AW194+AX194</f>
        <v>0</v>
      </c>
      <c r="BD194" s="35">
        <f>G194/(100-BE194)*100</f>
        <v>0</v>
      </c>
      <c r="BE194" s="35">
        <v>0</v>
      </c>
      <c r="BF194" s="35">
        <f>L194</f>
        <v>0</v>
      </c>
      <c r="BH194" s="35">
        <f>F194*AO194</f>
        <v>0</v>
      </c>
      <c r="BI194" s="35">
        <f>F194*AP194</f>
        <v>0</v>
      </c>
      <c r="BJ194" s="35">
        <f>F194*G194</f>
        <v>0</v>
      </c>
      <c r="BK194" s="35"/>
      <c r="BL194" s="35">
        <v>713</v>
      </c>
    </row>
    <row r="195" spans="1:13" ht="15" customHeight="1">
      <c r="A195" s="38"/>
      <c r="C195" s="39" t="s">
        <v>403</v>
      </c>
      <c r="D195" s="39"/>
      <c r="F195" s="40">
        <v>52.440000000000005</v>
      </c>
      <c r="M195" s="41"/>
    </row>
    <row r="196" spans="1:64" ht="15" customHeight="1">
      <c r="A196" s="34" t="s">
        <v>404</v>
      </c>
      <c r="B196" s="11" t="s">
        <v>405</v>
      </c>
      <c r="C196" s="11" t="s">
        <v>406</v>
      </c>
      <c r="D196" s="11"/>
      <c r="E196" s="11" t="s">
        <v>100</v>
      </c>
      <c r="F196" s="35">
        <v>6.67037</v>
      </c>
      <c r="G196" s="35">
        <v>0</v>
      </c>
      <c r="H196" s="35">
        <f>F196*AO196</f>
        <v>0</v>
      </c>
      <c r="I196" s="35">
        <f>F196*AP196</f>
        <v>0</v>
      </c>
      <c r="J196" s="35">
        <f>F196*G196</f>
        <v>0</v>
      </c>
      <c r="K196" s="35">
        <v>0.025</v>
      </c>
      <c r="L196" s="35">
        <f>F196*K196</f>
        <v>0.2</v>
      </c>
      <c r="M196" s="36" t="s">
        <v>86</v>
      </c>
      <c r="Z196" s="35">
        <f>IF(AQ196="5",BJ196,0)</f>
        <v>0</v>
      </c>
      <c r="AB196" s="35">
        <f>IF(AQ196="1",BH196,0)</f>
        <v>0</v>
      </c>
      <c r="AC196" s="35">
        <f>IF(AQ196="1",BI196,0)</f>
        <v>0</v>
      </c>
      <c r="AD196" s="35">
        <f>IF(AQ196="7",BH196,0)</f>
        <v>0</v>
      </c>
      <c r="AE196" s="35">
        <f>IF(AQ196="7",BI196,0)</f>
        <v>0</v>
      </c>
      <c r="AF196" s="35">
        <f>IF(AQ196="2",BH196,0)</f>
        <v>0</v>
      </c>
      <c r="AG196" s="35">
        <f>IF(AQ196="2",BI196,0)</f>
        <v>0</v>
      </c>
      <c r="AH196" s="35">
        <f>IF(AQ196="0",BJ196,0)</f>
        <v>0</v>
      </c>
      <c r="AI196" s="21"/>
      <c r="AJ196" s="35">
        <f>IF(AN196=0,J196,0)</f>
        <v>0</v>
      </c>
      <c r="AK196" s="35">
        <f>IF(AN196=15,J196,0)</f>
        <v>0</v>
      </c>
      <c r="AL196" s="35">
        <f>IF(AN196=21,J196,0)</f>
        <v>0</v>
      </c>
      <c r="AN196" s="35">
        <v>15</v>
      </c>
      <c r="AO196" s="35">
        <f>G196*1</f>
        <v>0</v>
      </c>
      <c r="AP196" s="35">
        <f>G196*(1-1)</f>
        <v>0</v>
      </c>
      <c r="AQ196" s="37" t="s">
        <v>82</v>
      </c>
      <c r="AV196" s="35">
        <f>AW196+AX196</f>
        <v>0</v>
      </c>
      <c r="AW196" s="35">
        <f>F196*AO196</f>
        <v>0</v>
      </c>
      <c r="AX196" s="35">
        <f>F196*AP196</f>
        <v>0</v>
      </c>
      <c r="AY196" s="37" t="s">
        <v>394</v>
      </c>
      <c r="AZ196" s="37" t="s">
        <v>328</v>
      </c>
      <c r="BA196" s="21" t="s">
        <v>59</v>
      </c>
      <c r="BC196" s="35">
        <f>AW196+AX196</f>
        <v>0</v>
      </c>
      <c r="BD196" s="35">
        <f>G196/(100-BE196)*100</f>
        <v>0</v>
      </c>
      <c r="BE196" s="35">
        <v>0</v>
      </c>
      <c r="BF196" s="35">
        <f>L196</f>
        <v>0.2</v>
      </c>
      <c r="BH196" s="35">
        <f>F196*AO196</f>
        <v>0</v>
      </c>
      <c r="BI196" s="35">
        <f>F196*AP196</f>
        <v>0</v>
      </c>
      <c r="BJ196" s="35">
        <f>F196*G196</f>
        <v>0</v>
      </c>
      <c r="BK196" s="35"/>
      <c r="BL196" s="35">
        <v>713</v>
      </c>
    </row>
    <row r="197" spans="1:13" ht="15" customHeight="1">
      <c r="A197" s="38"/>
      <c r="C197" s="39" t="s">
        <v>407</v>
      </c>
      <c r="D197" s="39"/>
      <c r="F197" s="40">
        <v>6.292800000000001</v>
      </c>
      <c r="M197" s="41"/>
    </row>
    <row r="198" spans="1:13" ht="15" customHeight="1">
      <c r="A198" s="38"/>
      <c r="C198" s="39" t="s">
        <v>408</v>
      </c>
      <c r="D198" s="39"/>
      <c r="F198" s="40">
        <v>0.37757</v>
      </c>
      <c r="M198" s="41"/>
    </row>
    <row r="199" spans="1:64" ht="15" customHeight="1">
      <c r="A199" s="34" t="s">
        <v>409</v>
      </c>
      <c r="B199" s="11" t="s">
        <v>410</v>
      </c>
      <c r="C199" s="11" t="s">
        <v>411</v>
      </c>
      <c r="D199" s="11"/>
      <c r="E199" s="11" t="s">
        <v>85</v>
      </c>
      <c r="F199" s="35">
        <v>198.899</v>
      </c>
      <c r="G199" s="35">
        <v>0</v>
      </c>
      <c r="H199" s="35">
        <f>F199*AO199</f>
        <v>0</v>
      </c>
      <c r="I199" s="35">
        <f>F199*AP199</f>
        <v>0</v>
      </c>
      <c r="J199" s="35">
        <f>F199*G199</f>
        <v>0</v>
      </c>
      <c r="K199" s="35">
        <v>0</v>
      </c>
      <c r="L199" s="35">
        <f>F199*K199</f>
        <v>0</v>
      </c>
      <c r="M199" s="36" t="s">
        <v>86</v>
      </c>
      <c r="Z199" s="35">
        <f>IF(AQ199="5",BJ199,0)</f>
        <v>0</v>
      </c>
      <c r="AB199" s="35">
        <f>IF(AQ199="1",BH199,0)</f>
        <v>0</v>
      </c>
      <c r="AC199" s="35">
        <f>IF(AQ199="1",BI199,0)</f>
        <v>0</v>
      </c>
      <c r="AD199" s="35">
        <f>IF(AQ199="7",BH199,0)</f>
        <v>0</v>
      </c>
      <c r="AE199" s="35">
        <f>IF(AQ199="7",BI199,0)</f>
        <v>0</v>
      </c>
      <c r="AF199" s="35">
        <f>IF(AQ199="2",BH199,0)</f>
        <v>0</v>
      </c>
      <c r="AG199" s="35">
        <f>IF(AQ199="2",BI199,0)</f>
        <v>0</v>
      </c>
      <c r="AH199" s="35">
        <f>IF(AQ199="0",BJ199,0)</f>
        <v>0</v>
      </c>
      <c r="AI199" s="21"/>
      <c r="AJ199" s="35">
        <f>IF(AN199=0,J199,0)</f>
        <v>0</v>
      </c>
      <c r="AK199" s="35">
        <f>IF(AN199=15,J199,0)</f>
        <v>0</v>
      </c>
      <c r="AL199" s="35">
        <f>IF(AN199=21,J199,0)</f>
        <v>0</v>
      </c>
      <c r="AN199" s="35">
        <v>15</v>
      </c>
      <c r="AO199" s="35">
        <f>G199*0</f>
        <v>0</v>
      </c>
      <c r="AP199" s="35">
        <f>G199*(1-0)</f>
        <v>0</v>
      </c>
      <c r="AQ199" s="37" t="s">
        <v>82</v>
      </c>
      <c r="AV199" s="35">
        <f>AW199+AX199</f>
        <v>0</v>
      </c>
      <c r="AW199" s="35">
        <f>F199*AO199</f>
        <v>0</v>
      </c>
      <c r="AX199" s="35">
        <f>F199*AP199</f>
        <v>0</v>
      </c>
      <c r="AY199" s="37" t="s">
        <v>394</v>
      </c>
      <c r="AZ199" s="37" t="s">
        <v>328</v>
      </c>
      <c r="BA199" s="21" t="s">
        <v>59</v>
      </c>
      <c r="BC199" s="35">
        <f>AW199+AX199</f>
        <v>0</v>
      </c>
      <c r="BD199" s="35">
        <f>G199/(100-BE199)*100</f>
        <v>0</v>
      </c>
      <c r="BE199" s="35">
        <v>0</v>
      </c>
      <c r="BF199" s="35">
        <f>L199</f>
        <v>0</v>
      </c>
      <c r="BH199" s="35">
        <f>F199*AO199</f>
        <v>0</v>
      </c>
      <c r="BI199" s="35">
        <f>F199*AP199</f>
        <v>0</v>
      </c>
      <c r="BJ199" s="35">
        <f>F199*G199</f>
        <v>0</v>
      </c>
      <c r="BK199" s="35"/>
      <c r="BL199" s="35">
        <v>713</v>
      </c>
    </row>
    <row r="200" spans="1:13" ht="15" customHeight="1">
      <c r="A200" s="38"/>
      <c r="C200" s="39" t="s">
        <v>291</v>
      </c>
      <c r="D200" s="39"/>
      <c r="F200" s="40">
        <v>198.89900000000003</v>
      </c>
      <c r="M200" s="41"/>
    </row>
    <row r="201" spans="1:64" ht="15" customHeight="1">
      <c r="A201" s="34" t="s">
        <v>412</v>
      </c>
      <c r="B201" s="11" t="s">
        <v>405</v>
      </c>
      <c r="C201" s="11" t="s">
        <v>406</v>
      </c>
      <c r="D201" s="11"/>
      <c r="E201" s="11" t="s">
        <v>100</v>
      </c>
      <c r="F201" s="35">
        <v>10.54165</v>
      </c>
      <c r="G201" s="35">
        <v>0</v>
      </c>
      <c r="H201" s="35">
        <f>F201*AO201</f>
        <v>0</v>
      </c>
      <c r="I201" s="35">
        <f>F201*AP201</f>
        <v>0</v>
      </c>
      <c r="J201" s="35">
        <f>F201*G201</f>
        <v>0</v>
      </c>
      <c r="K201" s="35">
        <v>0.025</v>
      </c>
      <c r="L201" s="35">
        <f>F201*K201</f>
        <v>0.32</v>
      </c>
      <c r="M201" s="36" t="s">
        <v>86</v>
      </c>
      <c r="Z201" s="35">
        <f>IF(AQ201="5",BJ201,0)</f>
        <v>0</v>
      </c>
      <c r="AB201" s="35">
        <f>IF(AQ201="1",BH201,0)</f>
        <v>0</v>
      </c>
      <c r="AC201" s="35">
        <f>IF(AQ201="1",BI201,0)</f>
        <v>0</v>
      </c>
      <c r="AD201" s="35">
        <f>IF(AQ201="7",BH201,0)</f>
        <v>0</v>
      </c>
      <c r="AE201" s="35">
        <f>IF(AQ201="7",BI201,0)</f>
        <v>0</v>
      </c>
      <c r="AF201" s="35">
        <f>IF(AQ201="2",BH201,0)</f>
        <v>0</v>
      </c>
      <c r="AG201" s="35">
        <f>IF(AQ201="2",BI201,0)</f>
        <v>0</v>
      </c>
      <c r="AH201" s="35">
        <f>IF(AQ201="0",BJ201,0)</f>
        <v>0</v>
      </c>
      <c r="AI201" s="21"/>
      <c r="AJ201" s="35">
        <f>IF(AN201=0,J201,0)</f>
        <v>0</v>
      </c>
      <c r="AK201" s="35">
        <f>IF(AN201=15,J201,0)</f>
        <v>0</v>
      </c>
      <c r="AL201" s="35">
        <f>IF(AN201=21,J201,0)</f>
        <v>0</v>
      </c>
      <c r="AN201" s="35">
        <v>15</v>
      </c>
      <c r="AO201" s="35">
        <f>G201*1</f>
        <v>0</v>
      </c>
      <c r="AP201" s="35">
        <f>G201*(1-1)</f>
        <v>0</v>
      </c>
      <c r="AQ201" s="37" t="s">
        <v>82</v>
      </c>
      <c r="AV201" s="35">
        <f>AW201+AX201</f>
        <v>0</v>
      </c>
      <c r="AW201" s="35">
        <f>F201*AO201</f>
        <v>0</v>
      </c>
      <c r="AX201" s="35">
        <f>F201*AP201</f>
        <v>0</v>
      </c>
      <c r="AY201" s="37" t="s">
        <v>394</v>
      </c>
      <c r="AZ201" s="37" t="s">
        <v>328</v>
      </c>
      <c r="BA201" s="21" t="s">
        <v>59</v>
      </c>
      <c r="BC201" s="35">
        <f>AW201+AX201</f>
        <v>0</v>
      </c>
      <c r="BD201" s="35">
        <f>G201/(100-BE201)*100</f>
        <v>0</v>
      </c>
      <c r="BE201" s="35">
        <v>0</v>
      </c>
      <c r="BF201" s="35">
        <f>L201</f>
        <v>0.32</v>
      </c>
      <c r="BH201" s="35">
        <f>F201*AO201</f>
        <v>0</v>
      </c>
      <c r="BI201" s="35">
        <f>F201*AP201</f>
        <v>0</v>
      </c>
      <c r="BJ201" s="35">
        <f>F201*G201</f>
        <v>0</v>
      </c>
      <c r="BK201" s="35"/>
      <c r="BL201" s="35">
        <v>713</v>
      </c>
    </row>
    <row r="202" spans="1:13" ht="15" customHeight="1">
      <c r="A202" s="38"/>
      <c r="C202" s="39" t="s">
        <v>413</v>
      </c>
      <c r="D202" s="39"/>
      <c r="F202" s="40">
        <v>9.94495</v>
      </c>
      <c r="M202" s="41"/>
    </row>
    <row r="203" spans="1:13" ht="15" customHeight="1">
      <c r="A203" s="38"/>
      <c r="C203" s="39" t="s">
        <v>414</v>
      </c>
      <c r="D203" s="39"/>
      <c r="F203" s="40">
        <v>0.5967</v>
      </c>
      <c r="M203" s="41"/>
    </row>
    <row r="204" spans="1:64" ht="15" customHeight="1">
      <c r="A204" s="34" t="s">
        <v>415</v>
      </c>
      <c r="B204" s="11" t="s">
        <v>416</v>
      </c>
      <c r="C204" s="11" t="s">
        <v>388</v>
      </c>
      <c r="D204" s="11"/>
      <c r="E204" s="11" t="s">
        <v>172</v>
      </c>
      <c r="F204" s="35">
        <v>2.177</v>
      </c>
      <c r="G204" s="35">
        <v>0</v>
      </c>
      <c r="H204" s="35">
        <f>F204*AO204</f>
        <v>0</v>
      </c>
      <c r="I204" s="35">
        <f>F204*AP204</f>
        <v>0</v>
      </c>
      <c r="J204" s="35">
        <f>F204*G204</f>
        <v>0</v>
      </c>
      <c r="K204" s="35">
        <v>0</v>
      </c>
      <c r="L204" s="35">
        <f>F204*K204</f>
        <v>0</v>
      </c>
      <c r="M204" s="36" t="s">
        <v>57</v>
      </c>
      <c r="Z204" s="35">
        <f>IF(AQ204="5",BJ204,0)</f>
        <v>0</v>
      </c>
      <c r="AB204" s="35">
        <f>IF(AQ204="1",BH204,0)</f>
        <v>0</v>
      </c>
      <c r="AC204" s="35">
        <f>IF(AQ204="1",BI204,0)</f>
        <v>0</v>
      </c>
      <c r="AD204" s="35">
        <f>IF(AQ204="7",BH204,0)</f>
        <v>0</v>
      </c>
      <c r="AE204" s="35">
        <f>IF(AQ204="7",BI204,0)</f>
        <v>0</v>
      </c>
      <c r="AF204" s="35">
        <f>IF(AQ204="2",BH204,0)</f>
        <v>0</v>
      </c>
      <c r="AG204" s="35">
        <f>IF(AQ204="2",BI204,0)</f>
        <v>0</v>
      </c>
      <c r="AH204" s="35">
        <f>IF(AQ204="0",BJ204,0)</f>
        <v>0</v>
      </c>
      <c r="AI204" s="21"/>
      <c r="AJ204" s="35">
        <f>IF(AN204=0,J204,0)</f>
        <v>0</v>
      </c>
      <c r="AK204" s="35">
        <f>IF(AN204=15,J204,0)</f>
        <v>0</v>
      </c>
      <c r="AL204" s="35">
        <f>IF(AN204=21,J204,0)</f>
        <v>0</v>
      </c>
      <c r="AN204" s="35">
        <v>15</v>
      </c>
      <c r="AO204" s="35">
        <f>G204*0</f>
        <v>0</v>
      </c>
      <c r="AP204" s="35">
        <f>G204*(1-0)</f>
        <v>0</v>
      </c>
      <c r="AQ204" s="37" t="s">
        <v>70</v>
      </c>
      <c r="AV204" s="35">
        <f>AW204+AX204</f>
        <v>0</v>
      </c>
      <c r="AW204" s="35">
        <f>F204*AO204</f>
        <v>0</v>
      </c>
      <c r="AX204" s="35">
        <f>F204*AP204</f>
        <v>0</v>
      </c>
      <c r="AY204" s="37" t="s">
        <v>394</v>
      </c>
      <c r="AZ204" s="37" t="s">
        <v>328</v>
      </c>
      <c r="BA204" s="21" t="s">
        <v>59</v>
      </c>
      <c r="BC204" s="35">
        <f>AW204+AX204</f>
        <v>0</v>
      </c>
      <c r="BD204" s="35">
        <f>G204/(100-BE204)*100</f>
        <v>0</v>
      </c>
      <c r="BE204" s="35">
        <v>0</v>
      </c>
      <c r="BF204" s="35">
        <f>L204</f>
        <v>0</v>
      </c>
      <c r="BH204" s="35">
        <f>F204*AO204</f>
        <v>0</v>
      </c>
      <c r="BI204" s="35">
        <f>F204*AP204</f>
        <v>0</v>
      </c>
      <c r="BJ204" s="35">
        <f>F204*G204</f>
        <v>0</v>
      </c>
      <c r="BK204" s="35"/>
      <c r="BL204" s="35">
        <v>713</v>
      </c>
    </row>
    <row r="205" spans="1:13" ht="15" customHeight="1">
      <c r="A205" s="38"/>
      <c r="C205" s="39" t="s">
        <v>417</v>
      </c>
      <c r="D205" s="39"/>
      <c r="F205" s="40">
        <v>2.177</v>
      </c>
      <c r="M205" s="41"/>
    </row>
    <row r="206" spans="1:47" ht="15" customHeight="1">
      <c r="A206" s="30"/>
      <c r="B206" s="31" t="s">
        <v>418</v>
      </c>
      <c r="C206" s="31" t="s">
        <v>419</v>
      </c>
      <c r="D206" s="31"/>
      <c r="E206" s="32" t="s">
        <v>4</v>
      </c>
      <c r="F206" s="32" t="s">
        <v>4</v>
      </c>
      <c r="G206" s="32" t="s">
        <v>4</v>
      </c>
      <c r="H206" s="3">
        <f>SUM(H207:H213)</f>
        <v>0</v>
      </c>
      <c r="I206" s="3">
        <f>SUM(I207:I213)</f>
        <v>0</v>
      </c>
      <c r="J206" s="3">
        <f>SUM(J207:J213)</f>
        <v>0</v>
      </c>
      <c r="K206" s="21"/>
      <c r="L206" s="3">
        <f>SUM(L207:L213)</f>
        <v>0.06</v>
      </c>
      <c r="M206" s="33"/>
      <c r="AI206" s="21"/>
      <c r="AS206" s="3">
        <f>SUM(AJ207:AJ213)</f>
        <v>0</v>
      </c>
      <c r="AT206" s="3">
        <f>SUM(AK207:AK213)</f>
        <v>0</v>
      </c>
      <c r="AU206" s="3">
        <f>SUM(AL207:AL213)</f>
        <v>0</v>
      </c>
    </row>
    <row r="207" spans="1:64" ht="15" customHeight="1">
      <c r="A207" s="34" t="s">
        <v>420</v>
      </c>
      <c r="B207" s="11" t="s">
        <v>421</v>
      </c>
      <c r="C207" s="11" t="s">
        <v>422</v>
      </c>
      <c r="D207" s="11"/>
      <c r="E207" s="11" t="s">
        <v>163</v>
      </c>
      <c r="F207" s="35">
        <v>5</v>
      </c>
      <c r="G207" s="35">
        <v>0</v>
      </c>
      <c r="H207" s="35">
        <f>F207*AO207</f>
        <v>0</v>
      </c>
      <c r="I207" s="35">
        <f>F207*AP207</f>
        <v>0</v>
      </c>
      <c r="J207" s="35">
        <f>F207*G207</f>
        <v>0</v>
      </c>
      <c r="K207" s="35">
        <v>0.00027</v>
      </c>
      <c r="L207" s="35">
        <f>F207*K207</f>
        <v>0</v>
      </c>
      <c r="M207" s="36" t="s">
        <v>57</v>
      </c>
      <c r="Z207" s="35">
        <f>IF(AQ207="5",BJ207,0)</f>
        <v>0</v>
      </c>
      <c r="AB207" s="35">
        <f>IF(AQ207="1",BH207,0)</f>
        <v>0</v>
      </c>
      <c r="AC207" s="35">
        <f>IF(AQ207="1",BI207,0)</f>
        <v>0</v>
      </c>
      <c r="AD207" s="35">
        <f>IF(AQ207="7",BH207,0)</f>
        <v>0</v>
      </c>
      <c r="AE207" s="35">
        <f>IF(AQ207="7",BI207,0)</f>
        <v>0</v>
      </c>
      <c r="AF207" s="35">
        <f>IF(AQ207="2",BH207,0)</f>
        <v>0</v>
      </c>
      <c r="AG207" s="35">
        <f>IF(AQ207="2",BI207,0)</f>
        <v>0</v>
      </c>
      <c r="AH207" s="35">
        <f>IF(AQ207="0",BJ207,0)</f>
        <v>0</v>
      </c>
      <c r="AI207" s="21"/>
      <c r="AJ207" s="35">
        <f>IF(AN207=0,J207,0)</f>
        <v>0</v>
      </c>
      <c r="AK207" s="35">
        <f>IF(AN207=15,J207,0)</f>
        <v>0</v>
      </c>
      <c r="AL207" s="35">
        <f>IF(AN207=21,J207,0)</f>
        <v>0</v>
      </c>
      <c r="AN207" s="35">
        <v>15</v>
      </c>
      <c r="AO207" s="35">
        <f>G207*0.812314467988644</f>
        <v>0</v>
      </c>
      <c r="AP207" s="35">
        <f>G207*(1-0.812314467988644)</f>
        <v>0</v>
      </c>
      <c r="AQ207" s="37" t="s">
        <v>82</v>
      </c>
      <c r="AV207" s="35">
        <f>AW207+AX207</f>
        <v>0</v>
      </c>
      <c r="AW207" s="35">
        <f>F207*AO207</f>
        <v>0</v>
      </c>
      <c r="AX207" s="35">
        <f>F207*AP207</f>
        <v>0</v>
      </c>
      <c r="AY207" s="37" t="s">
        <v>423</v>
      </c>
      <c r="AZ207" s="37" t="s">
        <v>424</v>
      </c>
      <c r="BA207" s="21" t="s">
        <v>59</v>
      </c>
      <c r="BC207" s="35">
        <f>AW207+AX207</f>
        <v>0</v>
      </c>
      <c r="BD207" s="35">
        <f>G207/(100-BE207)*100</f>
        <v>0</v>
      </c>
      <c r="BE207" s="35">
        <v>0</v>
      </c>
      <c r="BF207" s="35">
        <f>L207</f>
        <v>0</v>
      </c>
      <c r="BH207" s="35">
        <f>F207*AO207</f>
        <v>0</v>
      </c>
      <c r="BI207" s="35">
        <f>F207*AP207</f>
        <v>0</v>
      </c>
      <c r="BJ207" s="35">
        <f>F207*G207</f>
        <v>0</v>
      </c>
      <c r="BK207" s="35"/>
      <c r="BL207" s="35">
        <v>721</v>
      </c>
    </row>
    <row r="208" spans="1:13" ht="15" customHeight="1">
      <c r="A208" s="38"/>
      <c r="C208" s="39" t="s">
        <v>70</v>
      </c>
      <c r="D208" s="39" t="s">
        <v>425</v>
      </c>
      <c r="F208" s="40">
        <v>5</v>
      </c>
      <c r="M208" s="41"/>
    </row>
    <row r="209" spans="1:64" ht="15" customHeight="1">
      <c r="A209" s="34" t="s">
        <v>426</v>
      </c>
      <c r="B209" s="11" t="s">
        <v>427</v>
      </c>
      <c r="C209" s="11" t="s">
        <v>428</v>
      </c>
      <c r="D209" s="11"/>
      <c r="E209" s="11" t="s">
        <v>163</v>
      </c>
      <c r="F209" s="35">
        <v>2</v>
      </c>
      <c r="G209" s="35">
        <v>0</v>
      </c>
      <c r="H209" s="35">
        <f>F209*AO209</f>
        <v>0</v>
      </c>
      <c r="I209" s="35">
        <f>F209*AP209</f>
        <v>0</v>
      </c>
      <c r="J209" s="35">
        <f>F209*G209</f>
        <v>0</v>
      </c>
      <c r="K209" s="35">
        <v>0.00166</v>
      </c>
      <c r="L209" s="35">
        <f>F209*K209</f>
        <v>0</v>
      </c>
      <c r="M209" s="36" t="s">
        <v>57</v>
      </c>
      <c r="Z209" s="35">
        <f>IF(AQ209="5",BJ209,0)</f>
        <v>0</v>
      </c>
      <c r="AB209" s="35">
        <f>IF(AQ209="1",BH209,0)</f>
        <v>0</v>
      </c>
      <c r="AC209" s="35">
        <f>IF(AQ209="1",BI209,0)</f>
        <v>0</v>
      </c>
      <c r="AD209" s="35">
        <f>IF(AQ209="7",BH209,0)</f>
        <v>0</v>
      </c>
      <c r="AE209" s="35">
        <f>IF(AQ209="7",BI209,0)</f>
        <v>0</v>
      </c>
      <c r="AF209" s="35">
        <f>IF(AQ209="2",BH209,0)</f>
        <v>0</v>
      </c>
      <c r="AG209" s="35">
        <f>IF(AQ209="2",BI209,0)</f>
        <v>0</v>
      </c>
      <c r="AH209" s="35">
        <f>IF(AQ209="0",BJ209,0)</f>
        <v>0</v>
      </c>
      <c r="AI209" s="21"/>
      <c r="AJ209" s="35">
        <f>IF(AN209=0,J209,0)</f>
        <v>0</v>
      </c>
      <c r="AK209" s="35">
        <f>IF(AN209=15,J209,0)</f>
        <v>0</v>
      </c>
      <c r="AL209" s="35">
        <f>IF(AN209=21,J209,0)</f>
        <v>0</v>
      </c>
      <c r="AN209" s="35">
        <v>15</v>
      </c>
      <c r="AO209" s="35">
        <f>G209*1</f>
        <v>0</v>
      </c>
      <c r="AP209" s="35">
        <f>G209*(1-1)</f>
        <v>0</v>
      </c>
      <c r="AQ209" s="37" t="s">
        <v>82</v>
      </c>
      <c r="AV209" s="35">
        <f>AW209+AX209</f>
        <v>0</v>
      </c>
      <c r="AW209" s="35">
        <f>F209*AO209</f>
        <v>0</v>
      </c>
      <c r="AX209" s="35">
        <f>F209*AP209</f>
        <v>0</v>
      </c>
      <c r="AY209" s="37" t="s">
        <v>423</v>
      </c>
      <c r="AZ209" s="37" t="s">
        <v>424</v>
      </c>
      <c r="BA209" s="21" t="s">
        <v>59</v>
      </c>
      <c r="BC209" s="35">
        <f>AW209+AX209</f>
        <v>0</v>
      </c>
      <c r="BD209" s="35">
        <f>G209/(100-BE209)*100</f>
        <v>0</v>
      </c>
      <c r="BE209" s="35">
        <v>0</v>
      </c>
      <c r="BF209" s="35">
        <f>L209</f>
        <v>0</v>
      </c>
      <c r="BH209" s="35">
        <f>F209*AO209</f>
        <v>0</v>
      </c>
      <c r="BI209" s="35">
        <f>F209*AP209</f>
        <v>0</v>
      </c>
      <c r="BJ209" s="35">
        <f>F209*G209</f>
        <v>0</v>
      </c>
      <c r="BK209" s="35"/>
      <c r="BL209" s="35">
        <v>721</v>
      </c>
    </row>
    <row r="210" spans="1:13" ht="15" customHeight="1">
      <c r="A210" s="38"/>
      <c r="C210" s="39" t="s">
        <v>60</v>
      </c>
      <c r="D210" s="39"/>
      <c r="F210" s="40">
        <v>2</v>
      </c>
      <c r="M210" s="41"/>
    </row>
    <row r="211" spans="1:64" ht="15" customHeight="1">
      <c r="A211" s="34" t="s">
        <v>429</v>
      </c>
      <c r="B211" s="11" t="s">
        <v>430</v>
      </c>
      <c r="C211" s="11" t="s">
        <v>431</v>
      </c>
      <c r="D211" s="11"/>
      <c r="E211" s="11" t="s">
        <v>93</v>
      </c>
      <c r="F211" s="35">
        <v>2</v>
      </c>
      <c r="G211" s="35">
        <v>0</v>
      </c>
      <c r="H211" s="35">
        <f>F211*AO211</f>
        <v>0</v>
      </c>
      <c r="I211" s="35">
        <f>F211*AP211</f>
        <v>0</v>
      </c>
      <c r="J211" s="35">
        <f>F211*G211</f>
        <v>0</v>
      </c>
      <c r="K211" s="35">
        <v>0.0267</v>
      </c>
      <c r="L211" s="35">
        <f>F211*K211</f>
        <v>0.06</v>
      </c>
      <c r="M211" s="36" t="s">
        <v>57</v>
      </c>
      <c r="Z211" s="35">
        <f>IF(AQ211="5",BJ211,0)</f>
        <v>0</v>
      </c>
      <c r="AB211" s="35">
        <f>IF(AQ211="1",BH211,0)</f>
        <v>0</v>
      </c>
      <c r="AC211" s="35">
        <f>IF(AQ211="1",BI211,0)</f>
        <v>0</v>
      </c>
      <c r="AD211" s="35">
        <f>IF(AQ211="7",BH211,0)</f>
        <v>0</v>
      </c>
      <c r="AE211" s="35">
        <f>IF(AQ211="7",BI211,0)</f>
        <v>0</v>
      </c>
      <c r="AF211" s="35">
        <f>IF(AQ211="2",BH211,0)</f>
        <v>0</v>
      </c>
      <c r="AG211" s="35">
        <f>IF(AQ211="2",BI211,0)</f>
        <v>0</v>
      </c>
      <c r="AH211" s="35">
        <f>IF(AQ211="0",BJ211,0)</f>
        <v>0</v>
      </c>
      <c r="AI211" s="21"/>
      <c r="AJ211" s="35">
        <f>IF(AN211=0,J211,0)</f>
        <v>0</v>
      </c>
      <c r="AK211" s="35">
        <f>IF(AN211=15,J211,0)</f>
        <v>0</v>
      </c>
      <c r="AL211" s="35">
        <f>IF(AN211=21,J211,0)</f>
        <v>0</v>
      </c>
      <c r="AN211" s="35">
        <v>15</v>
      </c>
      <c r="AO211" s="35">
        <f>G211*0</f>
        <v>0</v>
      </c>
      <c r="AP211" s="35">
        <f>G211*(1-0)</f>
        <v>0</v>
      </c>
      <c r="AQ211" s="37" t="s">
        <v>82</v>
      </c>
      <c r="AV211" s="35">
        <f>AW211+AX211</f>
        <v>0</v>
      </c>
      <c r="AW211" s="35">
        <f>F211*AO211</f>
        <v>0</v>
      </c>
      <c r="AX211" s="35">
        <f>F211*AP211</f>
        <v>0</v>
      </c>
      <c r="AY211" s="37" t="s">
        <v>423</v>
      </c>
      <c r="AZ211" s="37" t="s">
        <v>424</v>
      </c>
      <c r="BA211" s="21" t="s">
        <v>59</v>
      </c>
      <c r="BC211" s="35">
        <f>AW211+AX211</f>
        <v>0</v>
      </c>
      <c r="BD211" s="35">
        <f>G211/(100-BE211)*100</f>
        <v>0</v>
      </c>
      <c r="BE211" s="35">
        <v>0</v>
      </c>
      <c r="BF211" s="35">
        <f>L211</f>
        <v>0.06</v>
      </c>
      <c r="BH211" s="35">
        <f>F211*AO211</f>
        <v>0</v>
      </c>
      <c r="BI211" s="35">
        <f>F211*AP211</f>
        <v>0</v>
      </c>
      <c r="BJ211" s="35">
        <f>F211*G211</f>
        <v>0</v>
      </c>
      <c r="BK211" s="35"/>
      <c r="BL211" s="35">
        <v>721</v>
      </c>
    </row>
    <row r="212" spans="1:13" ht="15" customHeight="1">
      <c r="A212" s="38"/>
      <c r="C212" s="39" t="s">
        <v>60</v>
      </c>
      <c r="D212" s="39"/>
      <c r="F212" s="40">
        <v>2</v>
      </c>
      <c r="M212" s="41"/>
    </row>
    <row r="213" spans="1:64" ht="15" customHeight="1">
      <c r="A213" s="34" t="s">
        <v>432</v>
      </c>
      <c r="B213" s="11" t="s">
        <v>433</v>
      </c>
      <c r="C213" s="11" t="s">
        <v>434</v>
      </c>
      <c r="D213" s="11"/>
      <c r="E213" s="11" t="s">
        <v>163</v>
      </c>
      <c r="F213" s="35">
        <v>5</v>
      </c>
      <c r="G213" s="35">
        <v>0</v>
      </c>
      <c r="H213" s="35">
        <f>F213*AO213</f>
        <v>0</v>
      </c>
      <c r="I213" s="35">
        <f>F213*AP213</f>
        <v>0</v>
      </c>
      <c r="J213" s="35">
        <f>F213*G213</f>
        <v>0</v>
      </c>
      <c r="K213" s="35">
        <v>0.0028</v>
      </c>
      <c r="L213" s="35">
        <f>F213*K213</f>
        <v>0</v>
      </c>
      <c r="M213" s="36" t="s">
        <v>57</v>
      </c>
      <c r="Z213" s="35">
        <f>IF(AQ213="5",BJ213,0)</f>
        <v>0</v>
      </c>
      <c r="AB213" s="35">
        <f>IF(AQ213="1",BH213,0)</f>
        <v>0</v>
      </c>
      <c r="AC213" s="35">
        <f>IF(AQ213="1",BI213,0)</f>
        <v>0</v>
      </c>
      <c r="AD213" s="35">
        <f>IF(AQ213="7",BH213,0)</f>
        <v>0</v>
      </c>
      <c r="AE213" s="35">
        <f>IF(AQ213="7",BI213,0)</f>
        <v>0</v>
      </c>
      <c r="AF213" s="35">
        <f>IF(AQ213="2",BH213,0)</f>
        <v>0</v>
      </c>
      <c r="AG213" s="35">
        <f>IF(AQ213="2",BI213,0)</f>
        <v>0</v>
      </c>
      <c r="AH213" s="35">
        <f>IF(AQ213="0",BJ213,0)</f>
        <v>0</v>
      </c>
      <c r="AI213" s="21"/>
      <c r="AJ213" s="35">
        <f>IF(AN213=0,J213,0)</f>
        <v>0</v>
      </c>
      <c r="AK213" s="35">
        <f>IF(AN213=15,J213,0)</f>
        <v>0</v>
      </c>
      <c r="AL213" s="35">
        <f>IF(AN213=21,J213,0)</f>
        <v>0</v>
      </c>
      <c r="AN213" s="35">
        <v>15</v>
      </c>
      <c r="AO213" s="35">
        <f>G213*0.502076233569117</f>
        <v>0</v>
      </c>
      <c r="AP213" s="35">
        <f>G213*(1-0.502076233569117)</f>
        <v>0</v>
      </c>
      <c r="AQ213" s="37" t="s">
        <v>82</v>
      </c>
      <c r="AV213" s="35">
        <f>AW213+AX213</f>
        <v>0</v>
      </c>
      <c r="AW213" s="35">
        <f>F213*AO213</f>
        <v>0</v>
      </c>
      <c r="AX213" s="35">
        <f>F213*AP213</f>
        <v>0</v>
      </c>
      <c r="AY213" s="37" t="s">
        <v>423</v>
      </c>
      <c r="AZ213" s="37" t="s">
        <v>424</v>
      </c>
      <c r="BA213" s="21" t="s">
        <v>59</v>
      </c>
      <c r="BC213" s="35">
        <f>AW213+AX213</f>
        <v>0</v>
      </c>
      <c r="BD213" s="35">
        <f>G213/(100-BE213)*100</f>
        <v>0</v>
      </c>
      <c r="BE213" s="35">
        <v>0</v>
      </c>
      <c r="BF213" s="35">
        <f>L213</f>
        <v>0</v>
      </c>
      <c r="BH213" s="35">
        <f>F213*AO213</f>
        <v>0</v>
      </c>
      <c r="BI213" s="35">
        <f>F213*AP213</f>
        <v>0</v>
      </c>
      <c r="BJ213" s="35">
        <f>F213*G213</f>
        <v>0</v>
      </c>
      <c r="BK213" s="35"/>
      <c r="BL213" s="35">
        <v>721</v>
      </c>
    </row>
    <row r="214" spans="1:13" ht="15" customHeight="1">
      <c r="A214" s="38"/>
      <c r="C214" s="39" t="s">
        <v>70</v>
      </c>
      <c r="D214" s="39"/>
      <c r="F214" s="40">
        <v>5</v>
      </c>
      <c r="M214" s="41"/>
    </row>
    <row r="215" spans="1:47" ht="15" customHeight="1">
      <c r="A215" s="30"/>
      <c r="B215" s="31" t="s">
        <v>435</v>
      </c>
      <c r="C215" s="31" t="s">
        <v>436</v>
      </c>
      <c r="D215" s="31"/>
      <c r="E215" s="32" t="s">
        <v>4</v>
      </c>
      <c r="F215" s="32" t="s">
        <v>4</v>
      </c>
      <c r="G215" s="32" t="s">
        <v>4</v>
      </c>
      <c r="H215" s="3">
        <f>SUM(H216:H260)</f>
        <v>0</v>
      </c>
      <c r="I215" s="3">
        <f>SUM(I216:I260)</f>
        <v>0</v>
      </c>
      <c r="J215" s="3">
        <f>SUM(J216:J260)</f>
        <v>0</v>
      </c>
      <c r="K215" s="21"/>
      <c r="L215" s="3">
        <f>SUM(L216:L260)</f>
        <v>1.05</v>
      </c>
      <c r="M215" s="33"/>
      <c r="AI215" s="21"/>
      <c r="AS215" s="3">
        <f>SUM(AJ216:AJ260)</f>
        <v>0</v>
      </c>
      <c r="AT215" s="3">
        <f>SUM(AK216:AK260)</f>
        <v>0</v>
      </c>
      <c r="AU215" s="3">
        <f>SUM(AL216:AL260)</f>
        <v>0</v>
      </c>
    </row>
    <row r="216" spans="1:64" ht="15" customHeight="1">
      <c r="A216" s="34" t="s">
        <v>437</v>
      </c>
      <c r="B216" s="11" t="s">
        <v>438</v>
      </c>
      <c r="C216" s="11" t="s">
        <v>439</v>
      </c>
      <c r="D216" s="11"/>
      <c r="E216" s="11" t="s">
        <v>85</v>
      </c>
      <c r="F216" s="35">
        <v>11.9875</v>
      </c>
      <c r="G216" s="35">
        <v>0</v>
      </c>
      <c r="H216" s="35">
        <f>F216*AO216</f>
        <v>0</v>
      </c>
      <c r="I216" s="35">
        <f>F216*AP216</f>
        <v>0</v>
      </c>
      <c r="J216" s="35">
        <f>F216*G216</f>
        <v>0</v>
      </c>
      <c r="K216" s="35">
        <v>0.003</v>
      </c>
      <c r="L216" s="35">
        <f>F216*K216</f>
        <v>0</v>
      </c>
      <c r="M216" s="36" t="s">
        <v>57</v>
      </c>
      <c r="Z216" s="35">
        <f>IF(AQ216="5",BJ216,0)</f>
        <v>0</v>
      </c>
      <c r="AB216" s="35">
        <f>IF(AQ216="1",BH216,0)</f>
        <v>0</v>
      </c>
      <c r="AC216" s="35">
        <f>IF(AQ216="1",BI216,0)</f>
        <v>0</v>
      </c>
      <c r="AD216" s="35">
        <f>IF(AQ216="7",BH216,0)</f>
        <v>0</v>
      </c>
      <c r="AE216" s="35">
        <f>IF(AQ216="7",BI216,0)</f>
        <v>0</v>
      </c>
      <c r="AF216" s="35">
        <f>IF(AQ216="2",BH216,0)</f>
        <v>0</v>
      </c>
      <c r="AG216" s="35">
        <f>IF(AQ216="2",BI216,0)</f>
        <v>0</v>
      </c>
      <c r="AH216" s="35">
        <f>IF(AQ216="0",BJ216,0)</f>
        <v>0</v>
      </c>
      <c r="AI216" s="21"/>
      <c r="AJ216" s="35">
        <f>IF(AN216=0,J216,0)</f>
        <v>0</v>
      </c>
      <c r="AK216" s="35">
        <f>IF(AN216=15,J216,0)</f>
        <v>0</v>
      </c>
      <c r="AL216" s="35">
        <f>IF(AN216=21,J216,0)</f>
        <v>0</v>
      </c>
      <c r="AN216" s="35">
        <v>15</v>
      </c>
      <c r="AO216" s="35">
        <f>G216*0.756593146086594</f>
        <v>0</v>
      </c>
      <c r="AP216" s="35">
        <f>G216*(1-0.756593146086594)</f>
        <v>0</v>
      </c>
      <c r="AQ216" s="37" t="s">
        <v>82</v>
      </c>
      <c r="AV216" s="35">
        <f>AW216+AX216</f>
        <v>0</v>
      </c>
      <c r="AW216" s="35">
        <f>F216*AO216</f>
        <v>0</v>
      </c>
      <c r="AX216" s="35">
        <f>F216*AP216</f>
        <v>0</v>
      </c>
      <c r="AY216" s="37" t="s">
        <v>440</v>
      </c>
      <c r="AZ216" s="37" t="s">
        <v>424</v>
      </c>
      <c r="BA216" s="21" t="s">
        <v>59</v>
      </c>
      <c r="BC216" s="35">
        <f>AW216+AX216</f>
        <v>0</v>
      </c>
      <c r="BD216" s="35">
        <f>G216/(100-BE216)*100</f>
        <v>0</v>
      </c>
      <c r="BE216" s="35">
        <v>0</v>
      </c>
      <c r="BF216" s="35">
        <f>L216</f>
        <v>0</v>
      </c>
      <c r="BH216" s="35">
        <f>F216*AO216</f>
        <v>0</v>
      </c>
      <c r="BI216" s="35">
        <f>F216*AP216</f>
        <v>0</v>
      </c>
      <c r="BJ216" s="35">
        <f>F216*G216</f>
        <v>0</v>
      </c>
      <c r="BK216" s="35"/>
      <c r="BL216" s="35">
        <v>728</v>
      </c>
    </row>
    <row r="217" spans="1:13" ht="15" customHeight="1">
      <c r="A217" s="38"/>
      <c r="C217" s="39" t="s">
        <v>441</v>
      </c>
      <c r="D217" s="39" t="s">
        <v>442</v>
      </c>
      <c r="F217" s="40">
        <v>4.800000000000001</v>
      </c>
      <c r="M217" s="41"/>
    </row>
    <row r="218" spans="1:13" ht="15" customHeight="1">
      <c r="A218" s="38"/>
      <c r="C218" s="39" t="s">
        <v>443</v>
      </c>
      <c r="D218" s="39" t="s">
        <v>444</v>
      </c>
      <c r="F218" s="40">
        <v>7.187500000000001</v>
      </c>
      <c r="M218" s="41"/>
    </row>
    <row r="219" spans="1:64" ht="15" customHeight="1">
      <c r="A219" s="34" t="s">
        <v>445</v>
      </c>
      <c r="B219" s="11" t="s">
        <v>446</v>
      </c>
      <c r="C219" s="11" t="s">
        <v>447</v>
      </c>
      <c r="D219" s="11"/>
      <c r="E219" s="11" t="s">
        <v>93</v>
      </c>
      <c r="F219" s="35">
        <v>20</v>
      </c>
      <c r="G219" s="35">
        <v>0</v>
      </c>
      <c r="H219" s="35">
        <f>F219*AO219</f>
        <v>0</v>
      </c>
      <c r="I219" s="35">
        <f>F219*AP219</f>
        <v>0</v>
      </c>
      <c r="J219" s="35">
        <f>F219*G219</f>
        <v>0</v>
      </c>
      <c r="K219" s="35">
        <v>0</v>
      </c>
      <c r="L219" s="35">
        <f>F219*K219</f>
        <v>0</v>
      </c>
      <c r="M219" s="36" t="s">
        <v>57</v>
      </c>
      <c r="Z219" s="35">
        <f>IF(AQ219="5",BJ219,0)</f>
        <v>0</v>
      </c>
      <c r="AB219" s="35">
        <f>IF(AQ219="1",BH219,0)</f>
        <v>0</v>
      </c>
      <c r="AC219" s="35">
        <f>IF(AQ219="1",BI219,0)</f>
        <v>0</v>
      </c>
      <c r="AD219" s="35">
        <f>IF(AQ219="7",BH219,0)</f>
        <v>0</v>
      </c>
      <c r="AE219" s="35">
        <f>IF(AQ219="7",BI219,0)</f>
        <v>0</v>
      </c>
      <c r="AF219" s="35">
        <f>IF(AQ219="2",BH219,0)</f>
        <v>0</v>
      </c>
      <c r="AG219" s="35">
        <f>IF(AQ219="2",BI219,0)</f>
        <v>0</v>
      </c>
      <c r="AH219" s="35">
        <f>IF(AQ219="0",BJ219,0)</f>
        <v>0</v>
      </c>
      <c r="AI219" s="21"/>
      <c r="AJ219" s="35">
        <f>IF(AN219=0,J219,0)</f>
        <v>0</v>
      </c>
      <c r="AK219" s="35">
        <f>IF(AN219=15,J219,0)</f>
        <v>0</v>
      </c>
      <c r="AL219" s="35">
        <f>IF(AN219=21,J219,0)</f>
        <v>0</v>
      </c>
      <c r="AN219" s="35">
        <v>15</v>
      </c>
      <c r="AO219" s="35">
        <f>G219*0.0122222222222222</f>
        <v>0</v>
      </c>
      <c r="AP219" s="35">
        <f>G219*(1-0.0122222222222222)</f>
        <v>0</v>
      </c>
      <c r="AQ219" s="37" t="s">
        <v>82</v>
      </c>
      <c r="AV219" s="35">
        <f>AW219+AX219</f>
        <v>0</v>
      </c>
      <c r="AW219" s="35">
        <f>F219*AO219</f>
        <v>0</v>
      </c>
      <c r="AX219" s="35">
        <f>F219*AP219</f>
        <v>0</v>
      </c>
      <c r="AY219" s="37" t="s">
        <v>440</v>
      </c>
      <c r="AZ219" s="37" t="s">
        <v>424</v>
      </c>
      <c r="BA219" s="21" t="s">
        <v>59</v>
      </c>
      <c r="BC219" s="35">
        <f>AW219+AX219</f>
        <v>0</v>
      </c>
      <c r="BD219" s="35">
        <f>G219/(100-BE219)*100</f>
        <v>0</v>
      </c>
      <c r="BE219" s="35">
        <v>0</v>
      </c>
      <c r="BF219" s="35">
        <f>L219</f>
        <v>0</v>
      </c>
      <c r="BH219" s="35">
        <f>F219*AO219</f>
        <v>0</v>
      </c>
      <c r="BI219" s="35">
        <f>F219*AP219</f>
        <v>0</v>
      </c>
      <c r="BJ219" s="35">
        <f>F219*G219</f>
        <v>0</v>
      </c>
      <c r="BK219" s="35"/>
      <c r="BL219" s="35">
        <v>728</v>
      </c>
    </row>
    <row r="220" spans="1:13" ht="15" customHeight="1">
      <c r="A220" s="38"/>
      <c r="C220" s="39" t="s">
        <v>448</v>
      </c>
      <c r="D220" s="39" t="s">
        <v>449</v>
      </c>
      <c r="F220" s="40">
        <v>20</v>
      </c>
      <c r="M220" s="41"/>
    </row>
    <row r="221" spans="1:64" ht="15" customHeight="1">
      <c r="A221" s="34" t="s">
        <v>450</v>
      </c>
      <c r="B221" s="11" t="s">
        <v>451</v>
      </c>
      <c r="C221" s="11" t="s">
        <v>452</v>
      </c>
      <c r="D221" s="11"/>
      <c r="E221" s="11" t="s">
        <v>163</v>
      </c>
      <c r="F221" s="35">
        <v>40</v>
      </c>
      <c r="G221" s="35">
        <v>0</v>
      </c>
      <c r="H221" s="35">
        <f>F221*AO221</f>
        <v>0</v>
      </c>
      <c r="I221" s="35">
        <f>F221*AP221</f>
        <v>0</v>
      </c>
      <c r="J221" s="35">
        <f>F221*G221</f>
        <v>0</v>
      </c>
      <c r="K221" s="35">
        <v>0</v>
      </c>
      <c r="L221" s="35">
        <f>F221*K221</f>
        <v>0</v>
      </c>
      <c r="M221" s="36" t="s">
        <v>57</v>
      </c>
      <c r="Z221" s="35">
        <f>IF(AQ221="5",BJ221,0)</f>
        <v>0</v>
      </c>
      <c r="AB221" s="35">
        <f>IF(AQ221="1",BH221,0)</f>
        <v>0</v>
      </c>
      <c r="AC221" s="35">
        <f>IF(AQ221="1",BI221,0)</f>
        <v>0</v>
      </c>
      <c r="AD221" s="35">
        <f>IF(AQ221="7",BH221,0)</f>
        <v>0</v>
      </c>
      <c r="AE221" s="35">
        <f>IF(AQ221="7",BI221,0)</f>
        <v>0</v>
      </c>
      <c r="AF221" s="35">
        <f>IF(AQ221="2",BH221,0)</f>
        <v>0</v>
      </c>
      <c r="AG221" s="35">
        <f>IF(AQ221="2",BI221,0)</f>
        <v>0</v>
      </c>
      <c r="AH221" s="35">
        <f>IF(AQ221="0",BJ221,0)</f>
        <v>0</v>
      </c>
      <c r="AI221" s="21"/>
      <c r="AJ221" s="35">
        <f>IF(AN221=0,J221,0)</f>
        <v>0</v>
      </c>
      <c r="AK221" s="35">
        <f>IF(AN221=15,J221,0)</f>
        <v>0</v>
      </c>
      <c r="AL221" s="35">
        <f>IF(AN221=21,J221,0)</f>
        <v>0</v>
      </c>
      <c r="AN221" s="35">
        <v>15</v>
      </c>
      <c r="AO221" s="35">
        <f>G221*1</f>
        <v>0</v>
      </c>
      <c r="AP221" s="35">
        <f>G221*(1-1)</f>
        <v>0</v>
      </c>
      <c r="AQ221" s="37" t="s">
        <v>82</v>
      </c>
      <c r="AV221" s="35">
        <f>AW221+AX221</f>
        <v>0</v>
      </c>
      <c r="AW221" s="35">
        <f>F221*AO221</f>
        <v>0</v>
      </c>
      <c r="AX221" s="35">
        <f>F221*AP221</f>
        <v>0</v>
      </c>
      <c r="AY221" s="37" t="s">
        <v>440</v>
      </c>
      <c r="AZ221" s="37" t="s">
        <v>424</v>
      </c>
      <c r="BA221" s="21" t="s">
        <v>59</v>
      </c>
      <c r="BC221" s="35">
        <f>AW221+AX221</f>
        <v>0</v>
      </c>
      <c r="BD221" s="35">
        <f>G221/(100-BE221)*100</f>
        <v>0</v>
      </c>
      <c r="BE221" s="35">
        <v>0</v>
      </c>
      <c r="BF221" s="35">
        <f>L221</f>
        <v>0</v>
      </c>
      <c r="BH221" s="35">
        <f>F221*AO221</f>
        <v>0</v>
      </c>
      <c r="BI221" s="35">
        <f>F221*AP221</f>
        <v>0</v>
      </c>
      <c r="BJ221" s="35">
        <f>F221*G221</f>
        <v>0</v>
      </c>
      <c r="BK221" s="35"/>
      <c r="BL221" s="35">
        <v>728</v>
      </c>
    </row>
    <row r="222" spans="1:13" ht="15" customHeight="1">
      <c r="A222" s="38"/>
      <c r="C222" s="39" t="s">
        <v>453</v>
      </c>
      <c r="D222" s="39"/>
      <c r="F222" s="40">
        <v>40</v>
      </c>
      <c r="M222" s="41"/>
    </row>
    <row r="223" spans="1:64" ht="15" customHeight="1">
      <c r="A223" s="34" t="s">
        <v>454</v>
      </c>
      <c r="B223" s="11" t="s">
        <v>455</v>
      </c>
      <c r="C223" s="11" t="s">
        <v>456</v>
      </c>
      <c r="D223" s="11"/>
      <c r="E223" s="11" t="s">
        <v>85</v>
      </c>
      <c r="F223" s="35">
        <v>10</v>
      </c>
      <c r="G223" s="35">
        <v>0</v>
      </c>
      <c r="H223" s="35">
        <f>F223*AO223</f>
        <v>0</v>
      </c>
      <c r="I223" s="35">
        <f>F223*AP223</f>
        <v>0</v>
      </c>
      <c r="J223" s="35">
        <f>F223*G223</f>
        <v>0</v>
      </c>
      <c r="K223" s="35">
        <v>0.0002</v>
      </c>
      <c r="L223" s="35">
        <f>F223*K223</f>
        <v>0</v>
      </c>
      <c r="M223" s="36" t="s">
        <v>57</v>
      </c>
      <c r="Z223" s="35">
        <f>IF(AQ223="5",BJ223,0)</f>
        <v>0</v>
      </c>
      <c r="AB223" s="35">
        <f>IF(AQ223="1",BH223,0)</f>
        <v>0</v>
      </c>
      <c r="AC223" s="35">
        <f>IF(AQ223="1",BI223,0)</f>
        <v>0</v>
      </c>
      <c r="AD223" s="35">
        <f>IF(AQ223="7",BH223,0)</f>
        <v>0</v>
      </c>
      <c r="AE223" s="35">
        <f>IF(AQ223="7",BI223,0)</f>
        <v>0</v>
      </c>
      <c r="AF223" s="35">
        <f>IF(AQ223="2",BH223,0)</f>
        <v>0</v>
      </c>
      <c r="AG223" s="35">
        <f>IF(AQ223="2",BI223,0)</f>
        <v>0</v>
      </c>
      <c r="AH223" s="35">
        <f>IF(AQ223="0",BJ223,0)</f>
        <v>0</v>
      </c>
      <c r="AI223" s="21"/>
      <c r="AJ223" s="35">
        <f>IF(AN223=0,J223,0)</f>
        <v>0</v>
      </c>
      <c r="AK223" s="35">
        <f>IF(AN223=15,J223,0)</f>
        <v>0</v>
      </c>
      <c r="AL223" s="35">
        <f>IF(AN223=21,J223,0)</f>
        <v>0</v>
      </c>
      <c r="AN223" s="35">
        <v>15</v>
      </c>
      <c r="AO223" s="35">
        <f>G223*0.303726983189555</f>
        <v>0</v>
      </c>
      <c r="AP223" s="35">
        <f>G223*(1-0.303726983189555)</f>
        <v>0</v>
      </c>
      <c r="AQ223" s="37" t="s">
        <v>82</v>
      </c>
      <c r="AV223" s="35">
        <f>AW223+AX223</f>
        <v>0</v>
      </c>
      <c r="AW223" s="35">
        <f>F223*AO223</f>
        <v>0</v>
      </c>
      <c r="AX223" s="35">
        <f>F223*AP223</f>
        <v>0</v>
      </c>
      <c r="AY223" s="37" t="s">
        <v>440</v>
      </c>
      <c r="AZ223" s="37" t="s">
        <v>424</v>
      </c>
      <c r="BA223" s="21" t="s">
        <v>59</v>
      </c>
      <c r="BC223" s="35">
        <f>AW223+AX223</f>
        <v>0</v>
      </c>
      <c r="BD223" s="35">
        <f>G223/(100-BE223)*100</f>
        <v>0</v>
      </c>
      <c r="BE223" s="35">
        <v>0</v>
      </c>
      <c r="BF223" s="35">
        <f>L223</f>
        <v>0</v>
      </c>
      <c r="BH223" s="35">
        <f>F223*AO223</f>
        <v>0</v>
      </c>
      <c r="BI223" s="35">
        <f>F223*AP223</f>
        <v>0</v>
      </c>
      <c r="BJ223" s="35">
        <f>F223*G223</f>
        <v>0</v>
      </c>
      <c r="BK223" s="35"/>
      <c r="BL223" s="35">
        <v>728</v>
      </c>
    </row>
    <row r="224" spans="1:13" ht="15" customHeight="1">
      <c r="A224" s="38"/>
      <c r="C224" s="39" t="s">
        <v>457</v>
      </c>
      <c r="D224" s="39" t="s">
        <v>458</v>
      </c>
      <c r="F224" s="40">
        <v>10</v>
      </c>
      <c r="M224" s="41"/>
    </row>
    <row r="225" spans="1:64" ht="15" customHeight="1">
      <c r="A225" s="34" t="s">
        <v>459</v>
      </c>
      <c r="B225" s="11" t="s">
        <v>460</v>
      </c>
      <c r="C225" s="11" t="s">
        <v>461</v>
      </c>
      <c r="D225" s="11"/>
      <c r="E225" s="11" t="s">
        <v>85</v>
      </c>
      <c r="F225" s="35">
        <v>5.5125</v>
      </c>
      <c r="G225" s="35">
        <v>0</v>
      </c>
      <c r="H225" s="35">
        <f>F225*AO225</f>
        <v>0</v>
      </c>
      <c r="I225" s="35">
        <f>F225*AP225</f>
        <v>0</v>
      </c>
      <c r="J225" s="35">
        <f>F225*G225</f>
        <v>0</v>
      </c>
      <c r="K225" s="35">
        <v>0.0002</v>
      </c>
      <c r="L225" s="35">
        <f>F225*K225</f>
        <v>0</v>
      </c>
      <c r="M225" s="36" t="s">
        <v>57</v>
      </c>
      <c r="Z225" s="35">
        <f>IF(AQ225="5",BJ225,0)</f>
        <v>0</v>
      </c>
      <c r="AB225" s="35">
        <f>IF(AQ225="1",BH225,0)</f>
        <v>0</v>
      </c>
      <c r="AC225" s="35">
        <f>IF(AQ225="1",BI225,0)</f>
        <v>0</v>
      </c>
      <c r="AD225" s="35">
        <f>IF(AQ225="7",BH225,0)</f>
        <v>0</v>
      </c>
      <c r="AE225" s="35">
        <f>IF(AQ225="7",BI225,0)</f>
        <v>0</v>
      </c>
      <c r="AF225" s="35">
        <f>IF(AQ225="2",BH225,0)</f>
        <v>0</v>
      </c>
      <c r="AG225" s="35">
        <f>IF(AQ225="2",BI225,0)</f>
        <v>0</v>
      </c>
      <c r="AH225" s="35">
        <f>IF(AQ225="0",BJ225,0)</f>
        <v>0</v>
      </c>
      <c r="AI225" s="21"/>
      <c r="AJ225" s="35">
        <f>IF(AN225=0,J225,0)</f>
        <v>0</v>
      </c>
      <c r="AK225" s="35">
        <f>IF(AN225=15,J225,0)</f>
        <v>0</v>
      </c>
      <c r="AL225" s="35">
        <f>IF(AN225=21,J225,0)</f>
        <v>0</v>
      </c>
      <c r="AN225" s="35">
        <v>15</v>
      </c>
      <c r="AO225" s="35">
        <f>G225*0.656754945518628</f>
        <v>0</v>
      </c>
      <c r="AP225" s="35">
        <f>G225*(1-0.656754945518628)</f>
        <v>0</v>
      </c>
      <c r="AQ225" s="37" t="s">
        <v>82</v>
      </c>
      <c r="AV225" s="35">
        <f>AW225+AX225</f>
        <v>0</v>
      </c>
      <c r="AW225" s="35">
        <f>F225*AO225</f>
        <v>0</v>
      </c>
      <c r="AX225" s="35">
        <f>F225*AP225</f>
        <v>0</v>
      </c>
      <c r="AY225" s="37" t="s">
        <v>440</v>
      </c>
      <c r="AZ225" s="37" t="s">
        <v>424</v>
      </c>
      <c r="BA225" s="21" t="s">
        <v>59</v>
      </c>
      <c r="BC225" s="35">
        <f>AW225+AX225</f>
        <v>0</v>
      </c>
      <c r="BD225" s="35">
        <f>G225/(100-BE225)*100</f>
        <v>0</v>
      </c>
      <c r="BE225" s="35">
        <v>0</v>
      </c>
      <c r="BF225" s="35">
        <f>L225</f>
        <v>0</v>
      </c>
      <c r="BH225" s="35">
        <f>F225*AO225</f>
        <v>0</v>
      </c>
      <c r="BI225" s="35">
        <f>F225*AP225</f>
        <v>0</v>
      </c>
      <c r="BJ225" s="35">
        <f>F225*G225</f>
        <v>0</v>
      </c>
      <c r="BK225" s="35"/>
      <c r="BL225" s="35">
        <v>728</v>
      </c>
    </row>
    <row r="226" spans="1:13" ht="15" customHeight="1">
      <c r="A226" s="38"/>
      <c r="C226" s="39" t="s">
        <v>462</v>
      </c>
      <c r="D226" s="39" t="s">
        <v>458</v>
      </c>
      <c r="F226" s="40">
        <v>5.5125</v>
      </c>
      <c r="M226" s="41"/>
    </row>
    <row r="227" spans="1:64" ht="15" customHeight="1">
      <c r="A227" s="34" t="s">
        <v>463</v>
      </c>
      <c r="B227" s="11" t="s">
        <v>464</v>
      </c>
      <c r="C227" s="11" t="s">
        <v>465</v>
      </c>
      <c r="D227" s="11"/>
      <c r="E227" s="11" t="s">
        <v>93</v>
      </c>
      <c r="F227" s="35">
        <v>28</v>
      </c>
      <c r="G227" s="35">
        <v>0</v>
      </c>
      <c r="H227" s="35">
        <f>F227*AO227</f>
        <v>0</v>
      </c>
      <c r="I227" s="35">
        <f>F227*AP227</f>
        <v>0</v>
      </c>
      <c r="J227" s="35">
        <f>F227*G227</f>
        <v>0</v>
      </c>
      <c r="K227" s="35">
        <v>0.0002</v>
      </c>
      <c r="L227" s="35">
        <f>F227*K227</f>
        <v>0</v>
      </c>
      <c r="M227" s="36" t="s">
        <v>57</v>
      </c>
      <c r="Z227" s="35">
        <f>IF(AQ227="5",BJ227,0)</f>
        <v>0</v>
      </c>
      <c r="AB227" s="35">
        <f>IF(AQ227="1",BH227,0)</f>
        <v>0</v>
      </c>
      <c r="AC227" s="35">
        <f>IF(AQ227="1",BI227,0)</f>
        <v>0</v>
      </c>
      <c r="AD227" s="35">
        <f>IF(AQ227="7",BH227,0)</f>
        <v>0</v>
      </c>
      <c r="AE227" s="35">
        <f>IF(AQ227="7",BI227,0)</f>
        <v>0</v>
      </c>
      <c r="AF227" s="35">
        <f>IF(AQ227="2",BH227,0)</f>
        <v>0</v>
      </c>
      <c r="AG227" s="35">
        <f>IF(AQ227="2",BI227,0)</f>
        <v>0</v>
      </c>
      <c r="AH227" s="35">
        <f>IF(AQ227="0",BJ227,0)</f>
        <v>0</v>
      </c>
      <c r="AI227" s="21"/>
      <c r="AJ227" s="35">
        <f>IF(AN227=0,J227,0)</f>
        <v>0</v>
      </c>
      <c r="AK227" s="35">
        <f>IF(AN227=15,J227,0)</f>
        <v>0</v>
      </c>
      <c r="AL227" s="35">
        <f>IF(AN227=21,J227,0)</f>
        <v>0</v>
      </c>
      <c r="AN227" s="35">
        <v>15</v>
      </c>
      <c r="AO227" s="35">
        <f>G227*0.0635471698113207</f>
        <v>0</v>
      </c>
      <c r="AP227" s="35">
        <f>G227*(1-0.0635471698113207)</f>
        <v>0</v>
      </c>
      <c r="AQ227" s="37" t="s">
        <v>82</v>
      </c>
      <c r="AV227" s="35">
        <f>AW227+AX227</f>
        <v>0</v>
      </c>
      <c r="AW227" s="35">
        <f>F227*AO227</f>
        <v>0</v>
      </c>
      <c r="AX227" s="35">
        <f>F227*AP227</f>
        <v>0</v>
      </c>
      <c r="AY227" s="37" t="s">
        <v>440</v>
      </c>
      <c r="AZ227" s="37" t="s">
        <v>424</v>
      </c>
      <c r="BA227" s="21" t="s">
        <v>59</v>
      </c>
      <c r="BC227" s="35">
        <f>AW227+AX227</f>
        <v>0</v>
      </c>
      <c r="BD227" s="35">
        <f>G227/(100-BE227)*100</f>
        <v>0</v>
      </c>
      <c r="BE227" s="35">
        <v>0</v>
      </c>
      <c r="BF227" s="35">
        <f>L227</f>
        <v>0</v>
      </c>
      <c r="BH227" s="35">
        <f>F227*AO227</f>
        <v>0</v>
      </c>
      <c r="BI227" s="35">
        <f>F227*AP227</f>
        <v>0</v>
      </c>
      <c r="BJ227" s="35">
        <f>F227*G227</f>
        <v>0</v>
      </c>
      <c r="BK227" s="35"/>
      <c r="BL227" s="35">
        <v>728</v>
      </c>
    </row>
    <row r="228" spans="1:13" ht="15" customHeight="1">
      <c r="A228" s="38"/>
      <c r="C228" s="39" t="s">
        <v>466</v>
      </c>
      <c r="D228" s="39" t="s">
        <v>467</v>
      </c>
      <c r="F228" s="40">
        <v>28.000000000000004</v>
      </c>
      <c r="M228" s="41"/>
    </row>
    <row r="229" spans="1:64" ht="15" customHeight="1">
      <c r="A229" s="34" t="s">
        <v>468</v>
      </c>
      <c r="B229" s="11" t="s">
        <v>469</v>
      </c>
      <c r="C229" s="11" t="s">
        <v>470</v>
      </c>
      <c r="D229" s="11"/>
      <c r="E229" s="11" t="s">
        <v>85</v>
      </c>
      <c r="F229" s="35">
        <v>6.0375</v>
      </c>
      <c r="G229" s="35">
        <v>0</v>
      </c>
      <c r="H229" s="35">
        <f>F229*AO229</f>
        <v>0</v>
      </c>
      <c r="I229" s="35">
        <f>F229*AP229</f>
        <v>0</v>
      </c>
      <c r="J229" s="35">
        <f>F229*G229</f>
        <v>0</v>
      </c>
      <c r="K229" s="35">
        <v>0.00041</v>
      </c>
      <c r="L229" s="35">
        <f>F229*K229</f>
        <v>0</v>
      </c>
      <c r="M229" s="36" t="s">
        <v>57</v>
      </c>
      <c r="Z229" s="35">
        <f>IF(AQ229="5",BJ229,0)</f>
        <v>0</v>
      </c>
      <c r="AB229" s="35">
        <f>IF(AQ229="1",BH229,0)</f>
        <v>0</v>
      </c>
      <c r="AC229" s="35">
        <f>IF(AQ229="1",BI229,0)</f>
        <v>0</v>
      </c>
      <c r="AD229" s="35">
        <f>IF(AQ229="7",BH229,0)</f>
        <v>0</v>
      </c>
      <c r="AE229" s="35">
        <f>IF(AQ229="7",BI229,0)</f>
        <v>0</v>
      </c>
      <c r="AF229" s="35">
        <f>IF(AQ229="2",BH229,0)</f>
        <v>0</v>
      </c>
      <c r="AG229" s="35">
        <f>IF(AQ229="2",BI229,0)</f>
        <v>0</v>
      </c>
      <c r="AH229" s="35">
        <f>IF(AQ229="0",BJ229,0)</f>
        <v>0</v>
      </c>
      <c r="AI229" s="21"/>
      <c r="AJ229" s="35">
        <f>IF(AN229=0,J229,0)</f>
        <v>0</v>
      </c>
      <c r="AK229" s="35">
        <f>IF(AN229=15,J229,0)</f>
        <v>0</v>
      </c>
      <c r="AL229" s="35">
        <f>IF(AN229=21,J229,0)</f>
        <v>0</v>
      </c>
      <c r="AN229" s="35">
        <v>15</v>
      </c>
      <c r="AO229" s="35">
        <f>G229*0.132060224566179</f>
        <v>0</v>
      </c>
      <c r="AP229" s="35">
        <f>G229*(1-0.132060224566179)</f>
        <v>0</v>
      </c>
      <c r="AQ229" s="37" t="s">
        <v>82</v>
      </c>
      <c r="AV229" s="35">
        <f>AW229+AX229</f>
        <v>0</v>
      </c>
      <c r="AW229" s="35">
        <f>F229*AO229</f>
        <v>0</v>
      </c>
      <c r="AX229" s="35">
        <f>F229*AP229</f>
        <v>0</v>
      </c>
      <c r="AY229" s="37" t="s">
        <v>440</v>
      </c>
      <c r="AZ229" s="37" t="s">
        <v>424</v>
      </c>
      <c r="BA229" s="21" t="s">
        <v>59</v>
      </c>
      <c r="BC229" s="35">
        <f>AW229+AX229</f>
        <v>0</v>
      </c>
      <c r="BD229" s="35">
        <f>G229/(100-BE229)*100</f>
        <v>0</v>
      </c>
      <c r="BE229" s="35">
        <v>0</v>
      </c>
      <c r="BF229" s="35">
        <f>L229</f>
        <v>0</v>
      </c>
      <c r="BH229" s="35">
        <f>F229*AO229</f>
        <v>0</v>
      </c>
      <c r="BI229" s="35">
        <f>F229*AP229</f>
        <v>0</v>
      </c>
      <c r="BJ229" s="35">
        <f>F229*G229</f>
        <v>0</v>
      </c>
      <c r="BK229" s="35"/>
      <c r="BL229" s="35">
        <v>728</v>
      </c>
    </row>
    <row r="230" spans="1:13" ht="15" customHeight="1">
      <c r="A230" s="38"/>
      <c r="C230" s="39" t="s">
        <v>471</v>
      </c>
      <c r="D230" s="39"/>
      <c r="F230" s="40">
        <v>6.0375000000000005</v>
      </c>
      <c r="M230" s="41"/>
    </row>
    <row r="231" spans="1:64" ht="15" customHeight="1">
      <c r="A231" s="34" t="s">
        <v>472</v>
      </c>
      <c r="B231" s="11" t="s">
        <v>473</v>
      </c>
      <c r="C231" s="11" t="s">
        <v>474</v>
      </c>
      <c r="D231" s="11"/>
      <c r="E231" s="11" t="s">
        <v>85</v>
      </c>
      <c r="F231" s="35">
        <v>9.9</v>
      </c>
      <c r="G231" s="35">
        <v>0</v>
      </c>
      <c r="H231" s="35">
        <f>F231*AO231</f>
        <v>0</v>
      </c>
      <c r="I231" s="35">
        <f>F231*AP231</f>
        <v>0</v>
      </c>
      <c r="J231" s="35">
        <f>F231*G231</f>
        <v>0</v>
      </c>
      <c r="K231" s="35">
        <v>0.00294</v>
      </c>
      <c r="L231" s="35">
        <f>F231*K231</f>
        <v>0</v>
      </c>
      <c r="M231" s="36" t="s">
        <v>57</v>
      </c>
      <c r="Z231" s="35">
        <f>IF(AQ231="5",BJ231,0)</f>
        <v>0</v>
      </c>
      <c r="AB231" s="35">
        <f>IF(AQ231="1",BH231,0)</f>
        <v>0</v>
      </c>
      <c r="AC231" s="35">
        <f>IF(AQ231="1",BI231,0)</f>
        <v>0</v>
      </c>
      <c r="AD231" s="35">
        <f>IF(AQ231="7",BH231,0)</f>
        <v>0</v>
      </c>
      <c r="AE231" s="35">
        <f>IF(AQ231="7",BI231,0)</f>
        <v>0</v>
      </c>
      <c r="AF231" s="35">
        <f>IF(AQ231="2",BH231,0)</f>
        <v>0</v>
      </c>
      <c r="AG231" s="35">
        <f>IF(AQ231="2",BI231,0)</f>
        <v>0</v>
      </c>
      <c r="AH231" s="35">
        <f>IF(AQ231="0",BJ231,0)</f>
        <v>0</v>
      </c>
      <c r="AI231" s="21"/>
      <c r="AJ231" s="35">
        <f>IF(AN231=0,J231,0)</f>
        <v>0</v>
      </c>
      <c r="AK231" s="35">
        <f>IF(AN231=15,J231,0)</f>
        <v>0</v>
      </c>
      <c r="AL231" s="35">
        <f>IF(AN231=21,J231,0)</f>
        <v>0</v>
      </c>
      <c r="AN231" s="35">
        <v>15</v>
      </c>
      <c r="AO231" s="35">
        <f>G231*0.675510135865024</f>
        <v>0</v>
      </c>
      <c r="AP231" s="35">
        <f>G231*(1-0.675510135865024)</f>
        <v>0</v>
      </c>
      <c r="AQ231" s="37" t="s">
        <v>82</v>
      </c>
      <c r="AV231" s="35">
        <f>AW231+AX231</f>
        <v>0</v>
      </c>
      <c r="AW231" s="35">
        <f>F231*AO231</f>
        <v>0</v>
      </c>
      <c r="AX231" s="35">
        <f>F231*AP231</f>
        <v>0</v>
      </c>
      <c r="AY231" s="37" t="s">
        <v>440</v>
      </c>
      <c r="AZ231" s="37" t="s">
        <v>424</v>
      </c>
      <c r="BA231" s="21" t="s">
        <v>59</v>
      </c>
      <c r="BC231" s="35">
        <f>AW231+AX231</f>
        <v>0</v>
      </c>
      <c r="BD231" s="35">
        <f>G231/(100-BE231)*100</f>
        <v>0</v>
      </c>
      <c r="BE231" s="35">
        <v>0</v>
      </c>
      <c r="BF231" s="35">
        <f>L231</f>
        <v>0</v>
      </c>
      <c r="BH231" s="35">
        <f>F231*AO231</f>
        <v>0</v>
      </c>
      <c r="BI231" s="35">
        <f>F231*AP231</f>
        <v>0</v>
      </c>
      <c r="BJ231" s="35">
        <f>F231*G231</f>
        <v>0</v>
      </c>
      <c r="BK231" s="35"/>
      <c r="BL231" s="35">
        <v>728</v>
      </c>
    </row>
    <row r="232" spans="1:13" ht="15" customHeight="1">
      <c r="A232" s="38"/>
      <c r="C232" s="39" t="s">
        <v>475</v>
      </c>
      <c r="D232" s="39"/>
      <c r="F232" s="40">
        <v>9.9</v>
      </c>
      <c r="M232" s="41"/>
    </row>
    <row r="233" spans="1:64" ht="15" customHeight="1">
      <c r="A233" s="34" t="s">
        <v>476</v>
      </c>
      <c r="B233" s="11" t="s">
        <v>477</v>
      </c>
      <c r="C233" s="11" t="s">
        <v>478</v>
      </c>
      <c r="D233" s="11"/>
      <c r="E233" s="11" t="s">
        <v>163</v>
      </c>
      <c r="F233" s="35">
        <v>5</v>
      </c>
      <c r="G233" s="35">
        <v>0</v>
      </c>
      <c r="H233" s="35">
        <f>F233*AO233</f>
        <v>0</v>
      </c>
      <c r="I233" s="35">
        <f>F233*AP233</f>
        <v>0</v>
      </c>
      <c r="J233" s="35">
        <f>F233*G233</f>
        <v>0</v>
      </c>
      <c r="K233" s="35">
        <v>0</v>
      </c>
      <c r="L233" s="35">
        <f>F233*K233</f>
        <v>0</v>
      </c>
      <c r="M233" s="36" t="s">
        <v>57</v>
      </c>
      <c r="Z233" s="35">
        <f>IF(AQ233="5",BJ233,0)</f>
        <v>0</v>
      </c>
      <c r="AB233" s="35">
        <f>IF(AQ233="1",BH233,0)</f>
        <v>0</v>
      </c>
      <c r="AC233" s="35">
        <f>IF(AQ233="1",BI233,0)</f>
        <v>0</v>
      </c>
      <c r="AD233" s="35">
        <f>IF(AQ233="7",BH233,0)</f>
        <v>0</v>
      </c>
      <c r="AE233" s="35">
        <f>IF(AQ233="7",BI233,0)</f>
        <v>0</v>
      </c>
      <c r="AF233" s="35">
        <f>IF(AQ233="2",BH233,0)</f>
        <v>0</v>
      </c>
      <c r="AG233" s="35">
        <f>IF(AQ233="2",BI233,0)</f>
        <v>0</v>
      </c>
      <c r="AH233" s="35">
        <f>IF(AQ233="0",BJ233,0)</f>
        <v>0</v>
      </c>
      <c r="AI233" s="21"/>
      <c r="AJ233" s="35">
        <f>IF(AN233=0,J233,0)</f>
        <v>0</v>
      </c>
      <c r="AK233" s="35">
        <f>IF(AN233=15,J233,0)</f>
        <v>0</v>
      </c>
      <c r="AL233" s="35">
        <f>IF(AN233=21,J233,0)</f>
        <v>0</v>
      </c>
      <c r="AN233" s="35">
        <v>15</v>
      </c>
      <c r="AO233" s="35">
        <f>G233*0.907473497766146</f>
        <v>0</v>
      </c>
      <c r="AP233" s="35">
        <f>G233*(1-0.907473497766146)</f>
        <v>0</v>
      </c>
      <c r="AQ233" s="37" t="s">
        <v>82</v>
      </c>
      <c r="AV233" s="35">
        <f>AW233+AX233</f>
        <v>0</v>
      </c>
      <c r="AW233" s="35">
        <f>F233*AO233</f>
        <v>0</v>
      </c>
      <c r="AX233" s="35">
        <f>F233*AP233</f>
        <v>0</v>
      </c>
      <c r="AY233" s="37" t="s">
        <v>440</v>
      </c>
      <c r="AZ233" s="37" t="s">
        <v>424</v>
      </c>
      <c r="BA233" s="21" t="s">
        <v>59</v>
      </c>
      <c r="BC233" s="35">
        <f>AW233+AX233</f>
        <v>0</v>
      </c>
      <c r="BD233" s="35">
        <f>G233/(100-BE233)*100</f>
        <v>0</v>
      </c>
      <c r="BE233" s="35">
        <v>0</v>
      </c>
      <c r="BF233" s="35">
        <f>L233</f>
        <v>0</v>
      </c>
      <c r="BH233" s="35">
        <f>F233*AO233</f>
        <v>0</v>
      </c>
      <c r="BI233" s="35">
        <f>F233*AP233</f>
        <v>0</v>
      </c>
      <c r="BJ233" s="35">
        <f>F233*G233</f>
        <v>0</v>
      </c>
      <c r="BK233" s="35"/>
      <c r="BL233" s="35">
        <v>728</v>
      </c>
    </row>
    <row r="234" spans="1:13" ht="15" customHeight="1">
      <c r="A234" s="38"/>
      <c r="C234" s="39" t="s">
        <v>70</v>
      </c>
      <c r="D234" s="39" t="s">
        <v>479</v>
      </c>
      <c r="F234" s="40">
        <v>5</v>
      </c>
      <c r="M234" s="41"/>
    </row>
    <row r="235" spans="1:13" ht="15" customHeight="1">
      <c r="A235" s="38"/>
      <c r="C235" s="39"/>
      <c r="D235" s="39" t="s">
        <v>480</v>
      </c>
      <c r="F235" s="40">
        <v>0</v>
      </c>
      <c r="M235" s="41"/>
    </row>
    <row r="236" spans="1:64" ht="15" customHeight="1">
      <c r="A236" s="34" t="s">
        <v>481</v>
      </c>
      <c r="B236" s="11" t="s">
        <v>482</v>
      </c>
      <c r="C236" s="11" t="s">
        <v>483</v>
      </c>
      <c r="D236" s="11"/>
      <c r="E236" s="11" t="s">
        <v>163</v>
      </c>
      <c r="F236" s="35">
        <v>5</v>
      </c>
      <c r="G236" s="35">
        <v>0</v>
      </c>
      <c r="H236" s="35">
        <f>F236*AO236</f>
        <v>0</v>
      </c>
      <c r="I236" s="35">
        <f>F236*AP236</f>
        <v>0</v>
      </c>
      <c r="J236" s="35">
        <f>F236*G236</f>
        <v>0</v>
      </c>
      <c r="K236" s="35">
        <v>0</v>
      </c>
      <c r="L236" s="35">
        <f>F236*K236</f>
        <v>0</v>
      </c>
      <c r="M236" s="36" t="s">
        <v>57</v>
      </c>
      <c r="Z236" s="35">
        <f>IF(AQ236="5",BJ236,0)</f>
        <v>0</v>
      </c>
      <c r="AB236" s="35">
        <f>IF(AQ236="1",BH236,0)</f>
        <v>0</v>
      </c>
      <c r="AC236" s="35">
        <f>IF(AQ236="1",BI236,0)</f>
        <v>0</v>
      </c>
      <c r="AD236" s="35">
        <f>IF(AQ236="7",BH236,0)</f>
        <v>0</v>
      </c>
      <c r="AE236" s="35">
        <f>IF(AQ236="7",BI236,0)</f>
        <v>0</v>
      </c>
      <c r="AF236" s="35">
        <f>IF(AQ236="2",BH236,0)</f>
        <v>0</v>
      </c>
      <c r="AG236" s="35">
        <f>IF(AQ236="2",BI236,0)</f>
        <v>0</v>
      </c>
      <c r="AH236" s="35">
        <f>IF(AQ236="0",BJ236,0)</f>
        <v>0</v>
      </c>
      <c r="AI236" s="21"/>
      <c r="AJ236" s="35">
        <f>IF(AN236=0,J236,0)</f>
        <v>0</v>
      </c>
      <c r="AK236" s="35">
        <f>IF(AN236=15,J236,0)</f>
        <v>0</v>
      </c>
      <c r="AL236" s="35">
        <f>IF(AN236=21,J236,0)</f>
        <v>0</v>
      </c>
      <c r="AN236" s="35">
        <v>15</v>
      </c>
      <c r="AO236" s="35">
        <f>G236*0.840272601426898</f>
        <v>0</v>
      </c>
      <c r="AP236" s="35">
        <f>G236*(1-0.840272601426898)</f>
        <v>0</v>
      </c>
      <c r="AQ236" s="37" t="s">
        <v>82</v>
      </c>
      <c r="AV236" s="35">
        <f>AW236+AX236</f>
        <v>0</v>
      </c>
      <c r="AW236" s="35">
        <f>F236*AO236</f>
        <v>0</v>
      </c>
      <c r="AX236" s="35">
        <f>F236*AP236</f>
        <v>0</v>
      </c>
      <c r="AY236" s="37" t="s">
        <v>440</v>
      </c>
      <c r="AZ236" s="37" t="s">
        <v>424</v>
      </c>
      <c r="BA236" s="21" t="s">
        <v>59</v>
      </c>
      <c r="BC236" s="35">
        <f>AW236+AX236</f>
        <v>0</v>
      </c>
      <c r="BD236" s="35">
        <f>G236/(100-BE236)*100</f>
        <v>0</v>
      </c>
      <c r="BE236" s="35">
        <v>0</v>
      </c>
      <c r="BF236" s="35">
        <f>L236</f>
        <v>0</v>
      </c>
      <c r="BH236" s="35">
        <f>F236*AO236</f>
        <v>0</v>
      </c>
      <c r="BI236" s="35">
        <f>F236*AP236</f>
        <v>0</v>
      </c>
      <c r="BJ236" s="35">
        <f>F236*G236</f>
        <v>0</v>
      </c>
      <c r="BK236" s="35"/>
      <c r="BL236" s="35">
        <v>728</v>
      </c>
    </row>
    <row r="237" spans="1:13" ht="15" customHeight="1">
      <c r="A237" s="38"/>
      <c r="C237" s="39" t="s">
        <v>70</v>
      </c>
      <c r="D237" s="39"/>
      <c r="F237" s="40">
        <v>5</v>
      </c>
      <c r="M237" s="41"/>
    </row>
    <row r="238" spans="1:64" ht="15" customHeight="1">
      <c r="A238" s="34" t="s">
        <v>484</v>
      </c>
      <c r="B238" s="11" t="s">
        <v>485</v>
      </c>
      <c r="C238" s="11" t="s">
        <v>486</v>
      </c>
      <c r="D238" s="11"/>
      <c r="E238" s="11" t="s">
        <v>163</v>
      </c>
      <c r="F238" s="35">
        <v>5</v>
      </c>
      <c r="G238" s="35">
        <v>0</v>
      </c>
      <c r="H238" s="35">
        <f>F238*AO238</f>
        <v>0</v>
      </c>
      <c r="I238" s="35">
        <f>F238*AP238</f>
        <v>0</v>
      </c>
      <c r="J238" s="35">
        <f>F238*G238</f>
        <v>0</v>
      </c>
      <c r="K238" s="35">
        <v>0</v>
      </c>
      <c r="L238" s="35">
        <f>F238*K238</f>
        <v>0</v>
      </c>
      <c r="M238" s="36" t="s">
        <v>57</v>
      </c>
      <c r="Z238" s="35">
        <f>IF(AQ238="5",BJ238,0)</f>
        <v>0</v>
      </c>
      <c r="AB238" s="35">
        <f>IF(AQ238="1",BH238,0)</f>
        <v>0</v>
      </c>
      <c r="AC238" s="35">
        <f>IF(AQ238="1",BI238,0)</f>
        <v>0</v>
      </c>
      <c r="AD238" s="35">
        <f>IF(AQ238="7",BH238,0)</f>
        <v>0</v>
      </c>
      <c r="AE238" s="35">
        <f>IF(AQ238="7",BI238,0)</f>
        <v>0</v>
      </c>
      <c r="AF238" s="35">
        <f>IF(AQ238="2",BH238,0)</f>
        <v>0</v>
      </c>
      <c r="AG238" s="35">
        <f>IF(AQ238="2",BI238,0)</f>
        <v>0</v>
      </c>
      <c r="AH238" s="35">
        <f>IF(AQ238="0",BJ238,0)</f>
        <v>0</v>
      </c>
      <c r="AI238" s="21"/>
      <c r="AJ238" s="35">
        <f>IF(AN238=0,J238,0)</f>
        <v>0</v>
      </c>
      <c r="AK238" s="35">
        <f>IF(AN238=15,J238,0)</f>
        <v>0</v>
      </c>
      <c r="AL238" s="35">
        <f>IF(AN238=21,J238,0)</f>
        <v>0</v>
      </c>
      <c r="AN238" s="35">
        <v>15</v>
      </c>
      <c r="AO238" s="35">
        <f>G238*0.690140845070422</f>
        <v>0</v>
      </c>
      <c r="AP238" s="35">
        <f>G238*(1-0.690140845070422)</f>
        <v>0</v>
      </c>
      <c r="AQ238" s="37" t="s">
        <v>82</v>
      </c>
      <c r="AV238" s="35">
        <f>AW238+AX238</f>
        <v>0</v>
      </c>
      <c r="AW238" s="35">
        <f>F238*AO238</f>
        <v>0</v>
      </c>
      <c r="AX238" s="35">
        <f>F238*AP238</f>
        <v>0</v>
      </c>
      <c r="AY238" s="37" t="s">
        <v>440</v>
      </c>
      <c r="AZ238" s="37" t="s">
        <v>424</v>
      </c>
      <c r="BA238" s="21" t="s">
        <v>59</v>
      </c>
      <c r="BC238" s="35">
        <f>AW238+AX238</f>
        <v>0</v>
      </c>
      <c r="BD238" s="35">
        <f>G238/(100-BE238)*100</f>
        <v>0</v>
      </c>
      <c r="BE238" s="35">
        <v>0</v>
      </c>
      <c r="BF238" s="35">
        <f>L238</f>
        <v>0</v>
      </c>
      <c r="BH238" s="35">
        <f>F238*AO238</f>
        <v>0</v>
      </c>
      <c r="BI238" s="35">
        <f>F238*AP238</f>
        <v>0</v>
      </c>
      <c r="BJ238" s="35">
        <f>F238*G238</f>
        <v>0</v>
      </c>
      <c r="BK238" s="35"/>
      <c r="BL238" s="35">
        <v>728</v>
      </c>
    </row>
    <row r="239" spans="1:13" ht="15" customHeight="1">
      <c r="A239" s="38"/>
      <c r="C239" s="39" t="s">
        <v>70</v>
      </c>
      <c r="D239" s="39"/>
      <c r="F239" s="40">
        <v>5</v>
      </c>
      <c r="M239" s="41"/>
    </row>
    <row r="240" spans="1:64" ht="15" customHeight="1">
      <c r="A240" s="34" t="s">
        <v>487</v>
      </c>
      <c r="B240" s="11" t="s">
        <v>488</v>
      </c>
      <c r="C240" s="11" t="s">
        <v>489</v>
      </c>
      <c r="D240" s="11"/>
      <c r="E240" s="11" t="s">
        <v>163</v>
      </c>
      <c r="F240" s="35">
        <v>110</v>
      </c>
      <c r="G240" s="35">
        <v>0</v>
      </c>
      <c r="H240" s="35">
        <f>F240*AO240</f>
        <v>0</v>
      </c>
      <c r="I240" s="35">
        <f>F240*AP240</f>
        <v>0</v>
      </c>
      <c r="J240" s="35">
        <f>F240*G240</f>
        <v>0</v>
      </c>
      <c r="K240" s="35">
        <v>0</v>
      </c>
      <c r="L240" s="35">
        <f>F240*K240</f>
        <v>0</v>
      </c>
      <c r="M240" s="36" t="s">
        <v>57</v>
      </c>
      <c r="Z240" s="35">
        <f>IF(AQ240="5",BJ240,0)</f>
        <v>0</v>
      </c>
      <c r="AB240" s="35">
        <f>IF(AQ240="1",BH240,0)</f>
        <v>0</v>
      </c>
      <c r="AC240" s="35">
        <f>IF(AQ240="1",BI240,0)</f>
        <v>0</v>
      </c>
      <c r="AD240" s="35">
        <f>IF(AQ240="7",BH240,0)</f>
        <v>0</v>
      </c>
      <c r="AE240" s="35">
        <f>IF(AQ240="7",BI240,0)</f>
        <v>0</v>
      </c>
      <c r="AF240" s="35">
        <f>IF(AQ240="2",BH240,0)</f>
        <v>0</v>
      </c>
      <c r="AG240" s="35">
        <f>IF(AQ240="2",BI240,0)</f>
        <v>0</v>
      </c>
      <c r="AH240" s="35">
        <f>IF(AQ240="0",BJ240,0)</f>
        <v>0</v>
      </c>
      <c r="AI240" s="21"/>
      <c r="AJ240" s="35">
        <f>IF(AN240=0,J240,0)</f>
        <v>0</v>
      </c>
      <c r="AK240" s="35">
        <f>IF(AN240=15,J240,0)</f>
        <v>0</v>
      </c>
      <c r="AL240" s="35">
        <f>IF(AN240=21,J240,0)</f>
        <v>0</v>
      </c>
      <c r="AN240" s="35">
        <v>15</v>
      </c>
      <c r="AO240" s="35">
        <f>G240*0.571523178807947</f>
        <v>0</v>
      </c>
      <c r="AP240" s="35">
        <f>G240*(1-0.571523178807947)</f>
        <v>0</v>
      </c>
      <c r="AQ240" s="37" t="s">
        <v>82</v>
      </c>
      <c r="AV240" s="35">
        <f>AW240+AX240</f>
        <v>0</v>
      </c>
      <c r="AW240" s="35">
        <f>F240*AO240</f>
        <v>0</v>
      </c>
      <c r="AX240" s="35">
        <f>F240*AP240</f>
        <v>0</v>
      </c>
      <c r="AY240" s="37" t="s">
        <v>440</v>
      </c>
      <c r="AZ240" s="37" t="s">
        <v>424</v>
      </c>
      <c r="BA240" s="21" t="s">
        <v>59</v>
      </c>
      <c r="BC240" s="35">
        <f>AW240+AX240</f>
        <v>0</v>
      </c>
      <c r="BD240" s="35">
        <f>G240/(100-BE240)*100</f>
        <v>0</v>
      </c>
      <c r="BE240" s="35">
        <v>0</v>
      </c>
      <c r="BF240" s="35">
        <f>L240</f>
        <v>0</v>
      </c>
      <c r="BH240" s="35">
        <f>F240*AO240</f>
        <v>0</v>
      </c>
      <c r="BI240" s="35">
        <f>F240*AP240</f>
        <v>0</v>
      </c>
      <c r="BJ240" s="35">
        <f>F240*G240</f>
        <v>0</v>
      </c>
      <c r="BK240" s="35"/>
      <c r="BL240" s="35">
        <v>728</v>
      </c>
    </row>
    <row r="241" spans="1:13" ht="15" customHeight="1">
      <c r="A241" s="38"/>
      <c r="C241" s="39" t="s">
        <v>490</v>
      </c>
      <c r="D241" s="39"/>
      <c r="F241" s="40">
        <v>110.00000000000001</v>
      </c>
      <c r="M241" s="41"/>
    </row>
    <row r="242" spans="1:64" ht="15" customHeight="1">
      <c r="A242" s="34" t="s">
        <v>491</v>
      </c>
      <c r="B242" s="11" t="s">
        <v>492</v>
      </c>
      <c r="C242" s="11" t="s">
        <v>493</v>
      </c>
      <c r="D242" s="11"/>
      <c r="E242" s="11" t="s">
        <v>163</v>
      </c>
      <c r="F242" s="35">
        <v>110</v>
      </c>
      <c r="G242" s="35">
        <v>0</v>
      </c>
      <c r="H242" s="35">
        <f>F242*AO242</f>
        <v>0</v>
      </c>
      <c r="I242" s="35">
        <f>F242*AP242</f>
        <v>0</v>
      </c>
      <c r="J242" s="35">
        <f>F242*G242</f>
        <v>0</v>
      </c>
      <c r="K242" s="35">
        <v>0.0011</v>
      </c>
      <c r="L242" s="35">
        <f>F242*K242</f>
        <v>0</v>
      </c>
      <c r="M242" s="36" t="s">
        <v>57</v>
      </c>
      <c r="Z242" s="35">
        <f>IF(AQ242="5",BJ242,0)</f>
        <v>0</v>
      </c>
      <c r="AB242" s="35">
        <f>IF(AQ242="1",BH242,0)</f>
        <v>0</v>
      </c>
      <c r="AC242" s="35">
        <f>IF(AQ242="1",BI242,0)</f>
        <v>0</v>
      </c>
      <c r="AD242" s="35">
        <f>IF(AQ242="7",BH242,0)</f>
        <v>0</v>
      </c>
      <c r="AE242" s="35">
        <f>IF(AQ242="7",BI242,0)</f>
        <v>0</v>
      </c>
      <c r="AF242" s="35">
        <f>IF(AQ242="2",BH242,0)</f>
        <v>0</v>
      </c>
      <c r="AG242" s="35">
        <f>IF(AQ242="2",BI242,0)</f>
        <v>0</v>
      </c>
      <c r="AH242" s="35">
        <f>IF(AQ242="0",BJ242,0)</f>
        <v>0</v>
      </c>
      <c r="AI242" s="21"/>
      <c r="AJ242" s="35">
        <f>IF(AN242=0,J242,0)</f>
        <v>0</v>
      </c>
      <c r="AK242" s="35">
        <f>IF(AN242=15,J242,0)</f>
        <v>0</v>
      </c>
      <c r="AL242" s="35">
        <f>IF(AN242=21,J242,0)</f>
        <v>0</v>
      </c>
      <c r="AN242" s="35">
        <v>15</v>
      </c>
      <c r="AO242" s="35">
        <f>G242*0</f>
        <v>0</v>
      </c>
      <c r="AP242" s="35">
        <f>G242*(1-0)</f>
        <v>0</v>
      </c>
      <c r="AQ242" s="37" t="s">
        <v>82</v>
      </c>
      <c r="AV242" s="35">
        <f>AW242+AX242</f>
        <v>0</v>
      </c>
      <c r="AW242" s="35">
        <f>F242*AO242</f>
        <v>0</v>
      </c>
      <c r="AX242" s="35">
        <f>F242*AP242</f>
        <v>0</v>
      </c>
      <c r="AY242" s="37" t="s">
        <v>440</v>
      </c>
      <c r="AZ242" s="37" t="s">
        <v>424</v>
      </c>
      <c r="BA242" s="21" t="s">
        <v>59</v>
      </c>
      <c r="BC242" s="35">
        <f>AW242+AX242</f>
        <v>0</v>
      </c>
      <c r="BD242" s="35">
        <f>G242/(100-BE242)*100</f>
        <v>0</v>
      </c>
      <c r="BE242" s="35">
        <v>0</v>
      </c>
      <c r="BF242" s="35">
        <f>L242</f>
        <v>0</v>
      </c>
      <c r="BH242" s="35">
        <f>F242*AO242</f>
        <v>0</v>
      </c>
      <c r="BI242" s="35">
        <f>F242*AP242</f>
        <v>0</v>
      </c>
      <c r="BJ242" s="35">
        <f>F242*G242</f>
        <v>0</v>
      </c>
      <c r="BK242" s="35"/>
      <c r="BL242" s="35">
        <v>728</v>
      </c>
    </row>
    <row r="243" spans="1:13" ht="15" customHeight="1">
      <c r="A243" s="38"/>
      <c r="C243" s="39" t="s">
        <v>490</v>
      </c>
      <c r="D243" s="39"/>
      <c r="F243" s="40">
        <v>110.00000000000001</v>
      </c>
      <c r="M243" s="41"/>
    </row>
    <row r="244" spans="1:64" ht="15" customHeight="1">
      <c r="A244" s="34" t="s">
        <v>494</v>
      </c>
      <c r="B244" s="11" t="s">
        <v>495</v>
      </c>
      <c r="C244" s="11" t="s">
        <v>496</v>
      </c>
      <c r="D244" s="11"/>
      <c r="E244" s="11" t="s">
        <v>163</v>
      </c>
      <c r="F244" s="35">
        <v>5</v>
      </c>
      <c r="G244" s="35">
        <v>0</v>
      </c>
      <c r="H244" s="35">
        <f>F244*AO244</f>
        <v>0</v>
      </c>
      <c r="I244" s="35">
        <f>F244*AP244</f>
        <v>0</v>
      </c>
      <c r="J244" s="35">
        <f>F244*G244</f>
        <v>0</v>
      </c>
      <c r="K244" s="35">
        <v>0.15397</v>
      </c>
      <c r="L244" s="35">
        <f>F244*K244</f>
        <v>0.75</v>
      </c>
      <c r="M244" s="36" t="s">
        <v>57</v>
      </c>
      <c r="Z244" s="35">
        <f>IF(AQ244="5",BJ244,0)</f>
        <v>0</v>
      </c>
      <c r="AB244" s="35">
        <f>IF(AQ244="1",BH244,0)</f>
        <v>0</v>
      </c>
      <c r="AC244" s="35">
        <f>IF(AQ244="1",BI244,0)</f>
        <v>0</v>
      </c>
      <c r="AD244" s="35">
        <f>IF(AQ244="7",BH244,0)</f>
        <v>0</v>
      </c>
      <c r="AE244" s="35">
        <f>IF(AQ244="7",BI244,0)</f>
        <v>0</v>
      </c>
      <c r="AF244" s="35">
        <f>IF(AQ244="2",BH244,0)</f>
        <v>0</v>
      </c>
      <c r="AG244" s="35">
        <f>IF(AQ244="2",BI244,0)</f>
        <v>0</v>
      </c>
      <c r="AH244" s="35">
        <f>IF(AQ244="0",BJ244,0)</f>
        <v>0</v>
      </c>
      <c r="AI244" s="21"/>
      <c r="AJ244" s="35">
        <f>IF(AN244=0,J244,0)</f>
        <v>0</v>
      </c>
      <c r="AK244" s="35">
        <f>IF(AN244=15,J244,0)</f>
        <v>0</v>
      </c>
      <c r="AL244" s="35">
        <f>IF(AN244=21,J244,0)</f>
        <v>0</v>
      </c>
      <c r="AN244" s="35">
        <v>15</v>
      </c>
      <c r="AO244" s="35">
        <f>G244*0</f>
        <v>0</v>
      </c>
      <c r="AP244" s="35">
        <f>G244*(1-0)</f>
        <v>0</v>
      </c>
      <c r="AQ244" s="37" t="s">
        <v>82</v>
      </c>
      <c r="AV244" s="35">
        <f>AW244+AX244</f>
        <v>0</v>
      </c>
      <c r="AW244" s="35">
        <f>F244*AO244</f>
        <v>0</v>
      </c>
      <c r="AX244" s="35">
        <f>F244*AP244</f>
        <v>0</v>
      </c>
      <c r="AY244" s="37" t="s">
        <v>440</v>
      </c>
      <c r="AZ244" s="37" t="s">
        <v>424</v>
      </c>
      <c r="BA244" s="21" t="s">
        <v>59</v>
      </c>
      <c r="BC244" s="35">
        <f>AW244+AX244</f>
        <v>0</v>
      </c>
      <c r="BD244" s="35">
        <f>G244/(100-BE244)*100</f>
        <v>0</v>
      </c>
      <c r="BE244" s="35">
        <v>0</v>
      </c>
      <c r="BF244" s="35">
        <f>L244</f>
        <v>0.75</v>
      </c>
      <c r="BH244" s="35">
        <f>F244*AO244</f>
        <v>0</v>
      </c>
      <c r="BI244" s="35">
        <f>F244*AP244</f>
        <v>0</v>
      </c>
      <c r="BJ244" s="35">
        <f>F244*G244</f>
        <v>0</v>
      </c>
      <c r="BK244" s="35"/>
      <c r="BL244" s="35">
        <v>728</v>
      </c>
    </row>
    <row r="245" spans="1:13" ht="15" customHeight="1">
      <c r="A245" s="38"/>
      <c r="C245" s="39" t="s">
        <v>70</v>
      </c>
      <c r="D245" s="39"/>
      <c r="F245" s="40">
        <v>5</v>
      </c>
      <c r="M245" s="41"/>
    </row>
    <row r="246" spans="1:64" ht="15" customHeight="1">
      <c r="A246" s="34" t="s">
        <v>497</v>
      </c>
      <c r="B246" s="11" t="s">
        <v>498</v>
      </c>
      <c r="C246" s="11" t="s">
        <v>499</v>
      </c>
      <c r="D246" s="11"/>
      <c r="E246" s="11" t="s">
        <v>163</v>
      </c>
      <c r="F246" s="35">
        <v>110</v>
      </c>
      <c r="G246" s="35">
        <v>0</v>
      </c>
      <c r="H246" s="35">
        <f>F246*AO246</f>
        <v>0</v>
      </c>
      <c r="I246" s="35">
        <f>F246*AP246</f>
        <v>0</v>
      </c>
      <c r="J246" s="35">
        <f>F246*G246</f>
        <v>0</v>
      </c>
      <c r="K246" s="35">
        <v>0</v>
      </c>
      <c r="L246" s="35">
        <f>F246*K246</f>
        <v>0</v>
      </c>
      <c r="M246" s="36" t="s">
        <v>57</v>
      </c>
      <c r="Z246" s="35">
        <f>IF(AQ246="5",BJ246,0)</f>
        <v>0</v>
      </c>
      <c r="AB246" s="35">
        <f>IF(AQ246="1",BH246,0)</f>
        <v>0</v>
      </c>
      <c r="AC246" s="35">
        <f>IF(AQ246="1",BI246,0)</f>
        <v>0</v>
      </c>
      <c r="AD246" s="35">
        <f>IF(AQ246="7",BH246,0)</f>
        <v>0</v>
      </c>
      <c r="AE246" s="35">
        <f>IF(AQ246="7",BI246,0)</f>
        <v>0</v>
      </c>
      <c r="AF246" s="35">
        <f>IF(AQ246="2",BH246,0)</f>
        <v>0</v>
      </c>
      <c r="AG246" s="35">
        <f>IF(AQ246="2",BI246,0)</f>
        <v>0</v>
      </c>
      <c r="AH246" s="35">
        <f>IF(AQ246="0",BJ246,0)</f>
        <v>0</v>
      </c>
      <c r="AI246" s="21"/>
      <c r="AJ246" s="35">
        <f>IF(AN246=0,J246,0)</f>
        <v>0</v>
      </c>
      <c r="AK246" s="35">
        <f>IF(AN246=15,J246,0)</f>
        <v>0</v>
      </c>
      <c r="AL246" s="35">
        <f>IF(AN246=21,J246,0)</f>
        <v>0</v>
      </c>
      <c r="AN246" s="35">
        <v>15</v>
      </c>
      <c r="AO246" s="35">
        <f>G246*0.666666666666667</f>
        <v>0</v>
      </c>
      <c r="AP246" s="35">
        <f>G246*(1-0.666666666666667)</f>
        <v>0</v>
      </c>
      <c r="AQ246" s="37" t="s">
        <v>82</v>
      </c>
      <c r="AV246" s="35">
        <f>AW246+AX246</f>
        <v>0</v>
      </c>
      <c r="AW246" s="35">
        <f>F246*AO246</f>
        <v>0</v>
      </c>
      <c r="AX246" s="35">
        <f>F246*AP246</f>
        <v>0</v>
      </c>
      <c r="AY246" s="37" t="s">
        <v>440</v>
      </c>
      <c r="AZ246" s="37" t="s">
        <v>424</v>
      </c>
      <c r="BA246" s="21" t="s">
        <v>59</v>
      </c>
      <c r="BC246" s="35">
        <f>AW246+AX246</f>
        <v>0</v>
      </c>
      <c r="BD246" s="35">
        <f>G246/(100-BE246)*100</f>
        <v>0</v>
      </c>
      <c r="BE246" s="35">
        <v>0</v>
      </c>
      <c r="BF246" s="35">
        <f>L246</f>
        <v>0</v>
      </c>
      <c r="BH246" s="35">
        <f>F246*AO246</f>
        <v>0</v>
      </c>
      <c r="BI246" s="35">
        <f>F246*AP246</f>
        <v>0</v>
      </c>
      <c r="BJ246" s="35">
        <f>F246*G246</f>
        <v>0</v>
      </c>
      <c r="BK246" s="35"/>
      <c r="BL246" s="35">
        <v>728</v>
      </c>
    </row>
    <row r="247" spans="1:13" ht="15" customHeight="1">
      <c r="A247" s="38"/>
      <c r="C247" s="39" t="s">
        <v>490</v>
      </c>
      <c r="D247" s="39"/>
      <c r="F247" s="40">
        <v>110.00000000000001</v>
      </c>
      <c r="M247" s="41"/>
    </row>
    <row r="248" spans="1:64" ht="15" customHeight="1">
      <c r="A248" s="34" t="s">
        <v>500</v>
      </c>
      <c r="B248" s="11" t="s">
        <v>501</v>
      </c>
      <c r="C248" s="11" t="s">
        <v>502</v>
      </c>
      <c r="D248" s="11"/>
      <c r="E248" s="11" t="s">
        <v>163</v>
      </c>
      <c r="F248" s="35">
        <v>20</v>
      </c>
      <c r="G248" s="35">
        <v>0</v>
      </c>
      <c r="H248" s="35">
        <f>F248*AO248</f>
        <v>0</v>
      </c>
      <c r="I248" s="35">
        <f>F248*AP248</f>
        <v>0</v>
      </c>
      <c r="J248" s="35">
        <f>F248*G248</f>
        <v>0</v>
      </c>
      <c r="K248" s="35">
        <v>0</v>
      </c>
      <c r="L248" s="35">
        <f>F248*K248</f>
        <v>0</v>
      </c>
      <c r="M248" s="36" t="s">
        <v>57</v>
      </c>
      <c r="Z248" s="35">
        <f>IF(AQ248="5",BJ248,0)</f>
        <v>0</v>
      </c>
      <c r="AB248" s="35">
        <f>IF(AQ248="1",BH248,0)</f>
        <v>0</v>
      </c>
      <c r="AC248" s="35">
        <f>IF(AQ248="1",BI248,0)</f>
        <v>0</v>
      </c>
      <c r="AD248" s="35">
        <f>IF(AQ248="7",BH248,0)</f>
        <v>0</v>
      </c>
      <c r="AE248" s="35">
        <f>IF(AQ248="7",BI248,0)</f>
        <v>0</v>
      </c>
      <c r="AF248" s="35">
        <f>IF(AQ248="2",BH248,0)</f>
        <v>0</v>
      </c>
      <c r="AG248" s="35">
        <f>IF(AQ248="2",BI248,0)</f>
        <v>0</v>
      </c>
      <c r="AH248" s="35">
        <f>IF(AQ248="0",BJ248,0)</f>
        <v>0</v>
      </c>
      <c r="AI248" s="21"/>
      <c r="AJ248" s="35">
        <f>IF(AN248=0,J248,0)</f>
        <v>0</v>
      </c>
      <c r="AK248" s="35">
        <f>IF(AN248=15,J248,0)</f>
        <v>0</v>
      </c>
      <c r="AL248" s="35">
        <f>IF(AN248=21,J248,0)</f>
        <v>0</v>
      </c>
      <c r="AN248" s="35">
        <v>15</v>
      </c>
      <c r="AO248" s="35">
        <f>G248*0.777646012451823</f>
        <v>0</v>
      </c>
      <c r="AP248" s="35">
        <f>G248*(1-0.777646012451823)</f>
        <v>0</v>
      </c>
      <c r="AQ248" s="37" t="s">
        <v>82</v>
      </c>
      <c r="AV248" s="35">
        <f>AW248+AX248</f>
        <v>0</v>
      </c>
      <c r="AW248" s="35">
        <f>F248*AO248</f>
        <v>0</v>
      </c>
      <c r="AX248" s="35">
        <f>F248*AP248</f>
        <v>0</v>
      </c>
      <c r="AY248" s="37" t="s">
        <v>440</v>
      </c>
      <c r="AZ248" s="37" t="s">
        <v>424</v>
      </c>
      <c r="BA248" s="21" t="s">
        <v>59</v>
      </c>
      <c r="BC248" s="35">
        <f>AW248+AX248</f>
        <v>0</v>
      </c>
      <c r="BD248" s="35">
        <f>G248/(100-BE248)*100</f>
        <v>0</v>
      </c>
      <c r="BE248" s="35">
        <v>0</v>
      </c>
      <c r="BF248" s="35">
        <f>L248</f>
        <v>0</v>
      </c>
      <c r="BH248" s="35">
        <f>F248*AO248</f>
        <v>0</v>
      </c>
      <c r="BI248" s="35">
        <f>F248*AP248</f>
        <v>0</v>
      </c>
      <c r="BJ248" s="35">
        <f>F248*G248</f>
        <v>0</v>
      </c>
      <c r="BK248" s="35"/>
      <c r="BL248" s="35">
        <v>728</v>
      </c>
    </row>
    <row r="249" spans="1:13" ht="15" customHeight="1">
      <c r="A249" s="38"/>
      <c r="C249" s="39" t="s">
        <v>165</v>
      </c>
      <c r="D249" s="39" t="s">
        <v>503</v>
      </c>
      <c r="F249" s="40">
        <v>20</v>
      </c>
      <c r="M249" s="41"/>
    </row>
    <row r="250" spans="1:13" ht="15" customHeight="1">
      <c r="A250" s="38"/>
      <c r="C250" s="39"/>
      <c r="D250" s="39" t="s">
        <v>504</v>
      </c>
      <c r="F250" s="40">
        <v>0</v>
      </c>
      <c r="M250" s="41"/>
    </row>
    <row r="251" spans="1:64" ht="15" customHeight="1">
      <c r="A251" s="34" t="s">
        <v>505</v>
      </c>
      <c r="B251" s="11" t="s">
        <v>506</v>
      </c>
      <c r="C251" s="11" t="s">
        <v>507</v>
      </c>
      <c r="D251" s="11"/>
      <c r="E251" s="11" t="s">
        <v>163</v>
      </c>
      <c r="F251" s="35">
        <v>5</v>
      </c>
      <c r="G251" s="35">
        <v>0</v>
      </c>
      <c r="H251" s="35">
        <f>F251*AO251</f>
        <v>0</v>
      </c>
      <c r="I251" s="35">
        <f>F251*AP251</f>
        <v>0</v>
      </c>
      <c r="J251" s="35">
        <f>F251*G251</f>
        <v>0</v>
      </c>
      <c r="K251" s="35">
        <v>0</v>
      </c>
      <c r="L251" s="35">
        <f>F251*K251</f>
        <v>0</v>
      </c>
      <c r="M251" s="36" t="s">
        <v>57</v>
      </c>
      <c r="Z251" s="35">
        <f>IF(AQ251="5",BJ251,0)</f>
        <v>0</v>
      </c>
      <c r="AB251" s="35">
        <f>IF(AQ251="1",BH251,0)</f>
        <v>0</v>
      </c>
      <c r="AC251" s="35">
        <f>IF(AQ251="1",BI251,0)</f>
        <v>0</v>
      </c>
      <c r="AD251" s="35">
        <f>IF(AQ251="7",BH251,0)</f>
        <v>0</v>
      </c>
      <c r="AE251" s="35">
        <f>IF(AQ251="7",BI251,0)</f>
        <v>0</v>
      </c>
      <c r="AF251" s="35">
        <f>IF(AQ251="2",BH251,0)</f>
        <v>0</v>
      </c>
      <c r="AG251" s="35">
        <f>IF(AQ251="2",BI251,0)</f>
        <v>0</v>
      </c>
      <c r="AH251" s="35">
        <f>IF(AQ251="0",BJ251,0)</f>
        <v>0</v>
      </c>
      <c r="AI251" s="21"/>
      <c r="AJ251" s="35">
        <f>IF(AN251=0,J251,0)</f>
        <v>0</v>
      </c>
      <c r="AK251" s="35">
        <f>IF(AN251=15,J251,0)</f>
        <v>0</v>
      </c>
      <c r="AL251" s="35">
        <f>IF(AN251=21,J251,0)</f>
        <v>0</v>
      </c>
      <c r="AN251" s="35">
        <v>15</v>
      </c>
      <c r="AO251" s="35">
        <f>G251*0.68964310706788</f>
        <v>0</v>
      </c>
      <c r="AP251" s="35">
        <f>G251*(1-0.68964310706788)</f>
        <v>0</v>
      </c>
      <c r="AQ251" s="37" t="s">
        <v>82</v>
      </c>
      <c r="AV251" s="35">
        <f>AW251+AX251</f>
        <v>0</v>
      </c>
      <c r="AW251" s="35">
        <f>F251*AO251</f>
        <v>0</v>
      </c>
      <c r="AX251" s="35">
        <f>F251*AP251</f>
        <v>0</v>
      </c>
      <c r="AY251" s="37" t="s">
        <v>440</v>
      </c>
      <c r="AZ251" s="37" t="s">
        <v>424</v>
      </c>
      <c r="BA251" s="21" t="s">
        <v>59</v>
      </c>
      <c r="BC251" s="35">
        <f>AW251+AX251</f>
        <v>0</v>
      </c>
      <c r="BD251" s="35">
        <f>G251/(100-BE251)*100</f>
        <v>0</v>
      </c>
      <c r="BE251" s="35">
        <v>0</v>
      </c>
      <c r="BF251" s="35">
        <f>L251</f>
        <v>0</v>
      </c>
      <c r="BH251" s="35">
        <f>F251*AO251</f>
        <v>0</v>
      </c>
      <c r="BI251" s="35">
        <f>F251*AP251</f>
        <v>0</v>
      </c>
      <c r="BJ251" s="35">
        <f>F251*G251</f>
        <v>0</v>
      </c>
      <c r="BK251" s="35"/>
      <c r="BL251" s="35">
        <v>728</v>
      </c>
    </row>
    <row r="252" spans="1:13" ht="15" customHeight="1">
      <c r="A252" s="38"/>
      <c r="C252" s="39" t="s">
        <v>70</v>
      </c>
      <c r="D252" s="39"/>
      <c r="F252" s="40">
        <v>5</v>
      </c>
      <c r="M252" s="41"/>
    </row>
    <row r="253" spans="1:64" ht="15" customHeight="1">
      <c r="A253" s="34" t="s">
        <v>508</v>
      </c>
      <c r="B253" s="11" t="s">
        <v>509</v>
      </c>
      <c r="C253" s="11" t="s">
        <v>510</v>
      </c>
      <c r="D253" s="11"/>
      <c r="E253" s="11" t="s">
        <v>93</v>
      </c>
      <c r="F253" s="35">
        <v>55</v>
      </c>
      <c r="G253" s="35">
        <v>0</v>
      </c>
      <c r="H253" s="35">
        <f>F253*AO253</f>
        <v>0</v>
      </c>
      <c r="I253" s="35">
        <f>F253*AP253</f>
        <v>0</v>
      </c>
      <c r="J253" s="35">
        <f>F253*G253</f>
        <v>0</v>
      </c>
      <c r="K253" s="35">
        <v>0</v>
      </c>
      <c r="L253" s="35">
        <f>F253*K253</f>
        <v>0</v>
      </c>
      <c r="M253" s="36" t="s">
        <v>57</v>
      </c>
      <c r="Z253" s="35">
        <f>IF(AQ253="5",BJ253,0)</f>
        <v>0</v>
      </c>
      <c r="AB253" s="35">
        <f>IF(AQ253="1",BH253,0)</f>
        <v>0</v>
      </c>
      <c r="AC253" s="35">
        <f>IF(AQ253="1",BI253,0)</f>
        <v>0</v>
      </c>
      <c r="AD253" s="35">
        <f>IF(AQ253="7",BH253,0)</f>
        <v>0</v>
      </c>
      <c r="AE253" s="35">
        <f>IF(AQ253="7",BI253,0)</f>
        <v>0</v>
      </c>
      <c r="AF253" s="35">
        <f>IF(AQ253="2",BH253,0)</f>
        <v>0</v>
      </c>
      <c r="AG253" s="35">
        <f>IF(AQ253="2",BI253,0)</f>
        <v>0</v>
      </c>
      <c r="AH253" s="35">
        <f>IF(AQ253="0",BJ253,0)</f>
        <v>0</v>
      </c>
      <c r="AI253" s="21"/>
      <c r="AJ253" s="35">
        <f>IF(AN253=0,J253,0)</f>
        <v>0</v>
      </c>
      <c r="AK253" s="35">
        <f>IF(AN253=15,J253,0)</f>
        <v>0</v>
      </c>
      <c r="AL253" s="35">
        <f>IF(AN253=21,J253,0)</f>
        <v>0</v>
      </c>
      <c r="AN253" s="35">
        <v>15</v>
      </c>
      <c r="AO253" s="35">
        <f>G253*0.475524475524476</f>
        <v>0</v>
      </c>
      <c r="AP253" s="35">
        <f>G253*(1-0.475524475524476)</f>
        <v>0</v>
      </c>
      <c r="AQ253" s="37" t="s">
        <v>82</v>
      </c>
      <c r="AV253" s="35">
        <f>AW253+AX253</f>
        <v>0</v>
      </c>
      <c r="AW253" s="35">
        <f>F253*AO253</f>
        <v>0</v>
      </c>
      <c r="AX253" s="35">
        <f>F253*AP253</f>
        <v>0</v>
      </c>
      <c r="AY253" s="37" t="s">
        <v>440</v>
      </c>
      <c r="AZ253" s="37" t="s">
        <v>424</v>
      </c>
      <c r="BA253" s="21" t="s">
        <v>59</v>
      </c>
      <c r="BC253" s="35">
        <f>AW253+AX253</f>
        <v>0</v>
      </c>
      <c r="BD253" s="35">
        <f>G253/(100-BE253)*100</f>
        <v>0</v>
      </c>
      <c r="BE253" s="35">
        <v>0</v>
      </c>
      <c r="BF253" s="35">
        <f>L253</f>
        <v>0</v>
      </c>
      <c r="BH253" s="35">
        <f>F253*AO253</f>
        <v>0</v>
      </c>
      <c r="BI253" s="35">
        <f>F253*AP253</f>
        <v>0</v>
      </c>
      <c r="BJ253" s="35">
        <f>F253*G253</f>
        <v>0</v>
      </c>
      <c r="BK253" s="35"/>
      <c r="BL253" s="35">
        <v>728</v>
      </c>
    </row>
    <row r="254" spans="1:13" ht="15" customHeight="1">
      <c r="A254" s="38"/>
      <c r="C254" s="39" t="s">
        <v>359</v>
      </c>
      <c r="D254" s="39"/>
      <c r="F254" s="40">
        <v>55.00000000000001</v>
      </c>
      <c r="M254" s="41"/>
    </row>
    <row r="255" spans="1:64" ht="15" customHeight="1">
      <c r="A255" s="34" t="s">
        <v>511</v>
      </c>
      <c r="B255" s="11" t="s">
        <v>512</v>
      </c>
      <c r="C255" s="11" t="s">
        <v>513</v>
      </c>
      <c r="D255" s="11"/>
      <c r="E255" s="11" t="s">
        <v>163</v>
      </c>
      <c r="F255" s="35">
        <v>30</v>
      </c>
      <c r="G255" s="35">
        <v>0</v>
      </c>
      <c r="H255" s="35">
        <f>F255*AO255</f>
        <v>0</v>
      </c>
      <c r="I255" s="35">
        <f>F255*AP255</f>
        <v>0</v>
      </c>
      <c r="J255" s="35">
        <f>F255*G255</f>
        <v>0</v>
      </c>
      <c r="K255" s="35">
        <v>0.009</v>
      </c>
      <c r="L255" s="35">
        <f>F255*K255</f>
        <v>0.3</v>
      </c>
      <c r="M255" s="36" t="s">
        <v>57</v>
      </c>
      <c r="Z255" s="35">
        <f>IF(AQ255="5",BJ255,0)</f>
        <v>0</v>
      </c>
      <c r="AB255" s="35">
        <f>IF(AQ255="1",BH255,0)</f>
        <v>0</v>
      </c>
      <c r="AC255" s="35">
        <f>IF(AQ255="1",BI255,0)</f>
        <v>0</v>
      </c>
      <c r="AD255" s="35">
        <f>IF(AQ255="7",BH255,0)</f>
        <v>0</v>
      </c>
      <c r="AE255" s="35">
        <f>IF(AQ255="7",BI255,0)</f>
        <v>0</v>
      </c>
      <c r="AF255" s="35">
        <f>IF(AQ255="2",BH255,0)</f>
        <v>0</v>
      </c>
      <c r="AG255" s="35">
        <f>IF(AQ255="2",BI255,0)</f>
        <v>0</v>
      </c>
      <c r="AH255" s="35">
        <f>IF(AQ255="0",BJ255,0)</f>
        <v>0</v>
      </c>
      <c r="AI255" s="21"/>
      <c r="AJ255" s="35">
        <f>IF(AN255=0,J255,0)</f>
        <v>0</v>
      </c>
      <c r="AK255" s="35">
        <f>IF(AN255=15,J255,0)</f>
        <v>0</v>
      </c>
      <c r="AL255" s="35">
        <f>IF(AN255=21,J255,0)</f>
        <v>0</v>
      </c>
      <c r="AN255" s="35">
        <v>15</v>
      </c>
      <c r="AO255" s="35">
        <f>G255*0</f>
        <v>0</v>
      </c>
      <c r="AP255" s="35">
        <f>G255*(1-0)</f>
        <v>0</v>
      </c>
      <c r="AQ255" s="37" t="s">
        <v>82</v>
      </c>
      <c r="AV255" s="35">
        <f>AW255+AX255</f>
        <v>0</v>
      </c>
      <c r="AW255" s="35">
        <f>F255*AO255</f>
        <v>0</v>
      </c>
      <c r="AX255" s="35">
        <f>F255*AP255</f>
        <v>0</v>
      </c>
      <c r="AY255" s="37" t="s">
        <v>440</v>
      </c>
      <c r="AZ255" s="37" t="s">
        <v>424</v>
      </c>
      <c r="BA255" s="21" t="s">
        <v>59</v>
      </c>
      <c r="BC255" s="35">
        <f>AW255+AX255</f>
        <v>0</v>
      </c>
      <c r="BD255" s="35">
        <f>G255/(100-BE255)*100</f>
        <v>0</v>
      </c>
      <c r="BE255" s="35">
        <v>0</v>
      </c>
      <c r="BF255" s="35">
        <f>L255</f>
        <v>0.3</v>
      </c>
      <c r="BH255" s="35">
        <f>F255*AO255</f>
        <v>0</v>
      </c>
      <c r="BI255" s="35">
        <f>F255*AP255</f>
        <v>0</v>
      </c>
      <c r="BJ255" s="35">
        <f>F255*G255</f>
        <v>0</v>
      </c>
      <c r="BK255" s="35"/>
      <c r="BL255" s="35">
        <v>728</v>
      </c>
    </row>
    <row r="256" spans="1:13" ht="15" customHeight="1">
      <c r="A256" s="38"/>
      <c r="C256" s="39" t="s">
        <v>225</v>
      </c>
      <c r="D256" s="39"/>
      <c r="F256" s="40">
        <v>30.000000000000004</v>
      </c>
      <c r="M256" s="41"/>
    </row>
    <row r="257" spans="1:64" ht="15" customHeight="1">
      <c r="A257" s="34" t="s">
        <v>514</v>
      </c>
      <c r="B257" s="11" t="s">
        <v>498</v>
      </c>
      <c r="C257" s="11" t="s">
        <v>515</v>
      </c>
      <c r="D257" s="11"/>
      <c r="E257" s="11" t="s">
        <v>163</v>
      </c>
      <c r="F257" s="35">
        <v>30</v>
      </c>
      <c r="G257" s="35">
        <v>0</v>
      </c>
      <c r="H257" s="35">
        <f>F257*AO257</f>
        <v>0</v>
      </c>
      <c r="I257" s="35">
        <f>F257*AP257</f>
        <v>0</v>
      </c>
      <c r="J257" s="35">
        <f>F257*G257</f>
        <v>0</v>
      </c>
      <c r="K257" s="35">
        <v>0</v>
      </c>
      <c r="L257" s="35">
        <f>F257*K257</f>
        <v>0</v>
      </c>
      <c r="M257" s="36" t="s">
        <v>57</v>
      </c>
      <c r="Z257" s="35">
        <f>IF(AQ257="5",BJ257,0)</f>
        <v>0</v>
      </c>
      <c r="AB257" s="35">
        <f>IF(AQ257="1",BH257,0)</f>
        <v>0</v>
      </c>
      <c r="AC257" s="35">
        <f>IF(AQ257="1",BI257,0)</f>
        <v>0</v>
      </c>
      <c r="AD257" s="35">
        <f>IF(AQ257="7",BH257,0)</f>
        <v>0</v>
      </c>
      <c r="AE257" s="35">
        <f>IF(AQ257="7",BI257,0)</f>
        <v>0</v>
      </c>
      <c r="AF257" s="35">
        <f>IF(AQ257="2",BH257,0)</f>
        <v>0</v>
      </c>
      <c r="AG257" s="35">
        <f>IF(AQ257="2",BI257,0)</f>
        <v>0</v>
      </c>
      <c r="AH257" s="35">
        <f>IF(AQ257="0",BJ257,0)</f>
        <v>0</v>
      </c>
      <c r="AI257" s="21"/>
      <c r="AJ257" s="35">
        <f>IF(AN257=0,J257,0)</f>
        <v>0</v>
      </c>
      <c r="AK257" s="35">
        <f>IF(AN257=15,J257,0)</f>
        <v>0</v>
      </c>
      <c r="AL257" s="35">
        <f>IF(AN257=21,J257,0)</f>
        <v>0</v>
      </c>
      <c r="AN257" s="35">
        <v>15</v>
      </c>
      <c r="AO257" s="35">
        <f>G257*0.5</f>
        <v>0</v>
      </c>
      <c r="AP257" s="35">
        <f>G257*(1-0.5)</f>
        <v>0</v>
      </c>
      <c r="AQ257" s="37" t="s">
        <v>82</v>
      </c>
      <c r="AV257" s="35">
        <f>AW257+AX257</f>
        <v>0</v>
      </c>
      <c r="AW257" s="35">
        <f>F257*AO257</f>
        <v>0</v>
      </c>
      <c r="AX257" s="35">
        <f>F257*AP257</f>
        <v>0</v>
      </c>
      <c r="AY257" s="37" t="s">
        <v>440</v>
      </c>
      <c r="AZ257" s="37" t="s">
        <v>424</v>
      </c>
      <c r="BA257" s="21" t="s">
        <v>59</v>
      </c>
      <c r="BC257" s="35">
        <f>AW257+AX257</f>
        <v>0</v>
      </c>
      <c r="BD257" s="35">
        <f>G257/(100-BE257)*100</f>
        <v>0</v>
      </c>
      <c r="BE257" s="35">
        <v>0</v>
      </c>
      <c r="BF257" s="35">
        <f>L257</f>
        <v>0</v>
      </c>
      <c r="BH257" s="35">
        <f>F257*AO257</f>
        <v>0</v>
      </c>
      <c r="BI257" s="35">
        <f>F257*AP257</f>
        <v>0</v>
      </c>
      <c r="BJ257" s="35">
        <f>F257*G257</f>
        <v>0</v>
      </c>
      <c r="BK257" s="35"/>
      <c r="BL257" s="35">
        <v>728</v>
      </c>
    </row>
    <row r="258" spans="1:13" ht="15" customHeight="1">
      <c r="A258" s="38"/>
      <c r="C258" s="39" t="s">
        <v>225</v>
      </c>
      <c r="D258" s="39"/>
      <c r="F258" s="40">
        <v>30.000000000000004</v>
      </c>
      <c r="M258" s="41"/>
    </row>
    <row r="259" spans="1:64" ht="15" customHeight="1">
      <c r="A259" s="34" t="s">
        <v>516</v>
      </c>
      <c r="B259" s="11" t="s">
        <v>517</v>
      </c>
      <c r="C259" s="11" t="s">
        <v>518</v>
      </c>
      <c r="D259" s="11"/>
      <c r="E259" s="11" t="s">
        <v>163</v>
      </c>
      <c r="F259" s="35">
        <v>59</v>
      </c>
      <c r="G259" s="35">
        <v>0</v>
      </c>
      <c r="H259" s="35">
        <f aca="true" t="shared" si="0" ref="H259:H260">F259*AO259</f>
        <v>0</v>
      </c>
      <c r="I259" s="35">
        <f aca="true" t="shared" si="1" ref="I259:I260">F259*AP259</f>
        <v>0</v>
      </c>
      <c r="J259" s="35">
        <f aca="true" t="shared" si="2" ref="J259:J260">F259*G259</f>
        <v>0</v>
      </c>
      <c r="K259" s="35">
        <v>0.0018</v>
      </c>
      <c r="L259" s="35">
        <f aca="true" t="shared" si="3" ref="L259:L260">F259*K259</f>
        <v>0</v>
      </c>
      <c r="M259" s="36" t="s">
        <v>86</v>
      </c>
      <c r="Z259" s="35">
        <f aca="true" t="shared" si="4" ref="Z259:Z260">IF(AQ259="5",BJ259,0)</f>
        <v>0</v>
      </c>
      <c r="AB259" s="35">
        <f aca="true" t="shared" si="5" ref="AB259:AB260">IF(AQ259="1",BH259,0)</f>
        <v>0</v>
      </c>
      <c r="AC259" s="35">
        <f aca="true" t="shared" si="6" ref="AC259:AC260">IF(AQ259="1",BI259,0)</f>
        <v>0</v>
      </c>
      <c r="AD259" s="35">
        <f aca="true" t="shared" si="7" ref="AD259:AD260">IF(AQ259="7",BH259,0)</f>
        <v>0</v>
      </c>
      <c r="AE259" s="35">
        <f aca="true" t="shared" si="8" ref="AE259:AE260">IF(AQ259="7",BI259,0)</f>
        <v>0</v>
      </c>
      <c r="AF259" s="35">
        <f aca="true" t="shared" si="9" ref="AF259:AF260">IF(AQ259="2",BH259,0)</f>
        <v>0</v>
      </c>
      <c r="AG259" s="35">
        <f aca="true" t="shared" si="10" ref="AG259:AG260">IF(AQ259="2",BI259,0)</f>
        <v>0</v>
      </c>
      <c r="AH259" s="35">
        <f aca="true" t="shared" si="11" ref="AH259:AH260">IF(AQ259="0",BJ259,0)</f>
        <v>0</v>
      </c>
      <c r="AI259" s="21"/>
      <c r="AJ259" s="35">
        <f aca="true" t="shared" si="12" ref="AJ259:AJ260">IF(AN259=0,J259,0)</f>
        <v>0</v>
      </c>
      <c r="AK259" s="35">
        <f aca="true" t="shared" si="13" ref="AK259:AK260">IF(AN259=15,J259,0)</f>
        <v>0</v>
      </c>
      <c r="AL259" s="35">
        <f aca="true" t="shared" si="14" ref="AL259:AL260">IF(AN259=21,J259,0)</f>
        <v>0</v>
      </c>
      <c r="AN259" s="35">
        <v>15</v>
      </c>
      <c r="AO259" s="35">
        <f>G259*1</f>
        <v>0</v>
      </c>
      <c r="AP259" s="35">
        <f>G259*(1-1)</f>
        <v>0</v>
      </c>
      <c r="AQ259" s="37" t="s">
        <v>82</v>
      </c>
      <c r="AV259" s="35">
        <f aca="true" t="shared" si="15" ref="AV259:AV260">AW259+AX259</f>
        <v>0</v>
      </c>
      <c r="AW259" s="35">
        <f aca="true" t="shared" si="16" ref="AW259:AW260">F259*AO259</f>
        <v>0</v>
      </c>
      <c r="AX259" s="35">
        <f aca="true" t="shared" si="17" ref="AX259:AX260">F259*AP259</f>
        <v>0</v>
      </c>
      <c r="AY259" s="37" t="s">
        <v>440</v>
      </c>
      <c r="AZ259" s="37" t="s">
        <v>424</v>
      </c>
      <c r="BA259" s="21" t="s">
        <v>59</v>
      </c>
      <c r="BC259" s="35">
        <f aca="true" t="shared" si="18" ref="BC259:BC260">AW259+AX259</f>
        <v>0</v>
      </c>
      <c r="BD259" s="35">
        <f aca="true" t="shared" si="19" ref="BD259:BD260">G259/(100-BE259)*100</f>
        <v>0</v>
      </c>
      <c r="BE259" s="35">
        <v>0</v>
      </c>
      <c r="BF259" s="35">
        <f aca="true" t="shared" si="20" ref="BF259:BF260">L259</f>
        <v>0</v>
      </c>
      <c r="BH259" s="35">
        <f aca="true" t="shared" si="21" ref="BH259:BH260">F259*AO259</f>
        <v>0</v>
      </c>
      <c r="BI259" s="35">
        <f aca="true" t="shared" si="22" ref="BI259:BI260">F259*AP259</f>
        <v>0</v>
      </c>
      <c r="BJ259" s="35">
        <f aca="true" t="shared" si="23" ref="BJ259:BJ260">F259*G259</f>
        <v>0</v>
      </c>
      <c r="BK259" s="35"/>
      <c r="BL259" s="35">
        <v>728</v>
      </c>
    </row>
    <row r="260" spans="1:64" ht="15" customHeight="1">
      <c r="A260" s="34" t="s">
        <v>519</v>
      </c>
      <c r="B260" s="11" t="s">
        <v>520</v>
      </c>
      <c r="C260" s="11" t="s">
        <v>521</v>
      </c>
      <c r="D260" s="11"/>
      <c r="E260" s="11" t="s">
        <v>172</v>
      </c>
      <c r="F260" s="35">
        <v>1.343</v>
      </c>
      <c r="G260" s="35">
        <v>0</v>
      </c>
      <c r="H260" s="35">
        <f t="shared" si="0"/>
        <v>0</v>
      </c>
      <c r="I260" s="35">
        <f t="shared" si="1"/>
        <v>0</v>
      </c>
      <c r="J260" s="35">
        <f t="shared" si="2"/>
        <v>0</v>
      </c>
      <c r="K260" s="35">
        <v>0</v>
      </c>
      <c r="L260" s="35">
        <f t="shared" si="3"/>
        <v>0</v>
      </c>
      <c r="M260" s="36" t="s">
        <v>57</v>
      </c>
      <c r="Z260" s="35">
        <f t="shared" si="4"/>
        <v>0</v>
      </c>
      <c r="AB260" s="35">
        <f t="shared" si="5"/>
        <v>0</v>
      </c>
      <c r="AC260" s="35">
        <f t="shared" si="6"/>
        <v>0</v>
      </c>
      <c r="AD260" s="35">
        <f t="shared" si="7"/>
        <v>0</v>
      </c>
      <c r="AE260" s="35">
        <f t="shared" si="8"/>
        <v>0</v>
      </c>
      <c r="AF260" s="35">
        <f t="shared" si="9"/>
        <v>0</v>
      </c>
      <c r="AG260" s="35">
        <f t="shared" si="10"/>
        <v>0</v>
      </c>
      <c r="AH260" s="35">
        <f t="shared" si="11"/>
        <v>0</v>
      </c>
      <c r="AI260" s="21"/>
      <c r="AJ260" s="35">
        <f t="shared" si="12"/>
        <v>0</v>
      </c>
      <c r="AK260" s="35">
        <f t="shared" si="13"/>
        <v>0</v>
      </c>
      <c r="AL260" s="35">
        <f t="shared" si="14"/>
        <v>0</v>
      </c>
      <c r="AN260" s="35">
        <v>15</v>
      </c>
      <c r="AO260" s="35">
        <f>G260*0</f>
        <v>0</v>
      </c>
      <c r="AP260" s="35">
        <f>G260*(1-0)</f>
        <v>0</v>
      </c>
      <c r="AQ260" s="37" t="s">
        <v>70</v>
      </c>
      <c r="AV260" s="35">
        <f t="shared" si="15"/>
        <v>0</v>
      </c>
      <c r="AW260" s="35">
        <f t="shared" si="16"/>
        <v>0</v>
      </c>
      <c r="AX260" s="35">
        <f t="shared" si="17"/>
        <v>0</v>
      </c>
      <c r="AY260" s="37" t="s">
        <v>440</v>
      </c>
      <c r="AZ260" s="37" t="s">
        <v>424</v>
      </c>
      <c r="BA260" s="21" t="s">
        <v>59</v>
      </c>
      <c r="BC260" s="35">
        <f t="shared" si="18"/>
        <v>0</v>
      </c>
      <c r="BD260" s="35">
        <f t="shared" si="19"/>
        <v>0</v>
      </c>
      <c r="BE260" s="35">
        <v>0</v>
      </c>
      <c r="BF260" s="35">
        <f t="shared" si="20"/>
        <v>0</v>
      </c>
      <c r="BH260" s="35">
        <f t="shared" si="21"/>
        <v>0</v>
      </c>
      <c r="BI260" s="35">
        <f t="shared" si="22"/>
        <v>0</v>
      </c>
      <c r="BJ260" s="35">
        <f t="shared" si="23"/>
        <v>0</v>
      </c>
      <c r="BK260" s="35"/>
      <c r="BL260" s="35">
        <v>728</v>
      </c>
    </row>
    <row r="261" spans="1:13" ht="15" customHeight="1">
      <c r="A261" s="38"/>
      <c r="C261" s="39" t="s">
        <v>522</v>
      </c>
      <c r="D261" s="39"/>
      <c r="F261" s="40">
        <v>1.3430000000000002</v>
      </c>
      <c r="M261" s="41"/>
    </row>
    <row r="262" spans="1:47" ht="15" customHeight="1">
      <c r="A262" s="30"/>
      <c r="B262" s="31" t="s">
        <v>523</v>
      </c>
      <c r="C262" s="31" t="s">
        <v>524</v>
      </c>
      <c r="D262" s="31"/>
      <c r="E262" s="32" t="s">
        <v>4</v>
      </c>
      <c r="F262" s="32" t="s">
        <v>4</v>
      </c>
      <c r="G262" s="32" t="s">
        <v>4</v>
      </c>
      <c r="H262" s="3">
        <f>SUM(H263:H273)</f>
        <v>0</v>
      </c>
      <c r="I262" s="3">
        <f>SUM(I263:I273)</f>
        <v>0</v>
      </c>
      <c r="J262" s="3">
        <f>SUM(J263:J273)</f>
        <v>0</v>
      </c>
      <c r="K262" s="21"/>
      <c r="L262" s="3">
        <f>SUM(L263:L273)</f>
        <v>1.49</v>
      </c>
      <c r="M262" s="33"/>
      <c r="AI262" s="21"/>
      <c r="AS262" s="3">
        <f>SUM(AJ263:AJ273)</f>
        <v>0</v>
      </c>
      <c r="AT262" s="3">
        <f>SUM(AK263:AK273)</f>
        <v>0</v>
      </c>
      <c r="AU262" s="3">
        <f>SUM(AL263:AL273)</f>
        <v>0</v>
      </c>
    </row>
    <row r="263" spans="1:64" ht="15" customHeight="1">
      <c r="A263" s="34" t="s">
        <v>525</v>
      </c>
      <c r="B263" s="11" t="s">
        <v>526</v>
      </c>
      <c r="C263" s="11" t="s">
        <v>527</v>
      </c>
      <c r="D263" s="11"/>
      <c r="E263" s="11" t="s">
        <v>85</v>
      </c>
      <c r="F263" s="35">
        <v>83.6</v>
      </c>
      <c r="G263" s="35">
        <v>0</v>
      </c>
      <c r="H263" s="35">
        <f>F263*AO263</f>
        <v>0</v>
      </c>
      <c r="I263" s="35">
        <f>F263*AP263</f>
        <v>0</v>
      </c>
      <c r="J263" s="35">
        <f>F263*G263</f>
        <v>0</v>
      </c>
      <c r="K263" s="35">
        <v>1E-05</v>
      </c>
      <c r="L263" s="35">
        <f>F263*K263</f>
        <v>0</v>
      </c>
      <c r="M263" s="36" t="s">
        <v>57</v>
      </c>
      <c r="Z263" s="35">
        <f>IF(AQ263="5",BJ263,0)</f>
        <v>0</v>
      </c>
      <c r="AB263" s="35">
        <f>IF(AQ263="1",BH263,0)</f>
        <v>0</v>
      </c>
      <c r="AC263" s="35">
        <f>IF(AQ263="1",BI263,0)</f>
        <v>0</v>
      </c>
      <c r="AD263" s="35">
        <f>IF(AQ263="7",BH263,0)</f>
        <v>0</v>
      </c>
      <c r="AE263" s="35">
        <f>IF(AQ263="7",BI263,0)</f>
        <v>0</v>
      </c>
      <c r="AF263" s="35">
        <f>IF(AQ263="2",BH263,0)</f>
        <v>0</v>
      </c>
      <c r="AG263" s="35">
        <f>IF(AQ263="2",BI263,0)</f>
        <v>0</v>
      </c>
      <c r="AH263" s="35">
        <f>IF(AQ263="0",BJ263,0)</f>
        <v>0</v>
      </c>
      <c r="AI263" s="21"/>
      <c r="AJ263" s="35">
        <f>IF(AN263=0,J263,0)</f>
        <v>0</v>
      </c>
      <c r="AK263" s="35">
        <f>IF(AN263=15,J263,0)</f>
        <v>0</v>
      </c>
      <c r="AL263" s="35">
        <f>IF(AN263=21,J263,0)</f>
        <v>0</v>
      </c>
      <c r="AN263" s="35">
        <v>15</v>
      </c>
      <c r="AO263" s="35">
        <f>G263*0.00932907348242812</f>
        <v>0</v>
      </c>
      <c r="AP263" s="35">
        <f>G263*(1-0.00932907348242812)</f>
        <v>0</v>
      </c>
      <c r="AQ263" s="37" t="s">
        <v>82</v>
      </c>
      <c r="AV263" s="35">
        <f>AW263+AX263</f>
        <v>0</v>
      </c>
      <c r="AW263" s="35">
        <f>F263*AO263</f>
        <v>0</v>
      </c>
      <c r="AX263" s="35">
        <f>F263*AP263</f>
        <v>0</v>
      </c>
      <c r="AY263" s="37" t="s">
        <v>528</v>
      </c>
      <c r="AZ263" s="37" t="s">
        <v>348</v>
      </c>
      <c r="BA263" s="21" t="s">
        <v>59</v>
      </c>
      <c r="BC263" s="35">
        <f>AW263+AX263</f>
        <v>0</v>
      </c>
      <c r="BD263" s="35">
        <f>G263/(100-BE263)*100</f>
        <v>0</v>
      </c>
      <c r="BE263" s="35">
        <v>0</v>
      </c>
      <c r="BF263" s="35">
        <f>L263</f>
        <v>0</v>
      </c>
      <c r="BH263" s="35">
        <f>F263*AO263</f>
        <v>0</v>
      </c>
      <c r="BI263" s="35">
        <f>F263*AP263</f>
        <v>0</v>
      </c>
      <c r="BJ263" s="35">
        <f>F263*G263</f>
        <v>0</v>
      </c>
      <c r="BK263" s="35"/>
      <c r="BL263" s="35">
        <v>762</v>
      </c>
    </row>
    <row r="264" spans="1:13" ht="15" customHeight="1">
      <c r="A264" s="38"/>
      <c r="C264" s="39" t="s">
        <v>529</v>
      </c>
      <c r="D264" s="39" t="s">
        <v>530</v>
      </c>
      <c r="F264" s="40">
        <v>83.6</v>
      </c>
      <c r="M264" s="41"/>
    </row>
    <row r="265" spans="1:64" ht="15" customHeight="1">
      <c r="A265" s="34" t="s">
        <v>531</v>
      </c>
      <c r="B265" s="11" t="s">
        <v>532</v>
      </c>
      <c r="C265" s="11" t="s">
        <v>533</v>
      </c>
      <c r="D265" s="11"/>
      <c r="E265" s="11" t="s">
        <v>85</v>
      </c>
      <c r="F265" s="35">
        <v>118.6432</v>
      </c>
      <c r="G265" s="35">
        <v>0</v>
      </c>
      <c r="H265" s="35">
        <f>F265*AO265</f>
        <v>0</v>
      </c>
      <c r="I265" s="35">
        <f>F265*AP265</f>
        <v>0</v>
      </c>
      <c r="J265" s="35">
        <f>F265*G265</f>
        <v>0</v>
      </c>
      <c r="K265" s="35">
        <v>0.01275</v>
      </c>
      <c r="L265" s="35">
        <f>F265*K265</f>
        <v>1.19</v>
      </c>
      <c r="M265" s="36" t="s">
        <v>86</v>
      </c>
      <c r="Z265" s="35">
        <f>IF(AQ265="5",BJ265,0)</f>
        <v>0</v>
      </c>
      <c r="AB265" s="35">
        <f>IF(AQ265="1",BH265,0)</f>
        <v>0</v>
      </c>
      <c r="AC265" s="35">
        <f>IF(AQ265="1",BI265,0)</f>
        <v>0</v>
      </c>
      <c r="AD265" s="35">
        <f>IF(AQ265="7",BH265,0)</f>
        <v>0</v>
      </c>
      <c r="AE265" s="35">
        <f>IF(AQ265="7",BI265,0)</f>
        <v>0</v>
      </c>
      <c r="AF265" s="35">
        <f>IF(AQ265="2",BH265,0)</f>
        <v>0</v>
      </c>
      <c r="AG265" s="35">
        <f>IF(AQ265="2",BI265,0)</f>
        <v>0</v>
      </c>
      <c r="AH265" s="35">
        <f>IF(AQ265="0",BJ265,0)</f>
        <v>0</v>
      </c>
      <c r="AI265" s="21"/>
      <c r="AJ265" s="35">
        <f>IF(AN265=0,J265,0)</f>
        <v>0</v>
      </c>
      <c r="AK265" s="35">
        <f>IF(AN265=15,J265,0)</f>
        <v>0</v>
      </c>
      <c r="AL265" s="35">
        <f>IF(AN265=21,J265,0)</f>
        <v>0</v>
      </c>
      <c r="AN265" s="35">
        <v>15</v>
      </c>
      <c r="AO265" s="35">
        <f>G265*1</f>
        <v>0</v>
      </c>
      <c r="AP265" s="35">
        <f>G265*(1-1)</f>
        <v>0</v>
      </c>
      <c r="AQ265" s="37" t="s">
        <v>82</v>
      </c>
      <c r="AV265" s="35">
        <f>AW265+AX265</f>
        <v>0</v>
      </c>
      <c r="AW265" s="35">
        <f>F265*AO265</f>
        <v>0</v>
      </c>
      <c r="AX265" s="35">
        <f>F265*AP265</f>
        <v>0</v>
      </c>
      <c r="AY265" s="37" t="s">
        <v>528</v>
      </c>
      <c r="AZ265" s="37" t="s">
        <v>348</v>
      </c>
      <c r="BA265" s="21" t="s">
        <v>59</v>
      </c>
      <c r="BC265" s="35">
        <f>AW265+AX265</f>
        <v>0</v>
      </c>
      <c r="BD265" s="35">
        <f>G265/(100-BE265)*100</f>
        <v>0</v>
      </c>
      <c r="BE265" s="35">
        <v>0</v>
      </c>
      <c r="BF265" s="35">
        <f>L265</f>
        <v>1.19</v>
      </c>
      <c r="BH265" s="35">
        <f>F265*AO265</f>
        <v>0</v>
      </c>
      <c r="BI265" s="35">
        <f>F265*AP265</f>
        <v>0</v>
      </c>
      <c r="BJ265" s="35">
        <f>F265*G265</f>
        <v>0</v>
      </c>
      <c r="BK265" s="35"/>
      <c r="BL265" s="35">
        <v>762</v>
      </c>
    </row>
    <row r="266" spans="1:13" ht="15" customHeight="1">
      <c r="A266" s="38"/>
      <c r="C266" s="39" t="s">
        <v>534</v>
      </c>
      <c r="D266" s="39"/>
      <c r="F266" s="40">
        <v>83.6</v>
      </c>
      <c r="M266" s="41"/>
    </row>
    <row r="267" spans="1:13" ht="15" customHeight="1">
      <c r="A267" s="38"/>
      <c r="C267" s="39" t="s">
        <v>535</v>
      </c>
      <c r="D267" s="39" t="s">
        <v>536</v>
      </c>
      <c r="F267" s="40">
        <v>30.480000000000004</v>
      </c>
      <c r="M267" s="41"/>
    </row>
    <row r="268" spans="1:13" ht="15" customHeight="1">
      <c r="A268" s="38"/>
      <c r="C268" s="39" t="s">
        <v>537</v>
      </c>
      <c r="D268" s="39"/>
      <c r="F268" s="40">
        <v>4.5632</v>
      </c>
      <c r="M268" s="41"/>
    </row>
    <row r="269" spans="1:64" ht="15" customHeight="1">
      <c r="A269" s="34" t="s">
        <v>538</v>
      </c>
      <c r="B269" s="11" t="s">
        <v>539</v>
      </c>
      <c r="C269" s="11" t="s">
        <v>540</v>
      </c>
      <c r="D269" s="11"/>
      <c r="E269" s="11" t="s">
        <v>93</v>
      </c>
      <c r="F269" s="35">
        <v>83.6</v>
      </c>
      <c r="G269" s="35">
        <v>0</v>
      </c>
      <c r="H269" s="35">
        <f>F269*AO269</f>
        <v>0</v>
      </c>
      <c r="I269" s="35">
        <f>F269*AP269</f>
        <v>0</v>
      </c>
      <c r="J269" s="35">
        <f>F269*G269</f>
        <v>0</v>
      </c>
      <c r="K269" s="35">
        <v>0.00018</v>
      </c>
      <c r="L269" s="35">
        <f>F269*K269</f>
        <v>0</v>
      </c>
      <c r="M269" s="36" t="s">
        <v>86</v>
      </c>
      <c r="Z269" s="35">
        <f>IF(AQ269="5",BJ269,0)</f>
        <v>0</v>
      </c>
      <c r="AB269" s="35">
        <f>IF(AQ269="1",BH269,0)</f>
        <v>0</v>
      </c>
      <c r="AC269" s="35">
        <f>IF(AQ269="1",BI269,0)</f>
        <v>0</v>
      </c>
      <c r="AD269" s="35">
        <f>IF(AQ269="7",BH269,0)</f>
        <v>0</v>
      </c>
      <c r="AE269" s="35">
        <f>IF(AQ269="7",BI269,0)</f>
        <v>0</v>
      </c>
      <c r="AF269" s="35">
        <f>IF(AQ269="2",BH269,0)</f>
        <v>0</v>
      </c>
      <c r="AG269" s="35">
        <f>IF(AQ269="2",BI269,0)</f>
        <v>0</v>
      </c>
      <c r="AH269" s="35">
        <f>IF(AQ269="0",BJ269,0)</f>
        <v>0</v>
      </c>
      <c r="AI269" s="21"/>
      <c r="AJ269" s="35">
        <f>IF(AN269=0,J269,0)</f>
        <v>0</v>
      </c>
      <c r="AK269" s="35">
        <f>IF(AN269=15,J269,0)</f>
        <v>0</v>
      </c>
      <c r="AL269" s="35">
        <f>IF(AN269=21,J269,0)</f>
        <v>0</v>
      </c>
      <c r="AN269" s="35">
        <v>15</v>
      </c>
      <c r="AO269" s="35">
        <f>G269*0.65818620312445</f>
        <v>0</v>
      </c>
      <c r="AP269" s="35">
        <f>G269*(1-0.65818620312445)</f>
        <v>0</v>
      </c>
      <c r="AQ269" s="37" t="s">
        <v>82</v>
      </c>
      <c r="AV269" s="35">
        <f>AW269+AX269</f>
        <v>0</v>
      </c>
      <c r="AW269" s="35">
        <f>F269*AO269</f>
        <v>0</v>
      </c>
      <c r="AX269" s="35">
        <f>F269*AP269</f>
        <v>0</v>
      </c>
      <c r="AY269" s="37" t="s">
        <v>528</v>
      </c>
      <c r="AZ269" s="37" t="s">
        <v>348</v>
      </c>
      <c r="BA269" s="21" t="s">
        <v>59</v>
      </c>
      <c r="BC269" s="35">
        <f>AW269+AX269</f>
        <v>0</v>
      </c>
      <c r="BD269" s="35">
        <f>G269/(100-BE269)*100</f>
        <v>0</v>
      </c>
      <c r="BE269" s="35">
        <v>0</v>
      </c>
      <c r="BF269" s="35">
        <f>L269</f>
        <v>0</v>
      </c>
      <c r="BH269" s="35">
        <f>F269*AO269</f>
        <v>0</v>
      </c>
      <c r="BI269" s="35">
        <f>F269*AP269</f>
        <v>0</v>
      </c>
      <c r="BJ269" s="35">
        <f>F269*G269</f>
        <v>0</v>
      </c>
      <c r="BK269" s="35"/>
      <c r="BL269" s="35">
        <v>762</v>
      </c>
    </row>
    <row r="270" spans="1:13" ht="15" customHeight="1">
      <c r="A270" s="38"/>
      <c r="C270" s="39" t="s">
        <v>534</v>
      </c>
      <c r="D270" s="39" t="s">
        <v>541</v>
      </c>
      <c r="F270" s="40">
        <v>83.6</v>
      </c>
      <c r="M270" s="41"/>
    </row>
    <row r="271" spans="1:64" ht="15" customHeight="1">
      <c r="A271" s="34" t="s">
        <v>542</v>
      </c>
      <c r="B271" s="11" t="s">
        <v>543</v>
      </c>
      <c r="C271" s="11" t="s">
        <v>544</v>
      </c>
      <c r="D271" s="11"/>
      <c r="E271" s="11" t="s">
        <v>85</v>
      </c>
      <c r="F271" s="35">
        <v>30.48</v>
      </c>
      <c r="G271" s="35">
        <v>0</v>
      </c>
      <c r="H271" s="35">
        <f>F271*AO271</f>
        <v>0</v>
      </c>
      <c r="I271" s="35">
        <f>F271*AP271</f>
        <v>0</v>
      </c>
      <c r="J271" s="35">
        <f>F271*G271</f>
        <v>0</v>
      </c>
      <c r="K271" s="35">
        <v>0.01416</v>
      </c>
      <c r="L271" s="35">
        <f>F271*K271</f>
        <v>0.3</v>
      </c>
      <c r="M271" s="36" t="s">
        <v>86</v>
      </c>
      <c r="Z271" s="35">
        <f>IF(AQ271="5",BJ271,0)</f>
        <v>0</v>
      </c>
      <c r="AB271" s="35">
        <f>IF(AQ271="1",BH271,0)</f>
        <v>0</v>
      </c>
      <c r="AC271" s="35">
        <f>IF(AQ271="1",BI271,0)</f>
        <v>0</v>
      </c>
      <c r="AD271" s="35">
        <f>IF(AQ271="7",BH271,0)</f>
        <v>0</v>
      </c>
      <c r="AE271" s="35">
        <f>IF(AQ271="7",BI271,0)</f>
        <v>0</v>
      </c>
      <c r="AF271" s="35">
        <f>IF(AQ271="2",BH271,0)</f>
        <v>0</v>
      </c>
      <c r="AG271" s="35">
        <f>IF(AQ271="2",BI271,0)</f>
        <v>0</v>
      </c>
      <c r="AH271" s="35">
        <f>IF(AQ271="0",BJ271,0)</f>
        <v>0</v>
      </c>
      <c r="AI271" s="21"/>
      <c r="AJ271" s="35">
        <f>IF(AN271=0,J271,0)</f>
        <v>0</v>
      </c>
      <c r="AK271" s="35">
        <f>IF(AN271=15,J271,0)</f>
        <v>0</v>
      </c>
      <c r="AL271" s="35">
        <f>IF(AN271=21,J271,0)</f>
        <v>0</v>
      </c>
      <c r="AN271" s="35">
        <v>15</v>
      </c>
      <c r="AO271" s="35">
        <f>G271*0.0676066936860564</f>
        <v>0</v>
      </c>
      <c r="AP271" s="35">
        <f>G271*(1-0.0676066936860564)</f>
        <v>0</v>
      </c>
      <c r="AQ271" s="37" t="s">
        <v>82</v>
      </c>
      <c r="AV271" s="35">
        <f>AW271+AX271</f>
        <v>0</v>
      </c>
      <c r="AW271" s="35">
        <f>F271*AO271</f>
        <v>0</v>
      </c>
      <c r="AX271" s="35">
        <f>F271*AP271</f>
        <v>0</v>
      </c>
      <c r="AY271" s="37" t="s">
        <v>528</v>
      </c>
      <c r="AZ271" s="37" t="s">
        <v>348</v>
      </c>
      <c r="BA271" s="21" t="s">
        <v>59</v>
      </c>
      <c r="BC271" s="35">
        <f>AW271+AX271</f>
        <v>0</v>
      </c>
      <c r="BD271" s="35">
        <f>G271/(100-BE271)*100</f>
        <v>0</v>
      </c>
      <c r="BE271" s="35">
        <v>0</v>
      </c>
      <c r="BF271" s="35">
        <f>L271</f>
        <v>0.3</v>
      </c>
      <c r="BH271" s="35">
        <f>F271*AO271</f>
        <v>0</v>
      </c>
      <c r="BI271" s="35">
        <f>F271*AP271</f>
        <v>0</v>
      </c>
      <c r="BJ271" s="35">
        <f>F271*G271</f>
        <v>0</v>
      </c>
      <c r="BK271" s="35"/>
      <c r="BL271" s="35">
        <v>762</v>
      </c>
    </row>
    <row r="272" spans="1:13" ht="15" customHeight="1">
      <c r="A272" s="38"/>
      <c r="C272" s="39" t="s">
        <v>545</v>
      </c>
      <c r="D272" s="39" t="s">
        <v>536</v>
      </c>
      <c r="F272" s="40">
        <v>30.480000000000004</v>
      </c>
      <c r="M272" s="41"/>
    </row>
    <row r="273" spans="1:64" ht="15" customHeight="1">
      <c r="A273" s="34" t="s">
        <v>546</v>
      </c>
      <c r="B273" s="11" t="s">
        <v>547</v>
      </c>
      <c r="C273" s="11" t="s">
        <v>548</v>
      </c>
      <c r="D273" s="11"/>
      <c r="E273" s="11" t="s">
        <v>172</v>
      </c>
      <c r="F273" s="35">
        <v>1.96</v>
      </c>
      <c r="G273" s="35">
        <v>0</v>
      </c>
      <c r="H273" s="35">
        <f>F273*AO273</f>
        <v>0</v>
      </c>
      <c r="I273" s="35">
        <f>F273*AP273</f>
        <v>0</v>
      </c>
      <c r="J273" s="35">
        <f>F273*G273</f>
        <v>0</v>
      </c>
      <c r="K273" s="35">
        <v>0</v>
      </c>
      <c r="L273" s="35">
        <f>F273*K273</f>
        <v>0</v>
      </c>
      <c r="M273" s="36" t="s">
        <v>57</v>
      </c>
      <c r="Z273" s="35">
        <f>IF(AQ273="5",BJ273,0)</f>
        <v>0</v>
      </c>
      <c r="AB273" s="35">
        <f>IF(AQ273="1",BH273,0)</f>
        <v>0</v>
      </c>
      <c r="AC273" s="35">
        <f>IF(AQ273="1",BI273,0)</f>
        <v>0</v>
      </c>
      <c r="AD273" s="35">
        <f>IF(AQ273="7",BH273,0)</f>
        <v>0</v>
      </c>
      <c r="AE273" s="35">
        <f>IF(AQ273="7",BI273,0)</f>
        <v>0</v>
      </c>
      <c r="AF273" s="35">
        <f>IF(AQ273="2",BH273,0)</f>
        <v>0</v>
      </c>
      <c r="AG273" s="35">
        <f>IF(AQ273="2",BI273,0)</f>
        <v>0</v>
      </c>
      <c r="AH273" s="35">
        <f>IF(AQ273="0",BJ273,0)</f>
        <v>0</v>
      </c>
      <c r="AI273" s="21"/>
      <c r="AJ273" s="35">
        <f>IF(AN273=0,J273,0)</f>
        <v>0</v>
      </c>
      <c r="AK273" s="35">
        <f>IF(AN273=15,J273,0)</f>
        <v>0</v>
      </c>
      <c r="AL273" s="35">
        <f>IF(AN273=21,J273,0)</f>
        <v>0</v>
      </c>
      <c r="AN273" s="35">
        <v>15</v>
      </c>
      <c r="AO273" s="35">
        <f>G273*0</f>
        <v>0</v>
      </c>
      <c r="AP273" s="35">
        <f>G273*(1-0)</f>
        <v>0</v>
      </c>
      <c r="AQ273" s="37" t="s">
        <v>70</v>
      </c>
      <c r="AV273" s="35">
        <f>AW273+AX273</f>
        <v>0</v>
      </c>
      <c r="AW273" s="35">
        <f>F273*AO273</f>
        <v>0</v>
      </c>
      <c r="AX273" s="35">
        <f>F273*AP273</f>
        <v>0</v>
      </c>
      <c r="AY273" s="37" t="s">
        <v>528</v>
      </c>
      <c r="AZ273" s="37" t="s">
        <v>348</v>
      </c>
      <c r="BA273" s="21" t="s">
        <v>59</v>
      </c>
      <c r="BC273" s="35">
        <f>AW273+AX273</f>
        <v>0</v>
      </c>
      <c r="BD273" s="35">
        <f>G273/(100-BE273)*100</f>
        <v>0</v>
      </c>
      <c r="BE273" s="35">
        <v>0</v>
      </c>
      <c r="BF273" s="35">
        <f>L273</f>
        <v>0</v>
      </c>
      <c r="BH273" s="35">
        <f>F273*AO273</f>
        <v>0</v>
      </c>
      <c r="BI273" s="35">
        <f>F273*AP273</f>
        <v>0</v>
      </c>
      <c r="BJ273" s="35">
        <f>F273*G273</f>
        <v>0</v>
      </c>
      <c r="BK273" s="35"/>
      <c r="BL273" s="35">
        <v>762</v>
      </c>
    </row>
    <row r="274" spans="1:13" ht="15" customHeight="1">
      <c r="A274" s="38"/>
      <c r="C274" s="39" t="s">
        <v>549</v>
      </c>
      <c r="D274" s="39"/>
      <c r="F274" s="40">
        <v>1.9600000000000002</v>
      </c>
      <c r="M274" s="41"/>
    </row>
    <row r="275" spans="1:47" ht="15" customHeight="1">
      <c r="A275" s="30"/>
      <c r="B275" s="31" t="s">
        <v>550</v>
      </c>
      <c r="C275" s="31" t="s">
        <v>551</v>
      </c>
      <c r="D275" s="31"/>
      <c r="E275" s="32" t="s">
        <v>4</v>
      </c>
      <c r="F275" s="32" t="s">
        <v>4</v>
      </c>
      <c r="G275" s="32" t="s">
        <v>4</v>
      </c>
      <c r="H275" s="3">
        <f>SUM(H276:H327)</f>
        <v>0</v>
      </c>
      <c r="I275" s="3">
        <f>SUM(I276:I327)</f>
        <v>0</v>
      </c>
      <c r="J275" s="3">
        <f>SUM(J276:J327)</f>
        <v>0</v>
      </c>
      <c r="K275" s="21"/>
      <c r="L275" s="3">
        <f>SUM(L276:L327)</f>
        <v>0.12</v>
      </c>
      <c r="M275" s="33"/>
      <c r="AI275" s="21"/>
      <c r="AS275" s="3">
        <f>SUM(AJ276:AJ327)</f>
        <v>0</v>
      </c>
      <c r="AT275" s="3">
        <f>SUM(AK276:AK327)</f>
        <v>0</v>
      </c>
      <c r="AU275" s="3">
        <f>SUM(AL276:AL327)</f>
        <v>0</v>
      </c>
    </row>
    <row r="276" spans="1:64" ht="15" customHeight="1">
      <c r="A276" s="34" t="s">
        <v>552</v>
      </c>
      <c r="B276" s="11" t="s">
        <v>553</v>
      </c>
      <c r="C276" s="11" t="s">
        <v>554</v>
      </c>
      <c r="D276" s="11"/>
      <c r="E276" s="11" t="s">
        <v>163</v>
      </c>
      <c r="F276" s="35">
        <v>1</v>
      </c>
      <c r="G276" s="35">
        <v>0</v>
      </c>
      <c r="H276" s="35">
        <f>F276*AO276</f>
        <v>0</v>
      </c>
      <c r="I276" s="35">
        <f>F276*AP276</f>
        <v>0</v>
      </c>
      <c r="J276" s="35">
        <f>F276*G276</f>
        <v>0</v>
      </c>
      <c r="K276" s="35">
        <v>0.0065</v>
      </c>
      <c r="L276" s="35">
        <f>F276*K276</f>
        <v>0.01</v>
      </c>
      <c r="M276" s="36" t="s">
        <v>57</v>
      </c>
      <c r="Z276" s="35">
        <f>IF(AQ276="5",BJ276,0)</f>
        <v>0</v>
      </c>
      <c r="AB276" s="35">
        <f>IF(AQ276="1",BH276,0)</f>
        <v>0</v>
      </c>
      <c r="AC276" s="35">
        <f>IF(AQ276="1",BI276,0)</f>
        <v>0</v>
      </c>
      <c r="AD276" s="35">
        <f>IF(AQ276="7",BH276,0)</f>
        <v>0</v>
      </c>
      <c r="AE276" s="35">
        <f>IF(AQ276="7",BI276,0)</f>
        <v>0</v>
      </c>
      <c r="AF276" s="35">
        <f>IF(AQ276="2",BH276,0)</f>
        <v>0</v>
      </c>
      <c r="AG276" s="35">
        <f>IF(AQ276="2",BI276,0)</f>
        <v>0</v>
      </c>
      <c r="AH276" s="35">
        <f>IF(AQ276="0",BJ276,0)</f>
        <v>0</v>
      </c>
      <c r="AI276" s="21"/>
      <c r="AJ276" s="35">
        <f>IF(AN276=0,J276,0)</f>
        <v>0</v>
      </c>
      <c r="AK276" s="35">
        <f>IF(AN276=15,J276,0)</f>
        <v>0</v>
      </c>
      <c r="AL276" s="35">
        <f>IF(AN276=21,J276,0)</f>
        <v>0</v>
      </c>
      <c r="AN276" s="35">
        <v>15</v>
      </c>
      <c r="AO276" s="35">
        <f>G276*1</f>
        <v>0</v>
      </c>
      <c r="AP276" s="35">
        <f>G276*(1-1)</f>
        <v>0</v>
      </c>
      <c r="AQ276" s="37" t="s">
        <v>82</v>
      </c>
      <c r="AV276" s="35">
        <f>AW276+AX276</f>
        <v>0</v>
      </c>
      <c r="AW276" s="35">
        <f>F276*AO276</f>
        <v>0</v>
      </c>
      <c r="AX276" s="35">
        <f>F276*AP276</f>
        <v>0</v>
      </c>
      <c r="AY276" s="37" t="s">
        <v>555</v>
      </c>
      <c r="AZ276" s="37" t="s">
        <v>348</v>
      </c>
      <c r="BA276" s="21" t="s">
        <v>59</v>
      </c>
      <c r="BC276" s="35">
        <f>AW276+AX276</f>
        <v>0</v>
      </c>
      <c r="BD276" s="35">
        <f>G276/(100-BE276)*100</f>
        <v>0</v>
      </c>
      <c r="BE276" s="35">
        <v>0</v>
      </c>
      <c r="BF276" s="35">
        <f>L276</f>
        <v>0.01</v>
      </c>
      <c r="BH276" s="35">
        <f>F276*AO276</f>
        <v>0</v>
      </c>
      <c r="BI276" s="35">
        <f>F276*AP276</f>
        <v>0</v>
      </c>
      <c r="BJ276" s="35">
        <f>F276*G276</f>
        <v>0</v>
      </c>
      <c r="BK276" s="35"/>
      <c r="BL276" s="35">
        <v>764</v>
      </c>
    </row>
    <row r="277" spans="1:13" ht="15" customHeight="1">
      <c r="A277" s="38"/>
      <c r="C277" s="39" t="s">
        <v>53</v>
      </c>
      <c r="D277" s="39"/>
      <c r="F277" s="40">
        <v>1</v>
      </c>
      <c r="M277" s="41"/>
    </row>
    <row r="278" spans="1:64" ht="15" customHeight="1">
      <c r="A278" s="34" t="s">
        <v>556</v>
      </c>
      <c r="B278" s="11" t="s">
        <v>557</v>
      </c>
      <c r="C278" s="11" t="s">
        <v>558</v>
      </c>
      <c r="D278" s="11"/>
      <c r="E278" s="11" t="s">
        <v>93</v>
      </c>
      <c r="F278" s="35">
        <v>302.4</v>
      </c>
      <c r="G278" s="35">
        <v>0</v>
      </c>
      <c r="H278" s="35">
        <f>F278*AO278</f>
        <v>0</v>
      </c>
      <c r="I278" s="35">
        <f>F278*AP278</f>
        <v>0</v>
      </c>
      <c r="J278" s="35">
        <f>F278*G278</f>
        <v>0</v>
      </c>
      <c r="K278" s="35">
        <v>0.00135</v>
      </c>
      <c r="L278" s="35">
        <f>F278*K278</f>
        <v>0</v>
      </c>
      <c r="M278" s="36" t="s">
        <v>57</v>
      </c>
      <c r="Z278" s="35">
        <f>IF(AQ278="5",BJ278,0)</f>
        <v>0</v>
      </c>
      <c r="AB278" s="35">
        <f>IF(AQ278="1",BH278,0)</f>
        <v>0</v>
      </c>
      <c r="AC278" s="35">
        <f>IF(AQ278="1",BI278,0)</f>
        <v>0</v>
      </c>
      <c r="AD278" s="35">
        <f>IF(AQ278="7",BH278,0)</f>
        <v>0</v>
      </c>
      <c r="AE278" s="35">
        <f>IF(AQ278="7",BI278,0)</f>
        <v>0</v>
      </c>
      <c r="AF278" s="35">
        <f>IF(AQ278="2",BH278,0)</f>
        <v>0</v>
      </c>
      <c r="AG278" s="35">
        <f>IF(AQ278="2",BI278,0)</f>
        <v>0</v>
      </c>
      <c r="AH278" s="35">
        <f>IF(AQ278="0",BJ278,0)</f>
        <v>0</v>
      </c>
      <c r="AI278" s="21"/>
      <c r="AJ278" s="35">
        <f>IF(AN278=0,J278,0)</f>
        <v>0</v>
      </c>
      <c r="AK278" s="35">
        <f>IF(AN278=15,J278,0)</f>
        <v>0</v>
      </c>
      <c r="AL278" s="35">
        <f>IF(AN278=21,J278,0)</f>
        <v>0</v>
      </c>
      <c r="AN278" s="35">
        <v>15</v>
      </c>
      <c r="AO278" s="35">
        <f>G278*0</f>
        <v>0</v>
      </c>
      <c r="AP278" s="35">
        <f>G278*(1-0)</f>
        <v>0</v>
      </c>
      <c r="AQ278" s="37" t="s">
        <v>82</v>
      </c>
      <c r="AV278" s="35">
        <f>AW278+AX278</f>
        <v>0</v>
      </c>
      <c r="AW278" s="35">
        <f>F278*AO278</f>
        <v>0</v>
      </c>
      <c r="AX278" s="35">
        <f>F278*AP278</f>
        <v>0</v>
      </c>
      <c r="AY278" s="37" t="s">
        <v>555</v>
      </c>
      <c r="AZ278" s="37" t="s">
        <v>348</v>
      </c>
      <c r="BA278" s="21" t="s">
        <v>59</v>
      </c>
      <c r="BC278" s="35">
        <f>AW278+AX278</f>
        <v>0</v>
      </c>
      <c r="BD278" s="35">
        <f>G278/(100-BE278)*100</f>
        <v>0</v>
      </c>
      <c r="BE278" s="35">
        <v>0</v>
      </c>
      <c r="BF278" s="35">
        <f>L278</f>
        <v>0</v>
      </c>
      <c r="BH278" s="35">
        <f>F278*AO278</f>
        <v>0</v>
      </c>
      <c r="BI278" s="35">
        <f>F278*AP278</f>
        <v>0</v>
      </c>
      <c r="BJ278" s="35">
        <f>F278*G278</f>
        <v>0</v>
      </c>
      <c r="BK278" s="35"/>
      <c r="BL278" s="35">
        <v>764</v>
      </c>
    </row>
    <row r="279" spans="1:13" ht="15" customHeight="1">
      <c r="A279" s="38"/>
      <c r="C279" s="39" t="s">
        <v>559</v>
      </c>
      <c r="D279" s="39"/>
      <c r="F279" s="40">
        <v>129.60000000000002</v>
      </c>
      <c r="M279" s="41"/>
    </row>
    <row r="280" spans="1:13" ht="15" customHeight="1">
      <c r="A280" s="38"/>
      <c r="C280" s="39" t="s">
        <v>560</v>
      </c>
      <c r="D280" s="39"/>
      <c r="F280" s="40">
        <v>172.8</v>
      </c>
      <c r="M280" s="41"/>
    </row>
    <row r="281" spans="1:64" ht="15" customHeight="1">
      <c r="A281" s="34" t="s">
        <v>561</v>
      </c>
      <c r="B281" s="11" t="s">
        <v>562</v>
      </c>
      <c r="C281" s="11" t="s">
        <v>563</v>
      </c>
      <c r="D281" s="11"/>
      <c r="E281" s="11" t="s">
        <v>93</v>
      </c>
      <c r="F281" s="35">
        <v>302.4</v>
      </c>
      <c r="G281" s="35">
        <v>0</v>
      </c>
      <c r="H281" s="35">
        <f>F281*AO281</f>
        <v>0</v>
      </c>
      <c r="I281" s="35">
        <f>F281*AP281</f>
        <v>0</v>
      </c>
      <c r="J281" s="35">
        <f>F281*G281</f>
        <v>0</v>
      </c>
      <c r="K281" s="35">
        <v>0.00224</v>
      </c>
      <c r="L281" s="35">
        <f>F281*K281</f>
        <v>0</v>
      </c>
      <c r="M281" s="36" t="s">
        <v>57</v>
      </c>
      <c r="Z281" s="35">
        <f>IF(AQ281="5",BJ281,0)</f>
        <v>0</v>
      </c>
      <c r="AB281" s="35">
        <f>IF(AQ281="1",BH281,0)</f>
        <v>0</v>
      </c>
      <c r="AC281" s="35">
        <f>IF(AQ281="1",BI281,0)</f>
        <v>0</v>
      </c>
      <c r="AD281" s="35">
        <f>IF(AQ281="7",BH281,0)</f>
        <v>0</v>
      </c>
      <c r="AE281" s="35">
        <f>IF(AQ281="7",BI281,0)</f>
        <v>0</v>
      </c>
      <c r="AF281" s="35">
        <f>IF(AQ281="2",BH281,0)</f>
        <v>0</v>
      </c>
      <c r="AG281" s="35">
        <f>IF(AQ281="2",BI281,0)</f>
        <v>0</v>
      </c>
      <c r="AH281" s="35">
        <f>IF(AQ281="0",BJ281,0)</f>
        <v>0</v>
      </c>
      <c r="AI281" s="21"/>
      <c r="AJ281" s="35">
        <f>IF(AN281=0,J281,0)</f>
        <v>0</v>
      </c>
      <c r="AK281" s="35">
        <f>IF(AN281=15,J281,0)</f>
        <v>0</v>
      </c>
      <c r="AL281" s="35">
        <f>IF(AN281=21,J281,0)</f>
        <v>0</v>
      </c>
      <c r="AN281" s="35">
        <v>15</v>
      </c>
      <c r="AO281" s="35">
        <f>G281*0.172734952481521</f>
        <v>0</v>
      </c>
      <c r="AP281" s="35">
        <f>G281*(1-0.172734952481521)</f>
        <v>0</v>
      </c>
      <c r="AQ281" s="37" t="s">
        <v>82</v>
      </c>
      <c r="AV281" s="35">
        <f>AW281+AX281</f>
        <v>0</v>
      </c>
      <c r="AW281" s="35">
        <f>F281*AO281</f>
        <v>0</v>
      </c>
      <c r="AX281" s="35">
        <f>F281*AP281</f>
        <v>0</v>
      </c>
      <c r="AY281" s="37" t="s">
        <v>555</v>
      </c>
      <c r="AZ281" s="37" t="s">
        <v>348</v>
      </c>
      <c r="BA281" s="21" t="s">
        <v>59</v>
      </c>
      <c r="BC281" s="35">
        <f>AW281+AX281</f>
        <v>0</v>
      </c>
      <c r="BD281" s="35">
        <f>G281/(100-BE281)*100</f>
        <v>0</v>
      </c>
      <c r="BE281" s="35">
        <v>0</v>
      </c>
      <c r="BF281" s="35">
        <f>L281</f>
        <v>0</v>
      </c>
      <c r="BH281" s="35">
        <f>F281*AO281</f>
        <v>0</v>
      </c>
      <c r="BI281" s="35">
        <f>F281*AP281</f>
        <v>0</v>
      </c>
      <c r="BJ281" s="35">
        <f>F281*G281</f>
        <v>0</v>
      </c>
      <c r="BK281" s="35"/>
      <c r="BL281" s="35">
        <v>764</v>
      </c>
    </row>
    <row r="282" spans="1:13" ht="15" customHeight="1">
      <c r="A282" s="38"/>
      <c r="C282" s="39" t="s">
        <v>564</v>
      </c>
      <c r="D282" s="39" t="s">
        <v>565</v>
      </c>
      <c r="F282" s="40">
        <v>302.40000000000003</v>
      </c>
      <c r="M282" s="41"/>
    </row>
    <row r="283" spans="1:64" ht="15" customHeight="1">
      <c r="A283" s="34" t="s">
        <v>566</v>
      </c>
      <c r="B283" s="11" t="s">
        <v>567</v>
      </c>
      <c r="C283" s="11" t="s">
        <v>568</v>
      </c>
      <c r="D283" s="11"/>
      <c r="E283" s="11" t="s">
        <v>163</v>
      </c>
      <c r="F283" s="35">
        <v>25.5</v>
      </c>
      <c r="G283" s="35">
        <v>0</v>
      </c>
      <c r="H283" s="35">
        <f>F283*AO283</f>
        <v>0</v>
      </c>
      <c r="I283" s="35">
        <f>F283*AP283</f>
        <v>0</v>
      </c>
      <c r="J283" s="35">
        <f>F283*G283</f>
        <v>0</v>
      </c>
      <c r="K283" s="35">
        <v>4E-05</v>
      </c>
      <c r="L283" s="35">
        <f>F283*K283</f>
        <v>0</v>
      </c>
      <c r="M283" s="36" t="s">
        <v>86</v>
      </c>
      <c r="Z283" s="35">
        <f>IF(AQ283="5",BJ283,0)</f>
        <v>0</v>
      </c>
      <c r="AB283" s="35">
        <f>IF(AQ283="1",BH283,0)</f>
        <v>0</v>
      </c>
      <c r="AC283" s="35">
        <f>IF(AQ283="1",BI283,0)</f>
        <v>0</v>
      </c>
      <c r="AD283" s="35">
        <f>IF(AQ283="7",BH283,0)</f>
        <v>0</v>
      </c>
      <c r="AE283" s="35">
        <f>IF(AQ283="7",BI283,0)</f>
        <v>0</v>
      </c>
      <c r="AF283" s="35">
        <f>IF(AQ283="2",BH283,0)</f>
        <v>0</v>
      </c>
      <c r="AG283" s="35">
        <f>IF(AQ283="2",BI283,0)</f>
        <v>0</v>
      </c>
      <c r="AH283" s="35">
        <f>IF(AQ283="0",BJ283,0)</f>
        <v>0</v>
      </c>
      <c r="AI283" s="21"/>
      <c r="AJ283" s="35">
        <f>IF(AN283=0,J283,0)</f>
        <v>0</v>
      </c>
      <c r="AK283" s="35">
        <f>IF(AN283=15,J283,0)</f>
        <v>0</v>
      </c>
      <c r="AL283" s="35">
        <f>IF(AN283=21,J283,0)</f>
        <v>0</v>
      </c>
      <c r="AN283" s="35">
        <v>15</v>
      </c>
      <c r="AO283" s="35">
        <f>G283*0.132883308968957</f>
        <v>0</v>
      </c>
      <c r="AP283" s="35">
        <f>G283*(1-0.132883308968957)</f>
        <v>0</v>
      </c>
      <c r="AQ283" s="37" t="s">
        <v>82</v>
      </c>
      <c r="AV283" s="35">
        <f>AW283+AX283</f>
        <v>0</v>
      </c>
      <c r="AW283" s="35">
        <f>F283*AO283</f>
        <v>0</v>
      </c>
      <c r="AX283" s="35">
        <f>F283*AP283</f>
        <v>0</v>
      </c>
      <c r="AY283" s="37" t="s">
        <v>555</v>
      </c>
      <c r="AZ283" s="37" t="s">
        <v>348</v>
      </c>
      <c r="BA283" s="21" t="s">
        <v>59</v>
      </c>
      <c r="BC283" s="35">
        <f>AW283+AX283</f>
        <v>0</v>
      </c>
      <c r="BD283" s="35">
        <f>G283/(100-BE283)*100</f>
        <v>0</v>
      </c>
      <c r="BE283" s="35">
        <v>0</v>
      </c>
      <c r="BF283" s="35">
        <f>L283</f>
        <v>0</v>
      </c>
      <c r="BH283" s="35">
        <f>F283*AO283</f>
        <v>0</v>
      </c>
      <c r="BI283" s="35">
        <f>F283*AP283</f>
        <v>0</v>
      </c>
      <c r="BJ283" s="35">
        <f>F283*G283</f>
        <v>0</v>
      </c>
      <c r="BK283" s="35"/>
      <c r="BL283" s="35">
        <v>764</v>
      </c>
    </row>
    <row r="284" spans="1:13" ht="15" customHeight="1">
      <c r="A284" s="38"/>
      <c r="C284" s="39" t="s">
        <v>569</v>
      </c>
      <c r="D284" s="39" t="s">
        <v>570</v>
      </c>
      <c r="F284" s="40">
        <v>25.500000000000004</v>
      </c>
      <c r="M284" s="41"/>
    </row>
    <row r="285" spans="1:64" ht="15" customHeight="1">
      <c r="A285" s="34" t="s">
        <v>571</v>
      </c>
      <c r="B285" s="11" t="s">
        <v>572</v>
      </c>
      <c r="C285" s="11" t="s">
        <v>573</v>
      </c>
      <c r="D285" s="11"/>
      <c r="E285" s="11" t="s">
        <v>93</v>
      </c>
      <c r="F285" s="35">
        <v>25.5</v>
      </c>
      <c r="G285" s="35">
        <v>0</v>
      </c>
      <c r="H285" s="35">
        <f>F285*AO285</f>
        <v>0</v>
      </c>
      <c r="I285" s="35">
        <f>F285*AP285</f>
        <v>0</v>
      </c>
      <c r="J285" s="35">
        <f>F285*G285</f>
        <v>0</v>
      </c>
      <c r="K285" s="35">
        <v>3E-05</v>
      </c>
      <c r="L285" s="35">
        <f>F285*K285</f>
        <v>0</v>
      </c>
      <c r="M285" s="36" t="s">
        <v>86</v>
      </c>
      <c r="Z285" s="35">
        <f>IF(AQ285="5",BJ285,0)</f>
        <v>0</v>
      </c>
      <c r="AB285" s="35">
        <f>IF(AQ285="1",BH285,0)</f>
        <v>0</v>
      </c>
      <c r="AC285" s="35">
        <f>IF(AQ285="1",BI285,0)</f>
        <v>0</v>
      </c>
      <c r="AD285" s="35">
        <f>IF(AQ285="7",BH285,0)</f>
        <v>0</v>
      </c>
      <c r="AE285" s="35">
        <f>IF(AQ285="7",BI285,0)</f>
        <v>0</v>
      </c>
      <c r="AF285" s="35">
        <f>IF(AQ285="2",BH285,0)</f>
        <v>0</v>
      </c>
      <c r="AG285" s="35">
        <f>IF(AQ285="2",BI285,0)</f>
        <v>0</v>
      </c>
      <c r="AH285" s="35">
        <f>IF(AQ285="0",BJ285,0)</f>
        <v>0</v>
      </c>
      <c r="AI285" s="21"/>
      <c r="AJ285" s="35">
        <f>IF(AN285=0,J285,0)</f>
        <v>0</v>
      </c>
      <c r="AK285" s="35">
        <f>IF(AN285=15,J285,0)</f>
        <v>0</v>
      </c>
      <c r="AL285" s="35">
        <f>IF(AN285=21,J285,0)</f>
        <v>0</v>
      </c>
      <c r="AN285" s="35">
        <v>15</v>
      </c>
      <c r="AO285" s="35">
        <f>G285*0.0212232415902141</f>
        <v>0</v>
      </c>
      <c r="AP285" s="35">
        <f>G285*(1-0.0212232415902141)</f>
        <v>0</v>
      </c>
      <c r="AQ285" s="37" t="s">
        <v>82</v>
      </c>
      <c r="AV285" s="35">
        <f>AW285+AX285</f>
        <v>0</v>
      </c>
      <c r="AW285" s="35">
        <f>F285*AO285</f>
        <v>0</v>
      </c>
      <c r="AX285" s="35">
        <f>F285*AP285</f>
        <v>0</v>
      </c>
      <c r="AY285" s="37" t="s">
        <v>555</v>
      </c>
      <c r="AZ285" s="37" t="s">
        <v>348</v>
      </c>
      <c r="BA285" s="21" t="s">
        <v>59</v>
      </c>
      <c r="BC285" s="35">
        <f>AW285+AX285</f>
        <v>0</v>
      </c>
      <c r="BD285" s="35">
        <f>G285/(100-BE285)*100</f>
        <v>0</v>
      </c>
      <c r="BE285" s="35">
        <v>0</v>
      </c>
      <c r="BF285" s="35">
        <f>L285</f>
        <v>0</v>
      </c>
      <c r="BH285" s="35">
        <f>F285*AO285</f>
        <v>0</v>
      </c>
      <c r="BI285" s="35">
        <f>F285*AP285</f>
        <v>0</v>
      </c>
      <c r="BJ285" s="35">
        <f>F285*G285</f>
        <v>0</v>
      </c>
      <c r="BK285" s="35"/>
      <c r="BL285" s="35">
        <v>764</v>
      </c>
    </row>
    <row r="286" spans="1:13" ht="15" customHeight="1">
      <c r="A286" s="38"/>
      <c r="C286" s="39" t="s">
        <v>569</v>
      </c>
      <c r="D286" s="39" t="s">
        <v>570</v>
      </c>
      <c r="F286" s="40">
        <v>25.500000000000004</v>
      </c>
      <c r="M286" s="41"/>
    </row>
    <row r="287" spans="1:64" ht="15" customHeight="1">
      <c r="A287" s="34" t="s">
        <v>574</v>
      </c>
      <c r="B287" s="11" t="s">
        <v>575</v>
      </c>
      <c r="C287" s="11" t="s">
        <v>576</v>
      </c>
      <c r="D287" s="11"/>
      <c r="E287" s="11" t="s">
        <v>163</v>
      </c>
      <c r="F287" s="35">
        <v>5</v>
      </c>
      <c r="G287" s="35">
        <v>0</v>
      </c>
      <c r="H287" s="35">
        <f>F287*AO287</f>
        <v>0</v>
      </c>
      <c r="I287" s="35">
        <f>F287*AP287</f>
        <v>0</v>
      </c>
      <c r="J287" s="35">
        <f>F287*G287</f>
        <v>0</v>
      </c>
      <c r="K287" s="35">
        <v>3E-05</v>
      </c>
      <c r="L287" s="35">
        <f>F287*K287</f>
        <v>0</v>
      </c>
      <c r="M287" s="36" t="s">
        <v>86</v>
      </c>
      <c r="Z287" s="35">
        <f>IF(AQ287="5",BJ287,0)</f>
        <v>0</v>
      </c>
      <c r="AB287" s="35">
        <f>IF(AQ287="1",BH287,0)</f>
        <v>0</v>
      </c>
      <c r="AC287" s="35">
        <f>IF(AQ287="1",BI287,0)</f>
        <v>0</v>
      </c>
      <c r="AD287" s="35">
        <f>IF(AQ287="7",BH287,0)</f>
        <v>0</v>
      </c>
      <c r="AE287" s="35">
        <f>IF(AQ287="7",BI287,0)</f>
        <v>0</v>
      </c>
      <c r="AF287" s="35">
        <f>IF(AQ287="2",BH287,0)</f>
        <v>0</v>
      </c>
      <c r="AG287" s="35">
        <f>IF(AQ287="2",BI287,0)</f>
        <v>0</v>
      </c>
      <c r="AH287" s="35">
        <f>IF(AQ287="0",BJ287,0)</f>
        <v>0</v>
      </c>
      <c r="AI287" s="21"/>
      <c r="AJ287" s="35">
        <f>IF(AN287=0,J287,0)</f>
        <v>0</v>
      </c>
      <c r="AK287" s="35">
        <f>IF(AN287=15,J287,0)</f>
        <v>0</v>
      </c>
      <c r="AL287" s="35">
        <f>IF(AN287=21,J287,0)</f>
        <v>0</v>
      </c>
      <c r="AN287" s="35">
        <v>15</v>
      </c>
      <c r="AO287" s="35">
        <f>G287*0.0390417940876656</f>
        <v>0</v>
      </c>
      <c r="AP287" s="35">
        <f>G287*(1-0.0390417940876656)</f>
        <v>0</v>
      </c>
      <c r="AQ287" s="37" t="s">
        <v>82</v>
      </c>
      <c r="AV287" s="35">
        <f>AW287+AX287</f>
        <v>0</v>
      </c>
      <c r="AW287" s="35">
        <f>F287*AO287</f>
        <v>0</v>
      </c>
      <c r="AX287" s="35">
        <f>F287*AP287</f>
        <v>0</v>
      </c>
      <c r="AY287" s="37" t="s">
        <v>555</v>
      </c>
      <c r="AZ287" s="37" t="s">
        <v>348</v>
      </c>
      <c r="BA287" s="21" t="s">
        <v>59</v>
      </c>
      <c r="BC287" s="35">
        <f>AW287+AX287</f>
        <v>0</v>
      </c>
      <c r="BD287" s="35">
        <f>G287/(100-BE287)*100</f>
        <v>0</v>
      </c>
      <c r="BE287" s="35">
        <v>0</v>
      </c>
      <c r="BF287" s="35">
        <f>L287</f>
        <v>0</v>
      </c>
      <c r="BH287" s="35">
        <f>F287*AO287</f>
        <v>0</v>
      </c>
      <c r="BI287" s="35">
        <f>F287*AP287</f>
        <v>0</v>
      </c>
      <c r="BJ287" s="35">
        <f>F287*G287</f>
        <v>0</v>
      </c>
      <c r="BK287" s="35"/>
      <c r="BL287" s="35">
        <v>764</v>
      </c>
    </row>
    <row r="288" spans="1:13" ht="15" customHeight="1">
      <c r="A288" s="38"/>
      <c r="C288" s="39" t="s">
        <v>70</v>
      </c>
      <c r="D288" s="39" t="s">
        <v>570</v>
      </c>
      <c r="F288" s="40">
        <v>5</v>
      </c>
      <c r="M288" s="41"/>
    </row>
    <row r="289" spans="1:64" ht="15" customHeight="1">
      <c r="A289" s="34" t="s">
        <v>577</v>
      </c>
      <c r="B289" s="11" t="s">
        <v>578</v>
      </c>
      <c r="C289" s="11" t="s">
        <v>579</v>
      </c>
      <c r="D289" s="11"/>
      <c r="E289" s="11" t="s">
        <v>93</v>
      </c>
      <c r="F289" s="35">
        <v>5.2</v>
      </c>
      <c r="G289" s="35">
        <v>0</v>
      </c>
      <c r="H289" s="35">
        <f>F289*AO289</f>
        <v>0</v>
      </c>
      <c r="I289" s="35">
        <f>F289*AP289</f>
        <v>0</v>
      </c>
      <c r="J289" s="35">
        <f>F289*G289</f>
        <v>0</v>
      </c>
      <c r="K289" s="35">
        <v>0.00319</v>
      </c>
      <c r="L289" s="35">
        <f>F289*K289</f>
        <v>0</v>
      </c>
      <c r="M289" s="36" t="s">
        <v>86</v>
      </c>
      <c r="Z289" s="35">
        <f>IF(AQ289="5",BJ289,0)</f>
        <v>0</v>
      </c>
      <c r="AB289" s="35">
        <f>IF(AQ289="1",BH289,0)</f>
        <v>0</v>
      </c>
      <c r="AC289" s="35">
        <f>IF(AQ289="1",BI289,0)</f>
        <v>0</v>
      </c>
      <c r="AD289" s="35">
        <f>IF(AQ289="7",BH289,0)</f>
        <v>0</v>
      </c>
      <c r="AE289" s="35">
        <f>IF(AQ289="7",BI289,0)</f>
        <v>0</v>
      </c>
      <c r="AF289" s="35">
        <f>IF(AQ289="2",BH289,0)</f>
        <v>0</v>
      </c>
      <c r="AG289" s="35">
        <f>IF(AQ289="2",BI289,0)</f>
        <v>0</v>
      </c>
      <c r="AH289" s="35">
        <f>IF(AQ289="0",BJ289,0)</f>
        <v>0</v>
      </c>
      <c r="AI289" s="21"/>
      <c r="AJ289" s="35">
        <f>IF(AN289=0,J289,0)</f>
        <v>0</v>
      </c>
      <c r="AK289" s="35">
        <f>IF(AN289=15,J289,0)</f>
        <v>0</v>
      </c>
      <c r="AL289" s="35">
        <f>IF(AN289=21,J289,0)</f>
        <v>0</v>
      </c>
      <c r="AN289" s="35">
        <v>15</v>
      </c>
      <c r="AO289" s="35">
        <f>G289*0.191455026455026</f>
        <v>0</v>
      </c>
      <c r="AP289" s="35">
        <f>G289*(1-0.191455026455026)</f>
        <v>0</v>
      </c>
      <c r="AQ289" s="37" t="s">
        <v>82</v>
      </c>
      <c r="AV289" s="35">
        <f>AW289+AX289</f>
        <v>0</v>
      </c>
      <c r="AW289" s="35">
        <f>F289*AO289</f>
        <v>0</v>
      </c>
      <c r="AX289" s="35">
        <f>F289*AP289</f>
        <v>0</v>
      </c>
      <c r="AY289" s="37" t="s">
        <v>555</v>
      </c>
      <c r="AZ289" s="37" t="s">
        <v>348</v>
      </c>
      <c r="BA289" s="21" t="s">
        <v>59</v>
      </c>
      <c r="BC289" s="35">
        <f>AW289+AX289</f>
        <v>0</v>
      </c>
      <c r="BD289" s="35">
        <f>G289/(100-BE289)*100</f>
        <v>0</v>
      </c>
      <c r="BE289" s="35">
        <v>0</v>
      </c>
      <c r="BF289" s="35">
        <f>L289</f>
        <v>0</v>
      </c>
      <c r="BH289" s="35">
        <f>F289*AO289</f>
        <v>0</v>
      </c>
      <c r="BI289" s="35">
        <f>F289*AP289</f>
        <v>0</v>
      </c>
      <c r="BJ289" s="35">
        <f>F289*G289</f>
        <v>0</v>
      </c>
      <c r="BK289" s="35"/>
      <c r="BL289" s="35">
        <v>764</v>
      </c>
    </row>
    <row r="290" spans="1:13" ht="15" customHeight="1">
      <c r="A290" s="38"/>
      <c r="C290" s="39" t="s">
        <v>580</v>
      </c>
      <c r="D290" s="39" t="s">
        <v>570</v>
      </c>
      <c r="F290" s="40">
        <v>5.2</v>
      </c>
      <c r="M290" s="41"/>
    </row>
    <row r="291" spans="1:64" ht="15" customHeight="1">
      <c r="A291" s="34" t="s">
        <v>581</v>
      </c>
      <c r="B291" s="11" t="s">
        <v>578</v>
      </c>
      <c r="C291" s="11" t="s">
        <v>582</v>
      </c>
      <c r="D291" s="11"/>
      <c r="E291" s="11" t="s">
        <v>163</v>
      </c>
      <c r="F291" s="35">
        <v>1</v>
      </c>
      <c r="G291" s="35">
        <v>0</v>
      </c>
      <c r="H291" s="35">
        <f>F291*AO291</f>
        <v>0</v>
      </c>
      <c r="I291" s="35">
        <f>F291*AP291</f>
        <v>0</v>
      </c>
      <c r="J291" s="35">
        <f>F291*G291</f>
        <v>0</v>
      </c>
      <c r="K291" s="35">
        <v>0.00319</v>
      </c>
      <c r="L291" s="35">
        <f>F291*K291</f>
        <v>0</v>
      </c>
      <c r="M291" s="36" t="s">
        <v>86</v>
      </c>
      <c r="Z291" s="35">
        <f>IF(AQ291="5",BJ291,0)</f>
        <v>0</v>
      </c>
      <c r="AB291" s="35">
        <f>IF(AQ291="1",BH291,0)</f>
        <v>0</v>
      </c>
      <c r="AC291" s="35">
        <f>IF(AQ291="1",BI291,0)</f>
        <v>0</v>
      </c>
      <c r="AD291" s="35">
        <f>IF(AQ291="7",BH291,0)</f>
        <v>0</v>
      </c>
      <c r="AE291" s="35">
        <f>IF(AQ291="7",BI291,0)</f>
        <v>0</v>
      </c>
      <c r="AF291" s="35">
        <f>IF(AQ291="2",BH291,0)</f>
        <v>0</v>
      </c>
      <c r="AG291" s="35">
        <f>IF(AQ291="2",BI291,0)</f>
        <v>0</v>
      </c>
      <c r="AH291" s="35">
        <f>IF(AQ291="0",BJ291,0)</f>
        <v>0</v>
      </c>
      <c r="AI291" s="21"/>
      <c r="AJ291" s="35">
        <f>IF(AN291=0,J291,0)</f>
        <v>0</v>
      </c>
      <c r="AK291" s="35">
        <f>IF(AN291=15,J291,0)</f>
        <v>0</v>
      </c>
      <c r="AL291" s="35">
        <f>IF(AN291=21,J291,0)</f>
        <v>0</v>
      </c>
      <c r="AN291" s="35">
        <v>15</v>
      </c>
      <c r="AO291" s="35">
        <f>G291*0.191455026455026</f>
        <v>0</v>
      </c>
      <c r="AP291" s="35">
        <f>G291*(1-0.191455026455026)</f>
        <v>0</v>
      </c>
      <c r="AQ291" s="37" t="s">
        <v>82</v>
      </c>
      <c r="AV291" s="35">
        <f>AW291+AX291</f>
        <v>0</v>
      </c>
      <c r="AW291" s="35">
        <f>F291*AO291</f>
        <v>0</v>
      </c>
      <c r="AX291" s="35">
        <f>F291*AP291</f>
        <v>0</v>
      </c>
      <c r="AY291" s="37" t="s">
        <v>555</v>
      </c>
      <c r="AZ291" s="37" t="s">
        <v>348</v>
      </c>
      <c r="BA291" s="21" t="s">
        <v>59</v>
      </c>
      <c r="BC291" s="35">
        <f>AW291+AX291</f>
        <v>0</v>
      </c>
      <c r="BD291" s="35">
        <f>G291/(100-BE291)*100</f>
        <v>0</v>
      </c>
      <c r="BE291" s="35">
        <v>0</v>
      </c>
      <c r="BF291" s="35">
        <f>L291</f>
        <v>0</v>
      </c>
      <c r="BH291" s="35">
        <f>F291*AO291</f>
        <v>0</v>
      </c>
      <c r="BI291" s="35">
        <f>F291*AP291</f>
        <v>0</v>
      </c>
      <c r="BJ291" s="35">
        <f>F291*G291</f>
        <v>0</v>
      </c>
      <c r="BK291" s="35"/>
      <c r="BL291" s="35">
        <v>764</v>
      </c>
    </row>
    <row r="292" spans="1:13" ht="15" customHeight="1">
      <c r="A292" s="38"/>
      <c r="C292" s="39" t="s">
        <v>53</v>
      </c>
      <c r="D292" s="39"/>
      <c r="F292" s="40">
        <v>1</v>
      </c>
      <c r="M292" s="41"/>
    </row>
    <row r="293" spans="1:64" ht="15" customHeight="1">
      <c r="A293" s="34" t="s">
        <v>583</v>
      </c>
      <c r="B293" s="11" t="s">
        <v>584</v>
      </c>
      <c r="C293" s="11" t="s">
        <v>585</v>
      </c>
      <c r="D293" s="11"/>
      <c r="E293" s="11" t="s">
        <v>93</v>
      </c>
      <c r="F293" s="35">
        <v>105</v>
      </c>
      <c r="G293" s="35">
        <v>0</v>
      </c>
      <c r="H293" s="35">
        <f>F293*AO293</f>
        <v>0</v>
      </c>
      <c r="I293" s="35">
        <f>F293*AP293</f>
        <v>0</v>
      </c>
      <c r="J293" s="35">
        <f>F293*G293</f>
        <v>0</v>
      </c>
      <c r="K293" s="35">
        <v>0.0025</v>
      </c>
      <c r="L293" s="35">
        <f>F293*K293</f>
        <v>0</v>
      </c>
      <c r="M293" s="36" t="s">
        <v>86</v>
      </c>
      <c r="Z293" s="35">
        <f>IF(AQ293="5",BJ293,0)</f>
        <v>0</v>
      </c>
      <c r="AB293" s="35">
        <f>IF(AQ293="1",BH293,0)</f>
        <v>0</v>
      </c>
      <c r="AC293" s="35">
        <f>IF(AQ293="1",BI293,0)</f>
        <v>0</v>
      </c>
      <c r="AD293" s="35">
        <f>IF(AQ293="7",BH293,0)</f>
        <v>0</v>
      </c>
      <c r="AE293" s="35">
        <f>IF(AQ293="7",BI293,0)</f>
        <v>0</v>
      </c>
      <c r="AF293" s="35">
        <f>IF(AQ293="2",BH293,0)</f>
        <v>0</v>
      </c>
      <c r="AG293" s="35">
        <f>IF(AQ293="2",BI293,0)</f>
        <v>0</v>
      </c>
      <c r="AH293" s="35">
        <f>IF(AQ293="0",BJ293,0)</f>
        <v>0</v>
      </c>
      <c r="AI293" s="21"/>
      <c r="AJ293" s="35">
        <f>IF(AN293=0,J293,0)</f>
        <v>0</v>
      </c>
      <c r="AK293" s="35">
        <f>IF(AN293=15,J293,0)</f>
        <v>0</v>
      </c>
      <c r="AL293" s="35">
        <f>IF(AN293=21,J293,0)</f>
        <v>0</v>
      </c>
      <c r="AN293" s="35">
        <v>15</v>
      </c>
      <c r="AO293" s="35">
        <f>G293*0.210269892187839</f>
        <v>0</v>
      </c>
      <c r="AP293" s="35">
        <f>G293*(1-0.210269892187839)</f>
        <v>0</v>
      </c>
      <c r="AQ293" s="37" t="s">
        <v>82</v>
      </c>
      <c r="AV293" s="35">
        <f>AW293+AX293</f>
        <v>0</v>
      </c>
      <c r="AW293" s="35">
        <f>F293*AO293</f>
        <v>0</v>
      </c>
      <c r="AX293" s="35">
        <f>F293*AP293</f>
        <v>0</v>
      </c>
      <c r="AY293" s="37" t="s">
        <v>555</v>
      </c>
      <c r="AZ293" s="37" t="s">
        <v>348</v>
      </c>
      <c r="BA293" s="21" t="s">
        <v>59</v>
      </c>
      <c r="BC293" s="35">
        <f>AW293+AX293</f>
        <v>0</v>
      </c>
      <c r="BD293" s="35">
        <f>G293/(100-BE293)*100</f>
        <v>0</v>
      </c>
      <c r="BE293" s="35">
        <v>0</v>
      </c>
      <c r="BF293" s="35">
        <f>L293</f>
        <v>0</v>
      </c>
      <c r="BH293" s="35">
        <f>F293*AO293</f>
        <v>0</v>
      </c>
      <c r="BI293" s="35">
        <f>F293*AP293</f>
        <v>0</v>
      </c>
      <c r="BJ293" s="35">
        <f>F293*G293</f>
        <v>0</v>
      </c>
      <c r="BK293" s="35"/>
      <c r="BL293" s="35">
        <v>764</v>
      </c>
    </row>
    <row r="294" spans="1:13" ht="15" customHeight="1">
      <c r="A294" s="38"/>
      <c r="C294" s="39" t="s">
        <v>574</v>
      </c>
      <c r="D294" s="39" t="s">
        <v>570</v>
      </c>
      <c r="F294" s="40">
        <v>105.00000000000001</v>
      </c>
      <c r="M294" s="41"/>
    </row>
    <row r="295" spans="1:64" ht="15" customHeight="1">
      <c r="A295" s="34" t="s">
        <v>586</v>
      </c>
      <c r="B295" s="11" t="s">
        <v>587</v>
      </c>
      <c r="C295" s="11" t="s">
        <v>588</v>
      </c>
      <c r="D295" s="11"/>
      <c r="E295" s="11" t="s">
        <v>93</v>
      </c>
      <c r="F295" s="35">
        <v>1.75</v>
      </c>
      <c r="G295" s="35">
        <v>0</v>
      </c>
      <c r="H295" s="35">
        <f>F295*AO295</f>
        <v>0</v>
      </c>
      <c r="I295" s="35">
        <f>F295*AP295</f>
        <v>0</v>
      </c>
      <c r="J295" s="35">
        <f>F295*G295</f>
        <v>0</v>
      </c>
      <c r="K295" s="35">
        <v>0.00192</v>
      </c>
      <c r="L295" s="35">
        <f>F295*K295</f>
        <v>0</v>
      </c>
      <c r="M295" s="36" t="s">
        <v>86</v>
      </c>
      <c r="Z295" s="35">
        <f>IF(AQ295="5",BJ295,0)</f>
        <v>0</v>
      </c>
      <c r="AB295" s="35">
        <f>IF(AQ295="1",BH295,0)</f>
        <v>0</v>
      </c>
      <c r="AC295" s="35">
        <f>IF(AQ295="1",BI295,0)</f>
        <v>0</v>
      </c>
      <c r="AD295" s="35">
        <f>IF(AQ295="7",BH295,0)</f>
        <v>0</v>
      </c>
      <c r="AE295" s="35">
        <f>IF(AQ295="7",BI295,0)</f>
        <v>0</v>
      </c>
      <c r="AF295" s="35">
        <f>IF(AQ295="2",BH295,0)</f>
        <v>0</v>
      </c>
      <c r="AG295" s="35">
        <f>IF(AQ295="2",BI295,0)</f>
        <v>0</v>
      </c>
      <c r="AH295" s="35">
        <f>IF(AQ295="0",BJ295,0)</f>
        <v>0</v>
      </c>
      <c r="AI295" s="21"/>
      <c r="AJ295" s="35">
        <f>IF(AN295=0,J295,0)</f>
        <v>0</v>
      </c>
      <c r="AK295" s="35">
        <f>IF(AN295=15,J295,0)</f>
        <v>0</v>
      </c>
      <c r="AL295" s="35">
        <f>IF(AN295=21,J295,0)</f>
        <v>0</v>
      </c>
      <c r="AN295" s="35">
        <v>15</v>
      </c>
      <c r="AO295" s="35">
        <f>G295*0.812470781680718</f>
        <v>0</v>
      </c>
      <c r="AP295" s="35">
        <f>G295*(1-0.812470781680718)</f>
        <v>0</v>
      </c>
      <c r="AQ295" s="37" t="s">
        <v>82</v>
      </c>
      <c r="AV295" s="35">
        <f>AW295+AX295</f>
        <v>0</v>
      </c>
      <c r="AW295" s="35">
        <f>F295*AO295</f>
        <v>0</v>
      </c>
      <c r="AX295" s="35">
        <f>F295*AP295</f>
        <v>0</v>
      </c>
      <c r="AY295" s="37" t="s">
        <v>555</v>
      </c>
      <c r="AZ295" s="37" t="s">
        <v>348</v>
      </c>
      <c r="BA295" s="21" t="s">
        <v>59</v>
      </c>
      <c r="BC295" s="35">
        <f>AW295+AX295</f>
        <v>0</v>
      </c>
      <c r="BD295" s="35">
        <f>G295/(100-BE295)*100</f>
        <v>0</v>
      </c>
      <c r="BE295" s="35">
        <v>0</v>
      </c>
      <c r="BF295" s="35">
        <f>L295</f>
        <v>0</v>
      </c>
      <c r="BH295" s="35">
        <f>F295*AO295</f>
        <v>0</v>
      </c>
      <c r="BI295" s="35">
        <f>F295*AP295</f>
        <v>0</v>
      </c>
      <c r="BJ295" s="35">
        <f>F295*G295</f>
        <v>0</v>
      </c>
      <c r="BK295" s="35"/>
      <c r="BL295" s="35">
        <v>764</v>
      </c>
    </row>
    <row r="296" spans="1:13" ht="15" customHeight="1">
      <c r="A296" s="38"/>
      <c r="C296" s="39" t="s">
        <v>589</v>
      </c>
      <c r="D296" s="39" t="s">
        <v>570</v>
      </c>
      <c r="F296" s="40">
        <v>1.7500000000000002</v>
      </c>
      <c r="M296" s="41"/>
    </row>
    <row r="297" spans="1:64" ht="15" customHeight="1">
      <c r="A297" s="34" t="s">
        <v>490</v>
      </c>
      <c r="B297" s="11" t="s">
        <v>590</v>
      </c>
      <c r="C297" s="11" t="s">
        <v>591</v>
      </c>
      <c r="D297" s="11"/>
      <c r="E297" s="11" t="s">
        <v>163</v>
      </c>
      <c r="F297" s="35">
        <v>1.75</v>
      </c>
      <c r="G297" s="35">
        <v>0</v>
      </c>
      <c r="H297" s="35">
        <f>F297*AO297</f>
        <v>0</v>
      </c>
      <c r="I297" s="35">
        <f>F297*AP297</f>
        <v>0</v>
      </c>
      <c r="J297" s="35">
        <f>F297*G297</f>
        <v>0</v>
      </c>
      <c r="K297" s="35">
        <v>0</v>
      </c>
      <c r="L297" s="35">
        <f>F297*K297</f>
        <v>0</v>
      </c>
      <c r="M297" s="36" t="s">
        <v>86</v>
      </c>
      <c r="Z297" s="35">
        <f>IF(AQ297="5",BJ297,0)</f>
        <v>0</v>
      </c>
      <c r="AB297" s="35">
        <f>IF(AQ297="1",BH297,0)</f>
        <v>0</v>
      </c>
      <c r="AC297" s="35">
        <f>IF(AQ297="1",BI297,0)</f>
        <v>0</v>
      </c>
      <c r="AD297" s="35">
        <f>IF(AQ297="7",BH297,0)</f>
        <v>0</v>
      </c>
      <c r="AE297" s="35">
        <f>IF(AQ297="7",BI297,0)</f>
        <v>0</v>
      </c>
      <c r="AF297" s="35">
        <f>IF(AQ297="2",BH297,0)</f>
        <v>0</v>
      </c>
      <c r="AG297" s="35">
        <f>IF(AQ297="2",BI297,0)</f>
        <v>0</v>
      </c>
      <c r="AH297" s="35">
        <f>IF(AQ297="0",BJ297,0)</f>
        <v>0</v>
      </c>
      <c r="AI297" s="21"/>
      <c r="AJ297" s="35">
        <f>IF(AN297=0,J297,0)</f>
        <v>0</v>
      </c>
      <c r="AK297" s="35">
        <f>IF(AN297=15,J297,0)</f>
        <v>0</v>
      </c>
      <c r="AL297" s="35">
        <f>IF(AN297=21,J297,0)</f>
        <v>0</v>
      </c>
      <c r="AN297" s="35">
        <v>15</v>
      </c>
      <c r="AO297" s="35">
        <f>G297*0.496277915632754</f>
        <v>0</v>
      </c>
      <c r="AP297" s="35">
        <f>G297*(1-0.496277915632754)</f>
        <v>0</v>
      </c>
      <c r="AQ297" s="37" t="s">
        <v>82</v>
      </c>
      <c r="AV297" s="35">
        <f>AW297+AX297</f>
        <v>0</v>
      </c>
      <c r="AW297" s="35">
        <f>F297*AO297</f>
        <v>0</v>
      </c>
      <c r="AX297" s="35">
        <f>F297*AP297</f>
        <v>0</v>
      </c>
      <c r="AY297" s="37" t="s">
        <v>555</v>
      </c>
      <c r="AZ297" s="37" t="s">
        <v>348</v>
      </c>
      <c r="BA297" s="21" t="s">
        <v>59</v>
      </c>
      <c r="BC297" s="35">
        <f>AW297+AX297</f>
        <v>0</v>
      </c>
      <c r="BD297" s="35">
        <f>G297/(100-BE297)*100</f>
        <v>0</v>
      </c>
      <c r="BE297" s="35">
        <v>0</v>
      </c>
      <c r="BF297" s="35">
        <f>L297</f>
        <v>0</v>
      </c>
      <c r="BH297" s="35">
        <f>F297*AO297</f>
        <v>0</v>
      </c>
      <c r="BI297" s="35">
        <f>F297*AP297</f>
        <v>0</v>
      </c>
      <c r="BJ297" s="35">
        <f>F297*G297</f>
        <v>0</v>
      </c>
      <c r="BK297" s="35"/>
      <c r="BL297" s="35">
        <v>764</v>
      </c>
    </row>
    <row r="298" spans="1:13" ht="15" customHeight="1">
      <c r="A298" s="38"/>
      <c r="C298" s="39" t="s">
        <v>589</v>
      </c>
      <c r="D298" s="39" t="s">
        <v>570</v>
      </c>
      <c r="F298" s="40">
        <v>1.7500000000000002</v>
      </c>
      <c r="M298" s="41"/>
    </row>
    <row r="299" spans="1:64" ht="15" customHeight="1">
      <c r="A299" s="34" t="s">
        <v>592</v>
      </c>
      <c r="B299" s="11" t="s">
        <v>593</v>
      </c>
      <c r="C299" s="11" t="s">
        <v>594</v>
      </c>
      <c r="D299" s="11"/>
      <c r="E299" s="11" t="s">
        <v>93</v>
      </c>
      <c r="F299" s="35">
        <v>2.8</v>
      </c>
      <c r="G299" s="35">
        <v>0</v>
      </c>
      <c r="H299" s="35">
        <f>F299*AO299</f>
        <v>0</v>
      </c>
      <c r="I299" s="35">
        <f>F299*AP299</f>
        <v>0</v>
      </c>
      <c r="J299" s="35">
        <f>F299*G299</f>
        <v>0</v>
      </c>
      <c r="K299" s="35">
        <v>0.00291</v>
      </c>
      <c r="L299" s="35">
        <f>F299*K299</f>
        <v>0</v>
      </c>
      <c r="M299" s="36" t="s">
        <v>86</v>
      </c>
      <c r="Z299" s="35">
        <f>IF(AQ299="5",BJ299,0)</f>
        <v>0</v>
      </c>
      <c r="AB299" s="35">
        <f>IF(AQ299="1",BH299,0)</f>
        <v>0</v>
      </c>
      <c r="AC299" s="35">
        <f>IF(AQ299="1",BI299,0)</f>
        <v>0</v>
      </c>
      <c r="AD299" s="35">
        <f>IF(AQ299="7",BH299,0)</f>
        <v>0</v>
      </c>
      <c r="AE299" s="35">
        <f>IF(AQ299="7",BI299,0)</f>
        <v>0</v>
      </c>
      <c r="AF299" s="35">
        <f>IF(AQ299="2",BH299,0)</f>
        <v>0</v>
      </c>
      <c r="AG299" s="35">
        <f>IF(AQ299="2",BI299,0)</f>
        <v>0</v>
      </c>
      <c r="AH299" s="35">
        <f>IF(AQ299="0",BJ299,0)</f>
        <v>0</v>
      </c>
      <c r="AI299" s="21"/>
      <c r="AJ299" s="35">
        <f>IF(AN299=0,J299,0)</f>
        <v>0</v>
      </c>
      <c r="AK299" s="35">
        <f>IF(AN299=15,J299,0)</f>
        <v>0</v>
      </c>
      <c r="AL299" s="35">
        <f>IF(AN299=21,J299,0)</f>
        <v>0</v>
      </c>
      <c r="AN299" s="35">
        <v>15</v>
      </c>
      <c r="AO299" s="35">
        <f>G299*0.362025565388397</f>
        <v>0</v>
      </c>
      <c r="AP299" s="35">
        <f>G299*(1-0.362025565388397)</f>
        <v>0</v>
      </c>
      <c r="AQ299" s="37" t="s">
        <v>82</v>
      </c>
      <c r="AV299" s="35">
        <f>AW299+AX299</f>
        <v>0</v>
      </c>
      <c r="AW299" s="35">
        <f>F299*AO299</f>
        <v>0</v>
      </c>
      <c r="AX299" s="35">
        <f>F299*AP299</f>
        <v>0</v>
      </c>
      <c r="AY299" s="37" t="s">
        <v>555</v>
      </c>
      <c r="AZ299" s="37" t="s">
        <v>348</v>
      </c>
      <c r="BA299" s="21" t="s">
        <v>59</v>
      </c>
      <c r="BC299" s="35">
        <f>AW299+AX299</f>
        <v>0</v>
      </c>
      <c r="BD299" s="35">
        <f>G299/(100-BE299)*100</f>
        <v>0</v>
      </c>
      <c r="BE299" s="35">
        <v>0</v>
      </c>
      <c r="BF299" s="35">
        <f>L299</f>
        <v>0</v>
      </c>
      <c r="BH299" s="35">
        <f>F299*AO299</f>
        <v>0</v>
      </c>
      <c r="BI299" s="35">
        <f>F299*AP299</f>
        <v>0</v>
      </c>
      <c r="BJ299" s="35">
        <f>F299*G299</f>
        <v>0</v>
      </c>
      <c r="BK299" s="35"/>
      <c r="BL299" s="35">
        <v>764</v>
      </c>
    </row>
    <row r="300" spans="1:13" ht="15" customHeight="1">
      <c r="A300" s="38"/>
      <c r="C300" s="39" t="s">
        <v>595</v>
      </c>
      <c r="D300" s="39" t="s">
        <v>570</v>
      </c>
      <c r="F300" s="40">
        <v>2.8</v>
      </c>
      <c r="M300" s="41"/>
    </row>
    <row r="301" spans="1:64" ht="15" customHeight="1">
      <c r="A301" s="34" t="s">
        <v>596</v>
      </c>
      <c r="B301" s="11" t="s">
        <v>597</v>
      </c>
      <c r="C301" s="11" t="s">
        <v>598</v>
      </c>
      <c r="D301" s="11"/>
      <c r="E301" s="11" t="s">
        <v>163</v>
      </c>
      <c r="F301" s="35">
        <v>1</v>
      </c>
      <c r="G301" s="35">
        <v>0</v>
      </c>
      <c r="H301" s="35">
        <f>F301*AO301</f>
        <v>0</v>
      </c>
      <c r="I301" s="35">
        <f>F301*AP301</f>
        <v>0</v>
      </c>
      <c r="J301" s="35">
        <f>F301*G301</f>
        <v>0</v>
      </c>
      <c r="K301" s="35">
        <v>0.00181</v>
      </c>
      <c r="L301" s="35">
        <f>F301*K301</f>
        <v>0</v>
      </c>
      <c r="M301" s="36" t="s">
        <v>86</v>
      </c>
      <c r="Z301" s="35">
        <f>IF(AQ301="5",BJ301,0)</f>
        <v>0</v>
      </c>
      <c r="AB301" s="35">
        <f>IF(AQ301="1",BH301,0)</f>
        <v>0</v>
      </c>
      <c r="AC301" s="35">
        <f>IF(AQ301="1",BI301,0)</f>
        <v>0</v>
      </c>
      <c r="AD301" s="35">
        <f>IF(AQ301="7",BH301,0)</f>
        <v>0</v>
      </c>
      <c r="AE301" s="35">
        <f>IF(AQ301="7",BI301,0)</f>
        <v>0</v>
      </c>
      <c r="AF301" s="35">
        <f>IF(AQ301="2",BH301,0)</f>
        <v>0</v>
      </c>
      <c r="AG301" s="35">
        <f>IF(AQ301="2",BI301,0)</f>
        <v>0</v>
      </c>
      <c r="AH301" s="35">
        <f>IF(AQ301="0",BJ301,0)</f>
        <v>0</v>
      </c>
      <c r="AI301" s="21"/>
      <c r="AJ301" s="35">
        <f>IF(AN301=0,J301,0)</f>
        <v>0</v>
      </c>
      <c r="AK301" s="35">
        <f>IF(AN301=15,J301,0)</f>
        <v>0</v>
      </c>
      <c r="AL301" s="35">
        <f>IF(AN301=21,J301,0)</f>
        <v>0</v>
      </c>
      <c r="AN301" s="35">
        <v>15</v>
      </c>
      <c r="AO301" s="35">
        <f>G301*0.567480347538271</f>
        <v>0</v>
      </c>
      <c r="AP301" s="35">
        <f>G301*(1-0.567480347538271)</f>
        <v>0</v>
      </c>
      <c r="AQ301" s="37" t="s">
        <v>82</v>
      </c>
      <c r="AV301" s="35">
        <f>AW301+AX301</f>
        <v>0</v>
      </c>
      <c r="AW301" s="35">
        <f>F301*AO301</f>
        <v>0</v>
      </c>
      <c r="AX301" s="35">
        <f>F301*AP301</f>
        <v>0</v>
      </c>
      <c r="AY301" s="37" t="s">
        <v>555</v>
      </c>
      <c r="AZ301" s="37" t="s">
        <v>348</v>
      </c>
      <c r="BA301" s="21" t="s">
        <v>59</v>
      </c>
      <c r="BC301" s="35">
        <f>AW301+AX301</f>
        <v>0</v>
      </c>
      <c r="BD301" s="35">
        <f>G301/(100-BE301)*100</f>
        <v>0</v>
      </c>
      <c r="BE301" s="35">
        <v>0</v>
      </c>
      <c r="BF301" s="35">
        <f>L301</f>
        <v>0</v>
      </c>
      <c r="BH301" s="35">
        <f>F301*AO301</f>
        <v>0</v>
      </c>
      <c r="BI301" s="35">
        <f>F301*AP301</f>
        <v>0</v>
      </c>
      <c r="BJ301" s="35">
        <f>F301*G301</f>
        <v>0</v>
      </c>
      <c r="BK301" s="35"/>
      <c r="BL301" s="35">
        <v>764</v>
      </c>
    </row>
    <row r="302" spans="1:13" ht="15" customHeight="1">
      <c r="A302" s="38"/>
      <c r="C302" s="39" t="s">
        <v>53</v>
      </c>
      <c r="D302" s="39" t="s">
        <v>570</v>
      </c>
      <c r="F302" s="40">
        <v>1</v>
      </c>
      <c r="M302" s="41"/>
    </row>
    <row r="303" spans="1:64" ht="15" customHeight="1">
      <c r="A303" s="34" t="s">
        <v>599</v>
      </c>
      <c r="B303" s="11" t="s">
        <v>600</v>
      </c>
      <c r="C303" s="11" t="s">
        <v>601</v>
      </c>
      <c r="D303" s="11"/>
      <c r="E303" s="11" t="s">
        <v>163</v>
      </c>
      <c r="F303" s="35">
        <v>2</v>
      </c>
      <c r="G303" s="35">
        <v>0</v>
      </c>
      <c r="H303" s="35">
        <f>F303*AO303</f>
        <v>0</v>
      </c>
      <c r="I303" s="35">
        <f>F303*AP303</f>
        <v>0</v>
      </c>
      <c r="J303" s="35">
        <f>F303*G303</f>
        <v>0</v>
      </c>
      <c r="K303" s="35">
        <v>0.00191</v>
      </c>
      <c r="L303" s="35">
        <f>F303*K303</f>
        <v>0</v>
      </c>
      <c r="M303" s="36" t="s">
        <v>86</v>
      </c>
      <c r="Z303" s="35">
        <f>IF(AQ303="5",BJ303,0)</f>
        <v>0</v>
      </c>
      <c r="AB303" s="35">
        <f>IF(AQ303="1",BH303,0)</f>
        <v>0</v>
      </c>
      <c r="AC303" s="35">
        <f>IF(AQ303="1",BI303,0)</f>
        <v>0</v>
      </c>
      <c r="AD303" s="35">
        <f>IF(AQ303="7",BH303,0)</f>
        <v>0</v>
      </c>
      <c r="AE303" s="35">
        <f>IF(AQ303="7",BI303,0)</f>
        <v>0</v>
      </c>
      <c r="AF303" s="35">
        <f>IF(AQ303="2",BH303,0)</f>
        <v>0</v>
      </c>
      <c r="AG303" s="35">
        <f>IF(AQ303="2",BI303,0)</f>
        <v>0</v>
      </c>
      <c r="AH303" s="35">
        <f>IF(AQ303="0",BJ303,0)</f>
        <v>0</v>
      </c>
      <c r="AI303" s="21"/>
      <c r="AJ303" s="35">
        <f>IF(AN303=0,J303,0)</f>
        <v>0</v>
      </c>
      <c r="AK303" s="35">
        <f>IF(AN303=15,J303,0)</f>
        <v>0</v>
      </c>
      <c r="AL303" s="35">
        <f>IF(AN303=21,J303,0)</f>
        <v>0</v>
      </c>
      <c r="AN303" s="35">
        <v>15</v>
      </c>
      <c r="AO303" s="35">
        <f>G303*0.6875</f>
        <v>0</v>
      </c>
      <c r="AP303" s="35">
        <f>G303*(1-0.6875)</f>
        <v>0</v>
      </c>
      <c r="AQ303" s="37" t="s">
        <v>82</v>
      </c>
      <c r="AV303" s="35">
        <f>AW303+AX303</f>
        <v>0</v>
      </c>
      <c r="AW303" s="35">
        <f>F303*AO303</f>
        <v>0</v>
      </c>
      <c r="AX303" s="35">
        <f>F303*AP303</f>
        <v>0</v>
      </c>
      <c r="AY303" s="37" t="s">
        <v>555</v>
      </c>
      <c r="AZ303" s="37" t="s">
        <v>348</v>
      </c>
      <c r="BA303" s="21" t="s">
        <v>59</v>
      </c>
      <c r="BC303" s="35">
        <f>AW303+AX303</f>
        <v>0</v>
      </c>
      <c r="BD303" s="35">
        <f>G303/(100-BE303)*100</f>
        <v>0</v>
      </c>
      <c r="BE303" s="35">
        <v>0</v>
      </c>
      <c r="BF303" s="35">
        <f>L303</f>
        <v>0</v>
      </c>
      <c r="BH303" s="35">
        <f>F303*AO303</f>
        <v>0</v>
      </c>
      <c r="BI303" s="35">
        <f>F303*AP303</f>
        <v>0</v>
      </c>
      <c r="BJ303" s="35">
        <f>F303*G303</f>
        <v>0</v>
      </c>
      <c r="BK303" s="35"/>
      <c r="BL303" s="35">
        <v>764</v>
      </c>
    </row>
    <row r="304" spans="1:13" ht="15" customHeight="1">
      <c r="A304" s="38"/>
      <c r="C304" s="39" t="s">
        <v>60</v>
      </c>
      <c r="D304" s="39" t="s">
        <v>570</v>
      </c>
      <c r="F304" s="40">
        <v>2</v>
      </c>
      <c r="M304" s="41"/>
    </row>
    <row r="305" spans="1:64" ht="15" customHeight="1">
      <c r="A305" s="34" t="s">
        <v>602</v>
      </c>
      <c r="B305" s="11" t="s">
        <v>603</v>
      </c>
      <c r="C305" s="11" t="s">
        <v>604</v>
      </c>
      <c r="D305" s="11"/>
      <c r="E305" s="11" t="s">
        <v>163</v>
      </c>
      <c r="F305" s="35">
        <v>6</v>
      </c>
      <c r="G305" s="35">
        <v>0</v>
      </c>
      <c r="H305" s="35">
        <f>F305*AO305</f>
        <v>0</v>
      </c>
      <c r="I305" s="35">
        <f>F305*AP305</f>
        <v>0</v>
      </c>
      <c r="J305" s="35">
        <f>F305*G305</f>
        <v>0</v>
      </c>
      <c r="K305" s="35">
        <v>0.00024</v>
      </c>
      <c r="L305" s="35">
        <f>F305*K305</f>
        <v>0</v>
      </c>
      <c r="M305" s="36" t="s">
        <v>86</v>
      </c>
      <c r="Z305" s="35">
        <f>IF(AQ305="5",BJ305,0)</f>
        <v>0</v>
      </c>
      <c r="AB305" s="35">
        <f>IF(AQ305="1",BH305,0)</f>
        <v>0</v>
      </c>
      <c r="AC305" s="35">
        <f>IF(AQ305="1",BI305,0)</f>
        <v>0</v>
      </c>
      <c r="AD305" s="35">
        <f>IF(AQ305="7",BH305,0)</f>
        <v>0</v>
      </c>
      <c r="AE305" s="35">
        <f>IF(AQ305="7",BI305,0)</f>
        <v>0</v>
      </c>
      <c r="AF305" s="35">
        <f>IF(AQ305="2",BH305,0)</f>
        <v>0</v>
      </c>
      <c r="AG305" s="35">
        <f>IF(AQ305="2",BI305,0)</f>
        <v>0</v>
      </c>
      <c r="AH305" s="35">
        <f>IF(AQ305="0",BJ305,0)</f>
        <v>0</v>
      </c>
      <c r="AI305" s="21"/>
      <c r="AJ305" s="35">
        <f>IF(AN305=0,J305,0)</f>
        <v>0</v>
      </c>
      <c r="AK305" s="35">
        <f>IF(AN305=15,J305,0)</f>
        <v>0</v>
      </c>
      <c r="AL305" s="35">
        <f>IF(AN305=21,J305,0)</f>
        <v>0</v>
      </c>
      <c r="AN305" s="35">
        <v>15</v>
      </c>
      <c r="AO305" s="35">
        <f>G305*0.36412030075188</f>
        <v>0</v>
      </c>
      <c r="AP305" s="35">
        <f>G305*(1-0.36412030075188)</f>
        <v>0</v>
      </c>
      <c r="AQ305" s="37" t="s">
        <v>82</v>
      </c>
      <c r="AV305" s="35">
        <f>AW305+AX305</f>
        <v>0</v>
      </c>
      <c r="AW305" s="35">
        <f>F305*AO305</f>
        <v>0</v>
      </c>
      <c r="AX305" s="35">
        <f>F305*AP305</f>
        <v>0</v>
      </c>
      <c r="AY305" s="37" t="s">
        <v>555</v>
      </c>
      <c r="AZ305" s="37" t="s">
        <v>348</v>
      </c>
      <c r="BA305" s="21" t="s">
        <v>59</v>
      </c>
      <c r="BC305" s="35">
        <f>AW305+AX305</f>
        <v>0</v>
      </c>
      <c r="BD305" s="35">
        <f>G305/(100-BE305)*100</f>
        <v>0</v>
      </c>
      <c r="BE305" s="35">
        <v>0</v>
      </c>
      <c r="BF305" s="35">
        <f>L305</f>
        <v>0</v>
      </c>
      <c r="BH305" s="35">
        <f>F305*AO305</f>
        <v>0</v>
      </c>
      <c r="BI305" s="35">
        <f>F305*AP305</f>
        <v>0</v>
      </c>
      <c r="BJ305" s="35">
        <f>F305*G305</f>
        <v>0</v>
      </c>
      <c r="BK305" s="35"/>
      <c r="BL305" s="35">
        <v>764</v>
      </c>
    </row>
    <row r="306" spans="1:13" ht="15" customHeight="1">
      <c r="A306" s="38"/>
      <c r="C306" s="39" t="s">
        <v>74</v>
      </c>
      <c r="D306" s="39" t="s">
        <v>570</v>
      </c>
      <c r="F306" s="40">
        <v>6.000000000000001</v>
      </c>
      <c r="M306" s="41"/>
    </row>
    <row r="307" spans="1:64" ht="15" customHeight="1">
      <c r="A307" s="34" t="s">
        <v>605</v>
      </c>
      <c r="B307" s="11" t="s">
        <v>606</v>
      </c>
      <c r="C307" s="11" t="s">
        <v>607</v>
      </c>
      <c r="D307" s="11"/>
      <c r="E307" s="11" t="s">
        <v>93</v>
      </c>
      <c r="F307" s="35">
        <v>1</v>
      </c>
      <c r="G307" s="35">
        <v>0</v>
      </c>
      <c r="H307" s="35">
        <f>F307*AO307</f>
        <v>0</v>
      </c>
      <c r="I307" s="35">
        <f>F307*AP307</f>
        <v>0</v>
      </c>
      <c r="J307" s="35">
        <f>F307*G307</f>
        <v>0</v>
      </c>
      <c r="K307" s="35">
        <v>0.00292</v>
      </c>
      <c r="L307" s="35">
        <f>F307*K307</f>
        <v>0</v>
      </c>
      <c r="M307" s="36" t="s">
        <v>86</v>
      </c>
      <c r="Z307" s="35">
        <f>IF(AQ307="5",BJ307,0)</f>
        <v>0</v>
      </c>
      <c r="AB307" s="35">
        <f>IF(AQ307="1",BH307,0)</f>
        <v>0</v>
      </c>
      <c r="AC307" s="35">
        <f>IF(AQ307="1",BI307,0)</f>
        <v>0</v>
      </c>
      <c r="AD307" s="35">
        <f>IF(AQ307="7",BH307,0)</f>
        <v>0</v>
      </c>
      <c r="AE307" s="35">
        <f>IF(AQ307="7",BI307,0)</f>
        <v>0</v>
      </c>
      <c r="AF307" s="35">
        <f>IF(AQ307="2",BH307,0)</f>
        <v>0</v>
      </c>
      <c r="AG307" s="35">
        <f>IF(AQ307="2",BI307,0)</f>
        <v>0</v>
      </c>
      <c r="AH307" s="35">
        <f>IF(AQ307="0",BJ307,0)</f>
        <v>0</v>
      </c>
      <c r="AI307" s="21"/>
      <c r="AJ307" s="35">
        <f>IF(AN307=0,J307,0)</f>
        <v>0</v>
      </c>
      <c r="AK307" s="35">
        <f>IF(AN307=15,J307,0)</f>
        <v>0</v>
      </c>
      <c r="AL307" s="35">
        <f>IF(AN307=21,J307,0)</f>
        <v>0</v>
      </c>
      <c r="AN307" s="35">
        <v>15</v>
      </c>
      <c r="AO307" s="35">
        <f>G307*0.371706208985361</f>
        <v>0</v>
      </c>
      <c r="AP307" s="35">
        <f>G307*(1-0.371706208985361)</f>
        <v>0</v>
      </c>
      <c r="AQ307" s="37" t="s">
        <v>82</v>
      </c>
      <c r="AV307" s="35">
        <f>AW307+AX307</f>
        <v>0</v>
      </c>
      <c r="AW307" s="35">
        <f>F307*AO307</f>
        <v>0</v>
      </c>
      <c r="AX307" s="35">
        <f>F307*AP307</f>
        <v>0</v>
      </c>
      <c r="AY307" s="37" t="s">
        <v>555</v>
      </c>
      <c r="AZ307" s="37" t="s">
        <v>348</v>
      </c>
      <c r="BA307" s="21" t="s">
        <v>59</v>
      </c>
      <c r="BC307" s="35">
        <f>AW307+AX307</f>
        <v>0</v>
      </c>
      <c r="BD307" s="35">
        <f>G307/(100-BE307)*100</f>
        <v>0</v>
      </c>
      <c r="BE307" s="35">
        <v>0</v>
      </c>
      <c r="BF307" s="35">
        <f>L307</f>
        <v>0</v>
      </c>
      <c r="BH307" s="35">
        <f>F307*AO307</f>
        <v>0</v>
      </c>
      <c r="BI307" s="35">
        <f>F307*AP307</f>
        <v>0</v>
      </c>
      <c r="BJ307" s="35">
        <f>F307*G307</f>
        <v>0</v>
      </c>
      <c r="BK307" s="35"/>
      <c r="BL307" s="35">
        <v>764</v>
      </c>
    </row>
    <row r="308" spans="1:13" ht="15" customHeight="1">
      <c r="A308" s="38"/>
      <c r="C308" s="39" t="s">
        <v>53</v>
      </c>
      <c r="D308" s="39" t="s">
        <v>570</v>
      </c>
      <c r="F308" s="40">
        <v>1</v>
      </c>
      <c r="M308" s="41"/>
    </row>
    <row r="309" spans="1:64" ht="15" customHeight="1">
      <c r="A309" s="34" t="s">
        <v>608</v>
      </c>
      <c r="B309" s="11" t="s">
        <v>609</v>
      </c>
      <c r="C309" s="11" t="s">
        <v>610</v>
      </c>
      <c r="D309" s="11"/>
      <c r="E309" s="11" t="s">
        <v>85</v>
      </c>
      <c r="F309" s="35">
        <v>5.6</v>
      </c>
      <c r="G309" s="35">
        <v>0</v>
      </c>
      <c r="H309" s="35">
        <f>F309*AO309</f>
        <v>0</v>
      </c>
      <c r="I309" s="35">
        <f>F309*AP309</f>
        <v>0</v>
      </c>
      <c r="J309" s="35">
        <f>F309*G309</f>
        <v>0</v>
      </c>
      <c r="K309" s="35">
        <v>0.01772</v>
      </c>
      <c r="L309" s="35">
        <f>F309*K309</f>
        <v>0.11</v>
      </c>
      <c r="M309" s="36" t="s">
        <v>86</v>
      </c>
      <c r="Z309" s="35">
        <f>IF(AQ309="5",BJ309,0)</f>
        <v>0</v>
      </c>
      <c r="AB309" s="35">
        <f>IF(AQ309="1",BH309,0)</f>
        <v>0</v>
      </c>
      <c r="AC309" s="35">
        <f>IF(AQ309="1",BI309,0)</f>
        <v>0</v>
      </c>
      <c r="AD309" s="35">
        <f>IF(AQ309="7",BH309,0)</f>
        <v>0</v>
      </c>
      <c r="AE309" s="35">
        <f>IF(AQ309="7",BI309,0)</f>
        <v>0</v>
      </c>
      <c r="AF309" s="35">
        <f>IF(AQ309="2",BH309,0)</f>
        <v>0</v>
      </c>
      <c r="AG309" s="35">
        <f>IF(AQ309="2",BI309,0)</f>
        <v>0</v>
      </c>
      <c r="AH309" s="35">
        <f>IF(AQ309="0",BJ309,0)</f>
        <v>0</v>
      </c>
      <c r="AI309" s="21"/>
      <c r="AJ309" s="35">
        <f>IF(AN309=0,J309,0)</f>
        <v>0</v>
      </c>
      <c r="AK309" s="35">
        <f>IF(AN309=15,J309,0)</f>
        <v>0</v>
      </c>
      <c r="AL309" s="35">
        <f>IF(AN309=21,J309,0)</f>
        <v>0</v>
      </c>
      <c r="AN309" s="35">
        <v>15</v>
      </c>
      <c r="AO309" s="35">
        <f>G309*0.500247787610619</f>
        <v>0</v>
      </c>
      <c r="AP309" s="35">
        <f>G309*(1-0.500247787610619)</f>
        <v>0</v>
      </c>
      <c r="AQ309" s="37" t="s">
        <v>82</v>
      </c>
      <c r="AV309" s="35">
        <f>AW309+AX309</f>
        <v>0</v>
      </c>
      <c r="AW309" s="35">
        <f>F309*AO309</f>
        <v>0</v>
      </c>
      <c r="AX309" s="35">
        <f>F309*AP309</f>
        <v>0</v>
      </c>
      <c r="AY309" s="37" t="s">
        <v>555</v>
      </c>
      <c r="AZ309" s="37" t="s">
        <v>348</v>
      </c>
      <c r="BA309" s="21" t="s">
        <v>59</v>
      </c>
      <c r="BC309" s="35">
        <f>AW309+AX309</f>
        <v>0</v>
      </c>
      <c r="BD309" s="35">
        <f>G309/(100-BE309)*100</f>
        <v>0</v>
      </c>
      <c r="BE309" s="35">
        <v>0</v>
      </c>
      <c r="BF309" s="35">
        <f>L309</f>
        <v>0.11</v>
      </c>
      <c r="BH309" s="35">
        <f>F309*AO309</f>
        <v>0</v>
      </c>
      <c r="BI309" s="35">
        <f>F309*AP309</f>
        <v>0</v>
      </c>
      <c r="BJ309" s="35">
        <f>F309*G309</f>
        <v>0</v>
      </c>
      <c r="BK309" s="35"/>
      <c r="BL309" s="35">
        <v>764</v>
      </c>
    </row>
    <row r="310" spans="1:13" ht="15" customHeight="1">
      <c r="A310" s="38"/>
      <c r="C310" s="39" t="s">
        <v>611</v>
      </c>
      <c r="D310" s="39" t="s">
        <v>570</v>
      </c>
      <c r="F310" s="40">
        <v>5.6</v>
      </c>
      <c r="M310" s="41"/>
    </row>
    <row r="311" spans="1:64" ht="15" customHeight="1">
      <c r="A311" s="34" t="s">
        <v>612</v>
      </c>
      <c r="B311" s="11" t="s">
        <v>613</v>
      </c>
      <c r="C311" s="11" t="s">
        <v>614</v>
      </c>
      <c r="D311" s="11"/>
      <c r="E311" s="11" t="s">
        <v>93</v>
      </c>
      <c r="F311" s="35">
        <v>5.2</v>
      </c>
      <c r="G311" s="35">
        <v>0</v>
      </c>
      <c r="H311" s="35">
        <f>F311*AO311</f>
        <v>0</v>
      </c>
      <c r="I311" s="35">
        <f>F311*AP311</f>
        <v>0</v>
      </c>
      <c r="J311" s="35">
        <f>F311*G311</f>
        <v>0</v>
      </c>
      <c r="K311" s="35">
        <v>5E-05</v>
      </c>
      <c r="L311" s="35">
        <f>F311*K311</f>
        <v>0</v>
      </c>
      <c r="M311" s="36" t="s">
        <v>86</v>
      </c>
      <c r="Z311" s="35">
        <f>IF(AQ311="5",BJ311,0)</f>
        <v>0</v>
      </c>
      <c r="AB311" s="35">
        <f>IF(AQ311="1",BH311,0)</f>
        <v>0</v>
      </c>
      <c r="AC311" s="35">
        <f>IF(AQ311="1",BI311,0)</f>
        <v>0</v>
      </c>
      <c r="AD311" s="35">
        <f>IF(AQ311="7",BH311,0)</f>
        <v>0</v>
      </c>
      <c r="AE311" s="35">
        <f>IF(AQ311="7",BI311,0)</f>
        <v>0</v>
      </c>
      <c r="AF311" s="35">
        <f>IF(AQ311="2",BH311,0)</f>
        <v>0</v>
      </c>
      <c r="AG311" s="35">
        <f>IF(AQ311="2",BI311,0)</f>
        <v>0</v>
      </c>
      <c r="AH311" s="35">
        <f>IF(AQ311="0",BJ311,0)</f>
        <v>0</v>
      </c>
      <c r="AI311" s="21"/>
      <c r="AJ311" s="35">
        <f>IF(AN311=0,J311,0)</f>
        <v>0</v>
      </c>
      <c r="AK311" s="35">
        <f>IF(AN311=15,J311,0)</f>
        <v>0</v>
      </c>
      <c r="AL311" s="35">
        <f>IF(AN311=21,J311,0)</f>
        <v>0</v>
      </c>
      <c r="AN311" s="35">
        <v>15</v>
      </c>
      <c r="AO311" s="35">
        <f>G311*1</f>
        <v>0</v>
      </c>
      <c r="AP311" s="35">
        <f>G311*(1-1)</f>
        <v>0</v>
      </c>
      <c r="AQ311" s="37" t="s">
        <v>82</v>
      </c>
      <c r="AV311" s="35">
        <f>AW311+AX311</f>
        <v>0</v>
      </c>
      <c r="AW311" s="35">
        <f>F311*AO311</f>
        <v>0</v>
      </c>
      <c r="AX311" s="35">
        <f>F311*AP311</f>
        <v>0</v>
      </c>
      <c r="AY311" s="37" t="s">
        <v>555</v>
      </c>
      <c r="AZ311" s="37" t="s">
        <v>348</v>
      </c>
      <c r="BA311" s="21" t="s">
        <v>59</v>
      </c>
      <c r="BC311" s="35">
        <f>AW311+AX311</f>
        <v>0</v>
      </c>
      <c r="BD311" s="35">
        <f>G311/(100-BE311)*100</f>
        <v>0</v>
      </c>
      <c r="BE311" s="35">
        <v>0</v>
      </c>
      <c r="BF311" s="35">
        <f>L311</f>
        <v>0</v>
      </c>
      <c r="BH311" s="35">
        <f>F311*AO311</f>
        <v>0</v>
      </c>
      <c r="BI311" s="35">
        <f>F311*AP311</f>
        <v>0</v>
      </c>
      <c r="BJ311" s="35">
        <f>F311*G311</f>
        <v>0</v>
      </c>
      <c r="BK311" s="35"/>
      <c r="BL311" s="35">
        <v>764</v>
      </c>
    </row>
    <row r="312" spans="1:13" ht="15" customHeight="1">
      <c r="A312" s="38"/>
      <c r="C312" s="39" t="s">
        <v>580</v>
      </c>
      <c r="D312" s="39"/>
      <c r="F312" s="40">
        <v>5.2</v>
      </c>
      <c r="M312" s="41"/>
    </row>
    <row r="313" spans="1:64" ht="15" customHeight="1">
      <c r="A313" s="34" t="s">
        <v>615</v>
      </c>
      <c r="B313" s="11" t="s">
        <v>616</v>
      </c>
      <c r="C313" s="11" t="s">
        <v>617</v>
      </c>
      <c r="D313" s="11"/>
      <c r="E313" s="11" t="s">
        <v>163</v>
      </c>
      <c r="F313" s="35">
        <v>1</v>
      </c>
      <c r="G313" s="35">
        <v>0</v>
      </c>
      <c r="H313" s="35">
        <f>F313*AO313</f>
        <v>0</v>
      </c>
      <c r="I313" s="35">
        <f>F313*AP313</f>
        <v>0</v>
      </c>
      <c r="J313" s="35">
        <f>F313*G313</f>
        <v>0</v>
      </c>
      <c r="K313" s="35">
        <v>0.0005</v>
      </c>
      <c r="L313" s="35">
        <f>F313*K313</f>
        <v>0</v>
      </c>
      <c r="M313" s="36" t="s">
        <v>86</v>
      </c>
      <c r="Z313" s="35">
        <f>IF(AQ313="5",BJ313,0)</f>
        <v>0</v>
      </c>
      <c r="AB313" s="35">
        <f>IF(AQ313="1",BH313,0)</f>
        <v>0</v>
      </c>
      <c r="AC313" s="35">
        <f>IF(AQ313="1",BI313,0)</f>
        <v>0</v>
      </c>
      <c r="AD313" s="35">
        <f>IF(AQ313="7",BH313,0)</f>
        <v>0</v>
      </c>
      <c r="AE313" s="35">
        <f>IF(AQ313="7",BI313,0)</f>
        <v>0</v>
      </c>
      <c r="AF313" s="35">
        <f>IF(AQ313="2",BH313,0)</f>
        <v>0</v>
      </c>
      <c r="AG313" s="35">
        <f>IF(AQ313="2",BI313,0)</f>
        <v>0</v>
      </c>
      <c r="AH313" s="35">
        <f>IF(AQ313="0",BJ313,0)</f>
        <v>0</v>
      </c>
      <c r="AI313" s="21"/>
      <c r="AJ313" s="35">
        <f>IF(AN313=0,J313,0)</f>
        <v>0</v>
      </c>
      <c r="AK313" s="35">
        <f>IF(AN313=15,J313,0)</f>
        <v>0</v>
      </c>
      <c r="AL313" s="35">
        <f>IF(AN313=21,J313,0)</f>
        <v>0</v>
      </c>
      <c r="AN313" s="35">
        <v>15</v>
      </c>
      <c r="AO313" s="35">
        <f>G313*1</f>
        <v>0</v>
      </c>
      <c r="AP313" s="35">
        <f>G313*(1-1)</f>
        <v>0</v>
      </c>
      <c r="AQ313" s="37" t="s">
        <v>82</v>
      </c>
      <c r="AV313" s="35">
        <f>AW313+AX313</f>
        <v>0</v>
      </c>
      <c r="AW313" s="35">
        <f>F313*AO313</f>
        <v>0</v>
      </c>
      <c r="AX313" s="35">
        <f>F313*AP313</f>
        <v>0</v>
      </c>
      <c r="AY313" s="37" t="s">
        <v>555</v>
      </c>
      <c r="AZ313" s="37" t="s">
        <v>348</v>
      </c>
      <c r="BA313" s="21" t="s">
        <v>59</v>
      </c>
      <c r="BC313" s="35">
        <f>AW313+AX313</f>
        <v>0</v>
      </c>
      <c r="BD313" s="35">
        <f>G313/(100-BE313)*100</f>
        <v>0</v>
      </c>
      <c r="BE313" s="35">
        <v>0</v>
      </c>
      <c r="BF313" s="35">
        <f>L313</f>
        <v>0</v>
      </c>
      <c r="BH313" s="35">
        <f>F313*AO313</f>
        <v>0</v>
      </c>
      <c r="BI313" s="35">
        <f>F313*AP313</f>
        <v>0</v>
      </c>
      <c r="BJ313" s="35">
        <f>F313*G313</f>
        <v>0</v>
      </c>
      <c r="BK313" s="35"/>
      <c r="BL313" s="35">
        <v>764</v>
      </c>
    </row>
    <row r="314" spans="1:13" ht="15" customHeight="1">
      <c r="A314" s="38"/>
      <c r="C314" s="39" t="s">
        <v>53</v>
      </c>
      <c r="D314" s="39" t="s">
        <v>570</v>
      </c>
      <c r="F314" s="40">
        <v>1</v>
      </c>
      <c r="M314" s="41"/>
    </row>
    <row r="315" spans="1:64" ht="15" customHeight="1">
      <c r="A315" s="34" t="s">
        <v>618</v>
      </c>
      <c r="B315" s="11" t="s">
        <v>619</v>
      </c>
      <c r="C315" s="11" t="s">
        <v>620</v>
      </c>
      <c r="D315" s="11"/>
      <c r="E315" s="11" t="s">
        <v>163</v>
      </c>
      <c r="F315" s="35">
        <v>1</v>
      </c>
      <c r="G315" s="35">
        <v>0</v>
      </c>
      <c r="H315" s="35">
        <f>F315*AO315</f>
        <v>0</v>
      </c>
      <c r="I315" s="35">
        <f>F315*AP315</f>
        <v>0</v>
      </c>
      <c r="J315" s="35">
        <f>F315*G315</f>
        <v>0</v>
      </c>
      <c r="K315" s="35">
        <v>0.00187</v>
      </c>
      <c r="L315" s="35">
        <f>F315*K315</f>
        <v>0</v>
      </c>
      <c r="M315" s="36" t="s">
        <v>86</v>
      </c>
      <c r="Z315" s="35">
        <f>IF(AQ315="5",BJ315,0)</f>
        <v>0</v>
      </c>
      <c r="AB315" s="35">
        <f>IF(AQ315="1",BH315,0)</f>
        <v>0</v>
      </c>
      <c r="AC315" s="35">
        <f>IF(AQ315="1",BI315,0)</f>
        <v>0</v>
      </c>
      <c r="AD315" s="35">
        <f>IF(AQ315="7",BH315,0)</f>
        <v>0</v>
      </c>
      <c r="AE315" s="35">
        <f>IF(AQ315="7",BI315,0)</f>
        <v>0</v>
      </c>
      <c r="AF315" s="35">
        <f>IF(AQ315="2",BH315,0)</f>
        <v>0</v>
      </c>
      <c r="AG315" s="35">
        <f>IF(AQ315="2",BI315,0)</f>
        <v>0</v>
      </c>
      <c r="AH315" s="35">
        <f>IF(AQ315="0",BJ315,0)</f>
        <v>0</v>
      </c>
      <c r="AI315" s="21"/>
      <c r="AJ315" s="35">
        <f>IF(AN315=0,J315,0)</f>
        <v>0</v>
      </c>
      <c r="AK315" s="35">
        <f>IF(AN315=15,J315,0)</f>
        <v>0</v>
      </c>
      <c r="AL315" s="35">
        <f>IF(AN315=21,J315,0)</f>
        <v>0</v>
      </c>
      <c r="AN315" s="35">
        <v>15</v>
      </c>
      <c r="AO315" s="35">
        <f>G315*0.817745035233825</f>
        <v>0</v>
      </c>
      <c r="AP315" s="35">
        <f>G315*(1-0.817745035233825)</f>
        <v>0</v>
      </c>
      <c r="AQ315" s="37" t="s">
        <v>82</v>
      </c>
      <c r="AV315" s="35">
        <f>AW315+AX315</f>
        <v>0</v>
      </c>
      <c r="AW315" s="35">
        <f>F315*AO315</f>
        <v>0</v>
      </c>
      <c r="AX315" s="35">
        <f>F315*AP315</f>
        <v>0</v>
      </c>
      <c r="AY315" s="37" t="s">
        <v>555</v>
      </c>
      <c r="AZ315" s="37" t="s">
        <v>348</v>
      </c>
      <c r="BA315" s="21" t="s">
        <v>59</v>
      </c>
      <c r="BC315" s="35">
        <f>AW315+AX315</f>
        <v>0</v>
      </c>
      <c r="BD315" s="35">
        <f>G315/(100-BE315)*100</f>
        <v>0</v>
      </c>
      <c r="BE315" s="35">
        <v>0</v>
      </c>
      <c r="BF315" s="35">
        <f>L315</f>
        <v>0</v>
      </c>
      <c r="BH315" s="35">
        <f>F315*AO315</f>
        <v>0</v>
      </c>
      <c r="BI315" s="35">
        <f>F315*AP315</f>
        <v>0</v>
      </c>
      <c r="BJ315" s="35">
        <f>F315*G315</f>
        <v>0</v>
      </c>
      <c r="BK315" s="35"/>
      <c r="BL315" s="35">
        <v>764</v>
      </c>
    </row>
    <row r="316" spans="1:13" ht="15" customHeight="1">
      <c r="A316" s="38"/>
      <c r="C316" s="39" t="s">
        <v>53</v>
      </c>
      <c r="D316" s="39"/>
      <c r="F316" s="40">
        <v>1</v>
      </c>
      <c r="M316" s="41"/>
    </row>
    <row r="317" spans="1:64" ht="15" customHeight="1">
      <c r="A317" s="34" t="s">
        <v>621</v>
      </c>
      <c r="B317" s="11" t="s">
        <v>622</v>
      </c>
      <c r="C317" s="11" t="s">
        <v>623</v>
      </c>
      <c r="D317" s="11"/>
      <c r="E317" s="11" t="s">
        <v>93</v>
      </c>
      <c r="F317" s="35">
        <v>3.6</v>
      </c>
      <c r="G317" s="35">
        <v>0</v>
      </c>
      <c r="H317" s="35">
        <f>F317*AO317</f>
        <v>0</v>
      </c>
      <c r="I317" s="35">
        <f>F317*AP317</f>
        <v>0</v>
      </c>
      <c r="J317" s="35">
        <f>F317*G317</f>
        <v>0</v>
      </c>
      <c r="K317" s="35">
        <v>0.00251</v>
      </c>
      <c r="L317" s="35">
        <f>F317*K317</f>
        <v>0</v>
      </c>
      <c r="M317" s="36" t="s">
        <v>86</v>
      </c>
      <c r="Z317" s="35">
        <f>IF(AQ317="5",BJ317,0)</f>
        <v>0</v>
      </c>
      <c r="AB317" s="35">
        <f>IF(AQ317="1",BH317,0)</f>
        <v>0</v>
      </c>
      <c r="AC317" s="35">
        <f>IF(AQ317="1",BI317,0)</f>
        <v>0</v>
      </c>
      <c r="AD317" s="35">
        <f>IF(AQ317="7",BH317,0)</f>
        <v>0</v>
      </c>
      <c r="AE317" s="35">
        <f>IF(AQ317="7",BI317,0)</f>
        <v>0</v>
      </c>
      <c r="AF317" s="35">
        <f>IF(AQ317="2",BH317,0)</f>
        <v>0</v>
      </c>
      <c r="AG317" s="35">
        <f>IF(AQ317="2",BI317,0)</f>
        <v>0</v>
      </c>
      <c r="AH317" s="35">
        <f>IF(AQ317="0",BJ317,0)</f>
        <v>0</v>
      </c>
      <c r="AI317" s="21"/>
      <c r="AJ317" s="35">
        <f>IF(AN317=0,J317,0)</f>
        <v>0</v>
      </c>
      <c r="AK317" s="35">
        <f>IF(AN317=15,J317,0)</f>
        <v>0</v>
      </c>
      <c r="AL317" s="35">
        <f>IF(AN317=21,J317,0)</f>
        <v>0</v>
      </c>
      <c r="AN317" s="35">
        <v>15</v>
      </c>
      <c r="AO317" s="35">
        <f>G317*0.330358325676802</f>
        <v>0</v>
      </c>
      <c r="AP317" s="35">
        <f>G317*(1-0.330358325676802)</f>
        <v>0</v>
      </c>
      <c r="AQ317" s="37" t="s">
        <v>82</v>
      </c>
      <c r="AV317" s="35">
        <f>AW317+AX317</f>
        <v>0</v>
      </c>
      <c r="AW317" s="35">
        <f>F317*AO317</f>
        <v>0</v>
      </c>
      <c r="AX317" s="35">
        <f>F317*AP317</f>
        <v>0</v>
      </c>
      <c r="AY317" s="37" t="s">
        <v>555</v>
      </c>
      <c r="AZ317" s="37" t="s">
        <v>348</v>
      </c>
      <c r="BA317" s="21" t="s">
        <v>59</v>
      </c>
      <c r="BC317" s="35">
        <f>AW317+AX317</f>
        <v>0</v>
      </c>
      <c r="BD317" s="35">
        <f>G317/(100-BE317)*100</f>
        <v>0</v>
      </c>
      <c r="BE317" s="35">
        <v>0</v>
      </c>
      <c r="BF317" s="35">
        <f>L317</f>
        <v>0</v>
      </c>
      <c r="BH317" s="35">
        <f>F317*AO317</f>
        <v>0</v>
      </c>
      <c r="BI317" s="35">
        <f>F317*AP317</f>
        <v>0</v>
      </c>
      <c r="BJ317" s="35">
        <f>F317*G317</f>
        <v>0</v>
      </c>
      <c r="BK317" s="35"/>
      <c r="BL317" s="35">
        <v>764</v>
      </c>
    </row>
    <row r="318" spans="1:13" ht="15" customHeight="1">
      <c r="A318" s="38"/>
      <c r="C318" s="39" t="s">
        <v>624</v>
      </c>
      <c r="D318" s="39"/>
      <c r="F318" s="40">
        <v>3.6</v>
      </c>
      <c r="M318" s="41"/>
    </row>
    <row r="319" spans="1:64" ht="15" customHeight="1">
      <c r="A319" s="34" t="s">
        <v>625</v>
      </c>
      <c r="B319" s="11" t="s">
        <v>626</v>
      </c>
      <c r="C319" s="11" t="s">
        <v>627</v>
      </c>
      <c r="D319" s="11"/>
      <c r="E319" s="11" t="s">
        <v>163</v>
      </c>
      <c r="F319" s="35">
        <v>2</v>
      </c>
      <c r="G319" s="35">
        <v>0</v>
      </c>
      <c r="H319" s="35">
        <f>F319*AO319</f>
        <v>0</v>
      </c>
      <c r="I319" s="35">
        <f>F319*AP319</f>
        <v>0</v>
      </c>
      <c r="J319" s="35">
        <f>F319*G319</f>
        <v>0</v>
      </c>
      <c r="K319" s="35">
        <v>0.00017</v>
      </c>
      <c r="L319" s="35">
        <f>F319*K319</f>
        <v>0</v>
      </c>
      <c r="M319" s="36" t="s">
        <v>86</v>
      </c>
      <c r="Z319" s="35">
        <f>IF(AQ319="5",BJ319,0)</f>
        <v>0</v>
      </c>
      <c r="AB319" s="35">
        <f>IF(AQ319="1",BH319,0)</f>
        <v>0</v>
      </c>
      <c r="AC319" s="35">
        <f>IF(AQ319="1",BI319,0)</f>
        <v>0</v>
      </c>
      <c r="AD319" s="35">
        <f>IF(AQ319="7",BH319,0)</f>
        <v>0</v>
      </c>
      <c r="AE319" s="35">
        <f>IF(AQ319="7",BI319,0)</f>
        <v>0</v>
      </c>
      <c r="AF319" s="35">
        <f>IF(AQ319="2",BH319,0)</f>
        <v>0</v>
      </c>
      <c r="AG319" s="35">
        <f>IF(AQ319="2",BI319,0)</f>
        <v>0</v>
      </c>
      <c r="AH319" s="35">
        <f>IF(AQ319="0",BJ319,0)</f>
        <v>0</v>
      </c>
      <c r="AI319" s="21"/>
      <c r="AJ319" s="35">
        <f>IF(AN319=0,J319,0)</f>
        <v>0</v>
      </c>
      <c r="AK319" s="35">
        <f>IF(AN319=15,J319,0)</f>
        <v>0</v>
      </c>
      <c r="AL319" s="35">
        <f>IF(AN319=21,J319,0)</f>
        <v>0</v>
      </c>
      <c r="AN319" s="35">
        <v>15</v>
      </c>
      <c r="AO319" s="35">
        <f>G319*0.151887338434827</f>
        <v>0</v>
      </c>
      <c r="AP319" s="35">
        <f>G319*(1-0.151887338434827)</f>
        <v>0</v>
      </c>
      <c r="AQ319" s="37" t="s">
        <v>82</v>
      </c>
      <c r="AV319" s="35">
        <f>AW319+AX319</f>
        <v>0</v>
      </c>
      <c r="AW319" s="35">
        <f>F319*AO319</f>
        <v>0</v>
      </c>
      <c r="AX319" s="35">
        <f>F319*AP319</f>
        <v>0</v>
      </c>
      <c r="AY319" s="37" t="s">
        <v>555</v>
      </c>
      <c r="AZ319" s="37" t="s">
        <v>348</v>
      </c>
      <c r="BA319" s="21" t="s">
        <v>59</v>
      </c>
      <c r="BC319" s="35">
        <f>AW319+AX319</f>
        <v>0</v>
      </c>
      <c r="BD319" s="35">
        <f>G319/(100-BE319)*100</f>
        <v>0</v>
      </c>
      <c r="BE319" s="35">
        <v>0</v>
      </c>
      <c r="BF319" s="35">
        <f>L319</f>
        <v>0</v>
      </c>
      <c r="BH319" s="35">
        <f>F319*AO319</f>
        <v>0</v>
      </c>
      <c r="BI319" s="35">
        <f>F319*AP319</f>
        <v>0</v>
      </c>
      <c r="BJ319" s="35">
        <f>F319*G319</f>
        <v>0</v>
      </c>
      <c r="BK319" s="35"/>
      <c r="BL319" s="35">
        <v>764</v>
      </c>
    </row>
    <row r="320" spans="1:13" ht="15" customHeight="1">
      <c r="A320" s="38"/>
      <c r="C320" s="39" t="s">
        <v>60</v>
      </c>
      <c r="D320" s="39"/>
      <c r="F320" s="40">
        <v>2</v>
      </c>
      <c r="M320" s="41"/>
    </row>
    <row r="321" spans="1:64" ht="15" customHeight="1">
      <c r="A321" s="34" t="s">
        <v>628</v>
      </c>
      <c r="B321" s="11" t="s">
        <v>629</v>
      </c>
      <c r="C321" s="11" t="s">
        <v>630</v>
      </c>
      <c r="D321" s="11"/>
      <c r="E321" s="11" t="s">
        <v>163</v>
      </c>
      <c r="F321" s="35">
        <v>4</v>
      </c>
      <c r="G321" s="35">
        <v>0</v>
      </c>
      <c r="H321" s="35">
        <f>F321*AO321</f>
        <v>0</v>
      </c>
      <c r="I321" s="35">
        <f>F321*AP321</f>
        <v>0</v>
      </c>
      <c r="J321" s="35">
        <f>F321*G321</f>
        <v>0</v>
      </c>
      <c r="K321" s="35">
        <v>0</v>
      </c>
      <c r="L321" s="35">
        <f>F321*K321</f>
        <v>0</v>
      </c>
      <c r="M321" s="36" t="s">
        <v>86</v>
      </c>
      <c r="Z321" s="35">
        <f>IF(AQ321="5",BJ321,0)</f>
        <v>0</v>
      </c>
      <c r="AB321" s="35">
        <f>IF(AQ321="1",BH321,0)</f>
        <v>0</v>
      </c>
      <c r="AC321" s="35">
        <f>IF(AQ321="1",BI321,0)</f>
        <v>0</v>
      </c>
      <c r="AD321" s="35">
        <f>IF(AQ321="7",BH321,0)</f>
        <v>0</v>
      </c>
      <c r="AE321" s="35">
        <f>IF(AQ321="7",BI321,0)</f>
        <v>0</v>
      </c>
      <c r="AF321" s="35">
        <f>IF(AQ321="2",BH321,0)</f>
        <v>0</v>
      </c>
      <c r="AG321" s="35">
        <f>IF(AQ321="2",BI321,0)</f>
        <v>0</v>
      </c>
      <c r="AH321" s="35">
        <f>IF(AQ321="0",BJ321,0)</f>
        <v>0</v>
      </c>
      <c r="AI321" s="21"/>
      <c r="AJ321" s="35">
        <f>IF(AN321=0,J321,0)</f>
        <v>0</v>
      </c>
      <c r="AK321" s="35">
        <f>IF(AN321=15,J321,0)</f>
        <v>0</v>
      </c>
      <c r="AL321" s="35">
        <f>IF(AN321=21,J321,0)</f>
        <v>0</v>
      </c>
      <c r="AN321" s="35">
        <v>15</v>
      </c>
      <c r="AO321" s="35">
        <f>G321*0.00445920303605313</f>
        <v>0</v>
      </c>
      <c r="AP321" s="35">
        <f>G321*(1-0.00445920303605313)</f>
        <v>0</v>
      </c>
      <c r="AQ321" s="37" t="s">
        <v>82</v>
      </c>
      <c r="AV321" s="35">
        <f>AW321+AX321</f>
        <v>0</v>
      </c>
      <c r="AW321" s="35">
        <f>F321*AO321</f>
        <v>0</v>
      </c>
      <c r="AX321" s="35">
        <f>F321*AP321</f>
        <v>0</v>
      </c>
      <c r="AY321" s="37" t="s">
        <v>555</v>
      </c>
      <c r="AZ321" s="37" t="s">
        <v>348</v>
      </c>
      <c r="BA321" s="21" t="s">
        <v>59</v>
      </c>
      <c r="BC321" s="35">
        <f>AW321+AX321</f>
        <v>0</v>
      </c>
      <c r="BD321" s="35">
        <f>G321/(100-BE321)*100</f>
        <v>0</v>
      </c>
      <c r="BE321" s="35">
        <v>0</v>
      </c>
      <c r="BF321" s="35">
        <f>L321</f>
        <v>0</v>
      </c>
      <c r="BH321" s="35">
        <f>F321*AO321</f>
        <v>0</v>
      </c>
      <c r="BI321" s="35">
        <f>F321*AP321</f>
        <v>0</v>
      </c>
      <c r="BJ321" s="35">
        <f>F321*G321</f>
        <v>0</v>
      </c>
      <c r="BK321" s="35"/>
      <c r="BL321" s="35">
        <v>764</v>
      </c>
    </row>
    <row r="322" spans="1:13" ht="15" customHeight="1">
      <c r="A322" s="38"/>
      <c r="C322" s="39" t="s">
        <v>66</v>
      </c>
      <c r="D322" s="39"/>
      <c r="F322" s="40">
        <v>4</v>
      </c>
      <c r="M322" s="41"/>
    </row>
    <row r="323" spans="1:64" ht="15" customHeight="1">
      <c r="A323" s="34" t="s">
        <v>631</v>
      </c>
      <c r="B323" s="11" t="s">
        <v>632</v>
      </c>
      <c r="C323" s="11" t="s">
        <v>633</v>
      </c>
      <c r="D323" s="11"/>
      <c r="E323" s="11" t="s">
        <v>93</v>
      </c>
      <c r="F323" s="35">
        <v>3.6</v>
      </c>
      <c r="G323" s="35">
        <v>0</v>
      </c>
      <c r="H323" s="35">
        <f>F323*AO323</f>
        <v>0</v>
      </c>
      <c r="I323" s="35">
        <f>F323*AP323</f>
        <v>0</v>
      </c>
      <c r="J323" s="35">
        <f>F323*G323</f>
        <v>0</v>
      </c>
      <c r="K323" s="35">
        <v>0.00059</v>
      </c>
      <c r="L323" s="35">
        <f>F323*K323</f>
        <v>0</v>
      </c>
      <c r="M323" s="36" t="s">
        <v>86</v>
      </c>
      <c r="Z323" s="35">
        <f>IF(AQ323="5",BJ323,0)</f>
        <v>0</v>
      </c>
      <c r="AB323" s="35">
        <f>IF(AQ323="1",BH323,0)</f>
        <v>0</v>
      </c>
      <c r="AC323" s="35">
        <f>IF(AQ323="1",BI323,0)</f>
        <v>0</v>
      </c>
      <c r="AD323" s="35">
        <f>IF(AQ323="7",BH323,0)</f>
        <v>0</v>
      </c>
      <c r="AE323" s="35">
        <f>IF(AQ323="7",BI323,0)</f>
        <v>0</v>
      </c>
      <c r="AF323" s="35">
        <f>IF(AQ323="2",BH323,0)</f>
        <v>0</v>
      </c>
      <c r="AG323" s="35">
        <f>IF(AQ323="2",BI323,0)</f>
        <v>0</v>
      </c>
      <c r="AH323" s="35">
        <f>IF(AQ323="0",BJ323,0)</f>
        <v>0</v>
      </c>
      <c r="AI323" s="21"/>
      <c r="AJ323" s="35">
        <f>IF(AN323=0,J323,0)</f>
        <v>0</v>
      </c>
      <c r="AK323" s="35">
        <f>IF(AN323=15,J323,0)</f>
        <v>0</v>
      </c>
      <c r="AL323" s="35">
        <f>IF(AN323=21,J323,0)</f>
        <v>0</v>
      </c>
      <c r="AN323" s="35">
        <v>15</v>
      </c>
      <c r="AO323" s="35">
        <f>G323*0.56320222606603</f>
        <v>0</v>
      </c>
      <c r="AP323" s="35">
        <f>G323*(1-0.56320222606603)</f>
        <v>0</v>
      </c>
      <c r="AQ323" s="37" t="s">
        <v>82</v>
      </c>
      <c r="AV323" s="35">
        <f>AW323+AX323</f>
        <v>0</v>
      </c>
      <c r="AW323" s="35">
        <f>F323*AO323</f>
        <v>0</v>
      </c>
      <c r="AX323" s="35">
        <f>F323*AP323</f>
        <v>0</v>
      </c>
      <c r="AY323" s="37" t="s">
        <v>555</v>
      </c>
      <c r="AZ323" s="37" t="s">
        <v>348</v>
      </c>
      <c r="BA323" s="21" t="s">
        <v>59</v>
      </c>
      <c r="BC323" s="35">
        <f>AW323+AX323</f>
        <v>0</v>
      </c>
      <c r="BD323" s="35">
        <f>G323/(100-BE323)*100</f>
        <v>0</v>
      </c>
      <c r="BE323" s="35">
        <v>0</v>
      </c>
      <c r="BF323" s="35">
        <f>L323</f>
        <v>0</v>
      </c>
      <c r="BH323" s="35">
        <f>F323*AO323</f>
        <v>0</v>
      </c>
      <c r="BI323" s="35">
        <f>F323*AP323</f>
        <v>0</v>
      </c>
      <c r="BJ323" s="35">
        <f>F323*G323</f>
        <v>0</v>
      </c>
      <c r="BK323" s="35"/>
      <c r="BL323" s="35">
        <v>764</v>
      </c>
    </row>
    <row r="324" spans="1:13" ht="15" customHeight="1">
      <c r="A324" s="38"/>
      <c r="C324" s="39" t="s">
        <v>624</v>
      </c>
      <c r="D324" s="39"/>
      <c r="F324" s="40">
        <v>3.6</v>
      </c>
      <c r="M324" s="41"/>
    </row>
    <row r="325" spans="1:64" ht="15" customHeight="1">
      <c r="A325" s="34" t="s">
        <v>634</v>
      </c>
      <c r="B325" s="11" t="s">
        <v>635</v>
      </c>
      <c r="C325" s="11" t="s">
        <v>636</v>
      </c>
      <c r="D325" s="11"/>
      <c r="E325" s="11" t="s">
        <v>93</v>
      </c>
      <c r="F325" s="35">
        <v>164.8</v>
      </c>
      <c r="G325" s="35">
        <v>0</v>
      </c>
      <c r="H325" s="35">
        <f>F325*AO325</f>
        <v>0</v>
      </c>
      <c r="I325" s="35">
        <f>F325*AP325</f>
        <v>0</v>
      </c>
      <c r="J325" s="35">
        <f>F325*G325</f>
        <v>0</v>
      </c>
      <c r="K325" s="35">
        <v>0.00287</v>
      </c>
      <c r="L325" s="35">
        <f>F325*K325</f>
        <v>0</v>
      </c>
      <c r="M325" s="36" t="s">
        <v>86</v>
      </c>
      <c r="Z325" s="35">
        <f>IF(AQ325="5",BJ325,0)</f>
        <v>0</v>
      </c>
      <c r="AB325" s="35">
        <f>IF(AQ325="1",BH325,0)</f>
        <v>0</v>
      </c>
      <c r="AC325" s="35">
        <f>IF(AQ325="1",BI325,0)</f>
        <v>0</v>
      </c>
      <c r="AD325" s="35">
        <f>IF(AQ325="7",BH325,0)</f>
        <v>0</v>
      </c>
      <c r="AE325" s="35">
        <f>IF(AQ325="7",BI325,0)</f>
        <v>0</v>
      </c>
      <c r="AF325" s="35">
        <f>IF(AQ325="2",BH325,0)</f>
        <v>0</v>
      </c>
      <c r="AG325" s="35">
        <f>IF(AQ325="2",BI325,0)</f>
        <v>0</v>
      </c>
      <c r="AH325" s="35">
        <f>IF(AQ325="0",BJ325,0)</f>
        <v>0</v>
      </c>
      <c r="AI325" s="21"/>
      <c r="AJ325" s="35">
        <f>IF(AN325=0,J325,0)</f>
        <v>0</v>
      </c>
      <c r="AK325" s="35">
        <f>IF(AN325=15,J325,0)</f>
        <v>0</v>
      </c>
      <c r="AL325" s="35">
        <f>IF(AN325=21,J325,0)</f>
        <v>0</v>
      </c>
      <c r="AN325" s="35">
        <v>15</v>
      </c>
      <c r="AO325" s="35">
        <f>G325*0</f>
        <v>0</v>
      </c>
      <c r="AP325" s="35">
        <f>G325*(1-0)</f>
        <v>0</v>
      </c>
      <c r="AQ325" s="37" t="s">
        <v>82</v>
      </c>
      <c r="AV325" s="35">
        <f>AW325+AX325</f>
        <v>0</v>
      </c>
      <c r="AW325" s="35">
        <f>F325*AO325</f>
        <v>0</v>
      </c>
      <c r="AX325" s="35">
        <f>F325*AP325</f>
        <v>0</v>
      </c>
      <c r="AY325" s="37" t="s">
        <v>555</v>
      </c>
      <c r="AZ325" s="37" t="s">
        <v>348</v>
      </c>
      <c r="BA325" s="21" t="s">
        <v>59</v>
      </c>
      <c r="BC325" s="35">
        <f>AW325+AX325</f>
        <v>0</v>
      </c>
      <c r="BD325" s="35">
        <f>G325/(100-BE325)*100</f>
        <v>0</v>
      </c>
      <c r="BE325" s="35">
        <v>0</v>
      </c>
      <c r="BF325" s="35">
        <f>L325</f>
        <v>0</v>
      </c>
      <c r="BH325" s="35">
        <f>F325*AO325</f>
        <v>0</v>
      </c>
      <c r="BI325" s="35">
        <f>F325*AP325</f>
        <v>0</v>
      </c>
      <c r="BJ325" s="35">
        <f>F325*G325</f>
        <v>0</v>
      </c>
      <c r="BK325" s="35"/>
      <c r="BL325" s="35">
        <v>764</v>
      </c>
    </row>
    <row r="326" spans="1:13" ht="15" customHeight="1">
      <c r="A326" s="38"/>
      <c r="C326" s="39" t="s">
        <v>637</v>
      </c>
      <c r="D326" s="39"/>
      <c r="F326" s="40">
        <v>164.8</v>
      </c>
      <c r="M326" s="41"/>
    </row>
    <row r="327" spans="1:64" ht="15" customHeight="1">
      <c r="A327" s="34" t="s">
        <v>638</v>
      </c>
      <c r="B327" s="11" t="s">
        <v>639</v>
      </c>
      <c r="C327" s="11" t="s">
        <v>640</v>
      </c>
      <c r="D327" s="11"/>
      <c r="E327" s="11" t="s">
        <v>172</v>
      </c>
      <c r="F327" s="35">
        <v>1.984</v>
      </c>
      <c r="G327" s="35">
        <v>0</v>
      </c>
      <c r="H327" s="35">
        <f>F327*AO327</f>
        <v>0</v>
      </c>
      <c r="I327" s="35">
        <f>F327*AP327</f>
        <v>0</v>
      </c>
      <c r="J327" s="35">
        <f>F327*G327</f>
        <v>0</v>
      </c>
      <c r="K327" s="35">
        <v>0</v>
      </c>
      <c r="L327" s="35">
        <f>F327*K327</f>
        <v>0</v>
      </c>
      <c r="M327" s="36" t="s">
        <v>57</v>
      </c>
      <c r="Z327" s="35">
        <f>IF(AQ327="5",BJ327,0)</f>
        <v>0</v>
      </c>
      <c r="AB327" s="35">
        <f>IF(AQ327="1",BH327,0)</f>
        <v>0</v>
      </c>
      <c r="AC327" s="35">
        <f>IF(AQ327="1",BI327,0)</f>
        <v>0</v>
      </c>
      <c r="AD327" s="35">
        <f>IF(AQ327="7",BH327,0)</f>
        <v>0</v>
      </c>
      <c r="AE327" s="35">
        <f>IF(AQ327="7",BI327,0)</f>
        <v>0</v>
      </c>
      <c r="AF327" s="35">
        <f>IF(AQ327="2",BH327,0)</f>
        <v>0</v>
      </c>
      <c r="AG327" s="35">
        <f>IF(AQ327="2",BI327,0)</f>
        <v>0</v>
      </c>
      <c r="AH327" s="35">
        <f>IF(AQ327="0",BJ327,0)</f>
        <v>0</v>
      </c>
      <c r="AI327" s="21"/>
      <c r="AJ327" s="35">
        <f>IF(AN327=0,J327,0)</f>
        <v>0</v>
      </c>
      <c r="AK327" s="35">
        <f>IF(AN327=15,J327,0)</f>
        <v>0</v>
      </c>
      <c r="AL327" s="35">
        <f>IF(AN327=21,J327,0)</f>
        <v>0</v>
      </c>
      <c r="AN327" s="35">
        <v>15</v>
      </c>
      <c r="AO327" s="35">
        <f>G327*0</f>
        <v>0</v>
      </c>
      <c r="AP327" s="35">
        <f>G327*(1-0)</f>
        <v>0</v>
      </c>
      <c r="AQ327" s="37" t="s">
        <v>70</v>
      </c>
      <c r="AV327" s="35">
        <f>AW327+AX327</f>
        <v>0</v>
      </c>
      <c r="AW327" s="35">
        <f>F327*AO327</f>
        <v>0</v>
      </c>
      <c r="AX327" s="35">
        <f>F327*AP327</f>
        <v>0</v>
      </c>
      <c r="AY327" s="37" t="s">
        <v>555</v>
      </c>
      <c r="AZ327" s="37" t="s">
        <v>348</v>
      </c>
      <c r="BA327" s="21" t="s">
        <v>59</v>
      </c>
      <c r="BC327" s="35">
        <f>AW327+AX327</f>
        <v>0</v>
      </c>
      <c r="BD327" s="35">
        <f>G327/(100-BE327)*100</f>
        <v>0</v>
      </c>
      <c r="BE327" s="35">
        <v>0</v>
      </c>
      <c r="BF327" s="35">
        <f>L327</f>
        <v>0</v>
      </c>
      <c r="BH327" s="35">
        <f>F327*AO327</f>
        <v>0</v>
      </c>
      <c r="BI327" s="35">
        <f>F327*AP327</f>
        <v>0</v>
      </c>
      <c r="BJ327" s="35">
        <f>F327*G327</f>
        <v>0</v>
      </c>
      <c r="BK327" s="35"/>
      <c r="BL327" s="35">
        <v>764</v>
      </c>
    </row>
    <row r="328" spans="1:13" ht="15" customHeight="1">
      <c r="A328" s="38"/>
      <c r="C328" s="39" t="s">
        <v>641</v>
      </c>
      <c r="D328" s="39"/>
      <c r="F328" s="40">
        <v>1.9840000000000002</v>
      </c>
      <c r="M328" s="41"/>
    </row>
    <row r="329" spans="1:47" ht="15" customHeight="1">
      <c r="A329" s="30"/>
      <c r="B329" s="31" t="s">
        <v>642</v>
      </c>
      <c r="C329" s="31" t="s">
        <v>643</v>
      </c>
      <c r="D329" s="31"/>
      <c r="E329" s="32" t="s">
        <v>4</v>
      </c>
      <c r="F329" s="32" t="s">
        <v>4</v>
      </c>
      <c r="G329" s="32" t="s">
        <v>4</v>
      </c>
      <c r="H329" s="3">
        <f>SUM(H330:H367)</f>
        <v>0</v>
      </c>
      <c r="I329" s="3">
        <f>SUM(I330:I367)</f>
        <v>0</v>
      </c>
      <c r="J329" s="3">
        <f>SUM(J330:J367)</f>
        <v>0</v>
      </c>
      <c r="K329" s="21"/>
      <c r="L329" s="3">
        <f>SUM(L330:L367)</f>
        <v>10.56</v>
      </c>
      <c r="M329" s="33"/>
      <c r="AI329" s="21"/>
      <c r="AS329" s="3">
        <f>SUM(AJ330:AJ367)</f>
        <v>0</v>
      </c>
      <c r="AT329" s="3">
        <f>SUM(AK330:AK367)</f>
        <v>0</v>
      </c>
      <c r="AU329" s="3">
        <f>SUM(AL330:AL367)</f>
        <v>0</v>
      </c>
    </row>
    <row r="330" spans="1:64" ht="15" customHeight="1">
      <c r="A330" s="34" t="s">
        <v>644</v>
      </c>
      <c r="B330" s="11" t="s">
        <v>645</v>
      </c>
      <c r="C330" s="11" t="s">
        <v>646</v>
      </c>
      <c r="D330" s="11"/>
      <c r="E330" s="11" t="s">
        <v>93</v>
      </c>
      <c r="F330" s="35">
        <v>148.8</v>
      </c>
      <c r="G330" s="35">
        <v>0</v>
      </c>
      <c r="H330" s="35">
        <f>F330*AO330</f>
        <v>0</v>
      </c>
      <c r="I330" s="35">
        <f>F330*AP330</f>
        <v>0</v>
      </c>
      <c r="J330" s="35">
        <f>F330*G330</f>
        <v>0</v>
      </c>
      <c r="K330" s="35">
        <v>6E-05</v>
      </c>
      <c r="L330" s="35">
        <f>F330*K330</f>
        <v>0</v>
      </c>
      <c r="M330" s="36" t="s">
        <v>57</v>
      </c>
      <c r="Z330" s="35">
        <f>IF(AQ330="5",BJ330,0)</f>
        <v>0</v>
      </c>
      <c r="AB330" s="35">
        <f>IF(AQ330="1",BH330,0)</f>
        <v>0</v>
      </c>
      <c r="AC330" s="35">
        <f>IF(AQ330="1",BI330,0)</f>
        <v>0</v>
      </c>
      <c r="AD330" s="35">
        <f>IF(AQ330="7",BH330,0)</f>
        <v>0</v>
      </c>
      <c r="AE330" s="35">
        <f>IF(AQ330="7",BI330,0)</f>
        <v>0</v>
      </c>
      <c r="AF330" s="35">
        <f>IF(AQ330="2",BH330,0)</f>
        <v>0</v>
      </c>
      <c r="AG330" s="35">
        <f>IF(AQ330="2",BI330,0)</f>
        <v>0</v>
      </c>
      <c r="AH330" s="35">
        <f>IF(AQ330="0",BJ330,0)</f>
        <v>0</v>
      </c>
      <c r="AI330" s="21"/>
      <c r="AJ330" s="35">
        <f>IF(AN330=0,J330,0)</f>
        <v>0</v>
      </c>
      <c r="AK330" s="35">
        <f>IF(AN330=15,J330,0)</f>
        <v>0</v>
      </c>
      <c r="AL330" s="35">
        <f>IF(AN330=21,J330,0)</f>
        <v>0</v>
      </c>
      <c r="AN330" s="35">
        <v>15</v>
      </c>
      <c r="AO330" s="35">
        <f>G330*0.0497846153846154</f>
        <v>0</v>
      </c>
      <c r="AP330" s="35">
        <f>G330*(1-0.0497846153846154)</f>
        <v>0</v>
      </c>
      <c r="AQ330" s="37" t="s">
        <v>82</v>
      </c>
      <c r="AV330" s="35">
        <f>AW330+AX330</f>
        <v>0</v>
      </c>
      <c r="AW330" s="35">
        <f>F330*AO330</f>
        <v>0</v>
      </c>
      <c r="AX330" s="35">
        <f>F330*AP330</f>
        <v>0</v>
      </c>
      <c r="AY330" s="37" t="s">
        <v>647</v>
      </c>
      <c r="AZ330" s="37" t="s">
        <v>348</v>
      </c>
      <c r="BA330" s="21" t="s">
        <v>59</v>
      </c>
      <c r="BC330" s="35">
        <f>AW330+AX330</f>
        <v>0</v>
      </c>
      <c r="BD330" s="35">
        <f>G330/(100-BE330)*100</f>
        <v>0</v>
      </c>
      <c r="BE330" s="35">
        <v>0</v>
      </c>
      <c r="BF330" s="35">
        <f>L330</f>
        <v>0</v>
      </c>
      <c r="BH330" s="35">
        <f>F330*AO330</f>
        <v>0</v>
      </c>
      <c r="BI330" s="35">
        <f>F330*AP330</f>
        <v>0</v>
      </c>
      <c r="BJ330" s="35">
        <f>F330*G330</f>
        <v>0</v>
      </c>
      <c r="BK330" s="35"/>
      <c r="BL330" s="35">
        <v>767</v>
      </c>
    </row>
    <row r="331" spans="1:13" ht="15" customHeight="1">
      <c r="A331" s="38"/>
      <c r="C331" s="39" t="s">
        <v>648</v>
      </c>
      <c r="D331" s="39" t="s">
        <v>649</v>
      </c>
      <c r="F331" s="40">
        <v>148.8</v>
      </c>
      <c r="M331" s="41"/>
    </row>
    <row r="332" spans="1:13" ht="15" customHeight="1">
      <c r="A332" s="38"/>
      <c r="C332" s="39"/>
      <c r="D332" s="39" t="s">
        <v>650</v>
      </c>
      <c r="F332" s="40">
        <v>0</v>
      </c>
      <c r="M332" s="41"/>
    </row>
    <row r="333" spans="1:64" ht="15" customHeight="1">
      <c r="A333" s="34" t="s">
        <v>651</v>
      </c>
      <c r="B333" s="11" t="s">
        <v>652</v>
      </c>
      <c r="C333" s="11" t="s">
        <v>653</v>
      </c>
      <c r="D333" s="11"/>
      <c r="E333" s="11" t="s">
        <v>163</v>
      </c>
      <c r="F333" s="35">
        <v>192</v>
      </c>
      <c r="G333" s="35">
        <v>0</v>
      </c>
      <c r="H333" s="35">
        <f>F333*AO333</f>
        <v>0</v>
      </c>
      <c r="I333" s="35">
        <f>F333*AP333</f>
        <v>0</v>
      </c>
      <c r="J333" s="35">
        <f>F333*G333</f>
        <v>0</v>
      </c>
      <c r="K333" s="35">
        <v>0</v>
      </c>
      <c r="L333" s="35">
        <f>F333*K333</f>
        <v>0</v>
      </c>
      <c r="M333" s="36" t="s">
        <v>57</v>
      </c>
      <c r="Z333" s="35">
        <f>IF(AQ333="5",BJ333,0)</f>
        <v>0</v>
      </c>
      <c r="AB333" s="35">
        <f>IF(AQ333="1",BH333,0)</f>
        <v>0</v>
      </c>
      <c r="AC333" s="35">
        <f>IF(AQ333="1",BI333,0)</f>
        <v>0</v>
      </c>
      <c r="AD333" s="35">
        <f>IF(AQ333="7",BH333,0)</f>
        <v>0</v>
      </c>
      <c r="AE333" s="35">
        <f>IF(AQ333="7",BI333,0)</f>
        <v>0</v>
      </c>
      <c r="AF333" s="35">
        <f>IF(AQ333="2",BH333,0)</f>
        <v>0</v>
      </c>
      <c r="AG333" s="35">
        <f>IF(AQ333="2",BI333,0)</f>
        <v>0</v>
      </c>
      <c r="AH333" s="35">
        <f>IF(AQ333="0",BJ333,0)</f>
        <v>0</v>
      </c>
      <c r="AI333" s="21"/>
      <c r="AJ333" s="35">
        <f>IF(AN333=0,J333,0)</f>
        <v>0</v>
      </c>
      <c r="AK333" s="35">
        <f>IF(AN333=15,J333,0)</f>
        <v>0</v>
      </c>
      <c r="AL333" s="35">
        <f>IF(AN333=21,J333,0)</f>
        <v>0</v>
      </c>
      <c r="AN333" s="35">
        <v>15</v>
      </c>
      <c r="AO333" s="35">
        <f>G333*1</f>
        <v>0</v>
      </c>
      <c r="AP333" s="35">
        <f>G333*(1-1)</f>
        <v>0</v>
      </c>
      <c r="AQ333" s="37" t="s">
        <v>82</v>
      </c>
      <c r="AV333" s="35">
        <f>AW333+AX333</f>
        <v>0</v>
      </c>
      <c r="AW333" s="35">
        <f>F333*AO333</f>
        <v>0</v>
      </c>
      <c r="AX333" s="35">
        <f>F333*AP333</f>
        <v>0</v>
      </c>
      <c r="AY333" s="37" t="s">
        <v>647</v>
      </c>
      <c r="AZ333" s="37" t="s">
        <v>348</v>
      </c>
      <c r="BA333" s="21" t="s">
        <v>59</v>
      </c>
      <c r="BC333" s="35">
        <f>AW333+AX333</f>
        <v>0</v>
      </c>
      <c r="BD333" s="35">
        <f>G333/(100-BE333)*100</f>
        <v>0</v>
      </c>
      <c r="BE333" s="35">
        <v>0</v>
      </c>
      <c r="BF333" s="35">
        <f>L333</f>
        <v>0</v>
      </c>
      <c r="BH333" s="35">
        <f>F333*AO333</f>
        <v>0</v>
      </c>
      <c r="BI333" s="35">
        <f>F333*AP333</f>
        <v>0</v>
      </c>
      <c r="BJ333" s="35">
        <f>F333*G333</f>
        <v>0</v>
      </c>
      <c r="BK333" s="35"/>
      <c r="BL333" s="35">
        <v>767</v>
      </c>
    </row>
    <row r="334" spans="1:13" ht="15" customHeight="1">
      <c r="A334" s="38"/>
      <c r="C334" s="39" t="s">
        <v>654</v>
      </c>
      <c r="D334" s="39"/>
      <c r="F334" s="40">
        <v>192.00000000000003</v>
      </c>
      <c r="M334" s="41"/>
    </row>
    <row r="335" spans="1:64" ht="15" customHeight="1">
      <c r="A335" s="34" t="s">
        <v>655</v>
      </c>
      <c r="B335" s="11" t="s">
        <v>656</v>
      </c>
      <c r="C335" s="11" t="s">
        <v>657</v>
      </c>
      <c r="D335" s="11"/>
      <c r="E335" s="11" t="s">
        <v>93</v>
      </c>
      <c r="F335" s="35">
        <v>148.8</v>
      </c>
      <c r="G335" s="35">
        <v>0</v>
      </c>
      <c r="H335" s="35">
        <f>F335*AO335</f>
        <v>0</v>
      </c>
      <c r="I335" s="35">
        <f>F335*AP335</f>
        <v>0</v>
      </c>
      <c r="J335" s="35">
        <f>F335*G335</f>
        <v>0</v>
      </c>
      <c r="K335" s="35">
        <v>0.00049</v>
      </c>
      <c r="L335" s="35">
        <f>F335*K335</f>
        <v>0</v>
      </c>
      <c r="M335" s="36" t="s">
        <v>57</v>
      </c>
      <c r="Z335" s="35">
        <f>IF(AQ335="5",BJ335,0)</f>
        <v>0</v>
      </c>
      <c r="AB335" s="35">
        <f>IF(AQ335="1",BH335,0)</f>
        <v>0</v>
      </c>
      <c r="AC335" s="35">
        <f>IF(AQ335="1",BI335,0)</f>
        <v>0</v>
      </c>
      <c r="AD335" s="35">
        <f>IF(AQ335="7",BH335,0)</f>
        <v>0</v>
      </c>
      <c r="AE335" s="35">
        <f>IF(AQ335="7",BI335,0)</f>
        <v>0</v>
      </c>
      <c r="AF335" s="35">
        <f>IF(AQ335="2",BH335,0)</f>
        <v>0</v>
      </c>
      <c r="AG335" s="35">
        <f>IF(AQ335="2",BI335,0)</f>
        <v>0</v>
      </c>
      <c r="AH335" s="35">
        <f>IF(AQ335="0",BJ335,0)</f>
        <v>0</v>
      </c>
      <c r="AI335" s="21"/>
      <c r="AJ335" s="35">
        <f>IF(AN335=0,J335,0)</f>
        <v>0</v>
      </c>
      <c r="AK335" s="35">
        <f>IF(AN335=15,J335,0)</f>
        <v>0</v>
      </c>
      <c r="AL335" s="35">
        <f>IF(AN335=21,J335,0)</f>
        <v>0</v>
      </c>
      <c r="AN335" s="35">
        <v>15</v>
      </c>
      <c r="AO335" s="35">
        <f>G335*0.782729682909004</f>
        <v>0</v>
      </c>
      <c r="AP335" s="35">
        <f>G335*(1-0.782729682909004)</f>
        <v>0</v>
      </c>
      <c r="AQ335" s="37" t="s">
        <v>82</v>
      </c>
      <c r="AV335" s="35">
        <f>AW335+AX335</f>
        <v>0</v>
      </c>
      <c r="AW335" s="35">
        <f>F335*AO335</f>
        <v>0</v>
      </c>
      <c r="AX335" s="35">
        <f>F335*AP335</f>
        <v>0</v>
      </c>
      <c r="AY335" s="37" t="s">
        <v>647</v>
      </c>
      <c r="AZ335" s="37" t="s">
        <v>348</v>
      </c>
      <c r="BA335" s="21" t="s">
        <v>59</v>
      </c>
      <c r="BC335" s="35">
        <f>AW335+AX335</f>
        <v>0</v>
      </c>
      <c r="BD335" s="35">
        <f>G335/(100-BE335)*100</f>
        <v>0</v>
      </c>
      <c r="BE335" s="35">
        <v>0</v>
      </c>
      <c r="BF335" s="35">
        <f>L335</f>
        <v>0</v>
      </c>
      <c r="BH335" s="35">
        <f>F335*AO335</f>
        <v>0</v>
      </c>
      <c r="BI335" s="35">
        <f>F335*AP335</f>
        <v>0</v>
      </c>
      <c r="BJ335" s="35">
        <f>F335*G335</f>
        <v>0</v>
      </c>
      <c r="BK335" s="35"/>
      <c r="BL335" s="35">
        <v>767</v>
      </c>
    </row>
    <row r="336" spans="1:13" ht="15" customHeight="1">
      <c r="A336" s="38"/>
      <c r="C336" s="39" t="s">
        <v>648</v>
      </c>
      <c r="D336" s="39"/>
      <c r="F336" s="40">
        <v>148.8</v>
      </c>
      <c r="M336" s="41"/>
    </row>
    <row r="337" spans="1:64" ht="15" customHeight="1">
      <c r="A337" s="34" t="s">
        <v>658</v>
      </c>
      <c r="B337" s="11" t="s">
        <v>659</v>
      </c>
      <c r="C337" s="11" t="s">
        <v>660</v>
      </c>
      <c r="D337" s="11"/>
      <c r="E337" s="11" t="s">
        <v>93</v>
      </c>
      <c r="F337" s="35">
        <v>33.6</v>
      </c>
      <c r="G337" s="35">
        <v>0</v>
      </c>
      <c r="H337" s="35">
        <f>F337*AO337</f>
        <v>0</v>
      </c>
      <c r="I337" s="35">
        <f>F337*AP337</f>
        <v>0</v>
      </c>
      <c r="J337" s="35">
        <f>F337*G337</f>
        <v>0</v>
      </c>
      <c r="K337" s="35">
        <v>0</v>
      </c>
      <c r="L337" s="35">
        <f>F337*K337</f>
        <v>0</v>
      </c>
      <c r="M337" s="36" t="s">
        <v>57</v>
      </c>
      <c r="Z337" s="35">
        <f>IF(AQ337="5",BJ337,0)</f>
        <v>0</v>
      </c>
      <c r="AB337" s="35">
        <f>IF(AQ337="1",BH337,0)</f>
        <v>0</v>
      </c>
      <c r="AC337" s="35">
        <f>IF(AQ337="1",BI337,0)</f>
        <v>0</v>
      </c>
      <c r="AD337" s="35">
        <f>IF(AQ337="7",BH337,0)</f>
        <v>0</v>
      </c>
      <c r="AE337" s="35">
        <f>IF(AQ337="7",BI337,0)</f>
        <v>0</v>
      </c>
      <c r="AF337" s="35">
        <f>IF(AQ337="2",BH337,0)</f>
        <v>0</v>
      </c>
      <c r="AG337" s="35">
        <f>IF(AQ337="2",BI337,0)</f>
        <v>0</v>
      </c>
      <c r="AH337" s="35">
        <f>IF(AQ337="0",BJ337,0)</f>
        <v>0</v>
      </c>
      <c r="AI337" s="21"/>
      <c r="AJ337" s="35">
        <f>IF(AN337=0,J337,0)</f>
        <v>0</v>
      </c>
      <c r="AK337" s="35">
        <f>IF(AN337=15,J337,0)</f>
        <v>0</v>
      </c>
      <c r="AL337" s="35">
        <f>IF(AN337=21,J337,0)</f>
        <v>0</v>
      </c>
      <c r="AN337" s="35">
        <v>15</v>
      </c>
      <c r="AO337" s="35">
        <f>G337*0</f>
        <v>0</v>
      </c>
      <c r="AP337" s="35">
        <f>G337*(1-0)</f>
        <v>0</v>
      </c>
      <c r="AQ337" s="37" t="s">
        <v>82</v>
      </c>
      <c r="AV337" s="35">
        <f>AW337+AX337</f>
        <v>0</v>
      </c>
      <c r="AW337" s="35">
        <f>F337*AO337</f>
        <v>0</v>
      </c>
      <c r="AX337" s="35">
        <f>F337*AP337</f>
        <v>0</v>
      </c>
      <c r="AY337" s="37" t="s">
        <v>647</v>
      </c>
      <c r="AZ337" s="37" t="s">
        <v>348</v>
      </c>
      <c r="BA337" s="21" t="s">
        <v>59</v>
      </c>
      <c r="BC337" s="35">
        <f>AW337+AX337</f>
        <v>0</v>
      </c>
      <c r="BD337" s="35">
        <f>G337/(100-BE337)*100</f>
        <v>0</v>
      </c>
      <c r="BE337" s="35">
        <v>0</v>
      </c>
      <c r="BF337" s="35">
        <f>L337</f>
        <v>0</v>
      </c>
      <c r="BH337" s="35">
        <f>F337*AO337</f>
        <v>0</v>
      </c>
      <c r="BI337" s="35">
        <f>F337*AP337</f>
        <v>0</v>
      </c>
      <c r="BJ337" s="35">
        <f>F337*G337</f>
        <v>0</v>
      </c>
      <c r="BK337" s="35"/>
      <c r="BL337" s="35">
        <v>767</v>
      </c>
    </row>
    <row r="338" spans="1:13" ht="15" customHeight="1">
      <c r="A338" s="38"/>
      <c r="C338" s="39" t="s">
        <v>661</v>
      </c>
      <c r="D338" s="39" t="s">
        <v>662</v>
      </c>
      <c r="F338" s="40">
        <v>33.6</v>
      </c>
      <c r="M338" s="41"/>
    </row>
    <row r="339" spans="1:64" ht="15" customHeight="1">
      <c r="A339" s="34" t="s">
        <v>663</v>
      </c>
      <c r="B339" s="11" t="s">
        <v>652</v>
      </c>
      <c r="C339" s="11" t="s">
        <v>653</v>
      </c>
      <c r="D339" s="11"/>
      <c r="E339" s="11" t="s">
        <v>163</v>
      </c>
      <c r="F339" s="35">
        <v>18</v>
      </c>
      <c r="G339" s="35">
        <v>0</v>
      </c>
      <c r="H339" s="35">
        <f>F339*AO339</f>
        <v>0</v>
      </c>
      <c r="I339" s="35">
        <f>F339*AP339</f>
        <v>0</v>
      </c>
      <c r="J339" s="35">
        <f>F339*G339</f>
        <v>0</v>
      </c>
      <c r="K339" s="35">
        <v>0</v>
      </c>
      <c r="L339" s="35">
        <f>F339*K339</f>
        <v>0</v>
      </c>
      <c r="M339" s="36" t="s">
        <v>57</v>
      </c>
      <c r="Z339" s="35">
        <f>IF(AQ339="5",BJ339,0)</f>
        <v>0</v>
      </c>
      <c r="AB339" s="35">
        <f>IF(AQ339="1",BH339,0)</f>
        <v>0</v>
      </c>
      <c r="AC339" s="35">
        <f>IF(AQ339="1",BI339,0)</f>
        <v>0</v>
      </c>
      <c r="AD339" s="35">
        <f>IF(AQ339="7",BH339,0)</f>
        <v>0</v>
      </c>
      <c r="AE339" s="35">
        <f>IF(AQ339="7",BI339,0)</f>
        <v>0</v>
      </c>
      <c r="AF339" s="35">
        <f>IF(AQ339="2",BH339,0)</f>
        <v>0</v>
      </c>
      <c r="AG339" s="35">
        <f>IF(AQ339="2",BI339,0)</f>
        <v>0</v>
      </c>
      <c r="AH339" s="35">
        <f>IF(AQ339="0",BJ339,0)</f>
        <v>0</v>
      </c>
      <c r="AI339" s="21"/>
      <c r="AJ339" s="35">
        <f>IF(AN339=0,J339,0)</f>
        <v>0</v>
      </c>
      <c r="AK339" s="35">
        <f>IF(AN339=15,J339,0)</f>
        <v>0</v>
      </c>
      <c r="AL339" s="35">
        <f>IF(AN339=21,J339,0)</f>
        <v>0</v>
      </c>
      <c r="AN339" s="35">
        <v>15</v>
      </c>
      <c r="AO339" s="35">
        <f>G339*1</f>
        <v>0</v>
      </c>
      <c r="AP339" s="35">
        <f>G339*(1-1)</f>
        <v>0</v>
      </c>
      <c r="AQ339" s="37" t="s">
        <v>82</v>
      </c>
      <c r="AV339" s="35">
        <f>AW339+AX339</f>
        <v>0</v>
      </c>
      <c r="AW339" s="35">
        <f>F339*AO339</f>
        <v>0</v>
      </c>
      <c r="AX339" s="35">
        <f>F339*AP339</f>
        <v>0</v>
      </c>
      <c r="AY339" s="37" t="s">
        <v>647</v>
      </c>
      <c r="AZ339" s="37" t="s">
        <v>348</v>
      </c>
      <c r="BA339" s="21" t="s">
        <v>59</v>
      </c>
      <c r="BC339" s="35">
        <f>AW339+AX339</f>
        <v>0</v>
      </c>
      <c r="BD339" s="35">
        <f>G339/(100-BE339)*100</f>
        <v>0</v>
      </c>
      <c r="BE339" s="35">
        <v>0</v>
      </c>
      <c r="BF339" s="35">
        <f>L339</f>
        <v>0</v>
      </c>
      <c r="BH339" s="35">
        <f>F339*AO339</f>
        <v>0</v>
      </c>
      <c r="BI339" s="35">
        <f>F339*AP339</f>
        <v>0</v>
      </c>
      <c r="BJ339" s="35">
        <f>F339*G339</f>
        <v>0</v>
      </c>
      <c r="BK339" s="35"/>
      <c r="BL339" s="35">
        <v>767</v>
      </c>
    </row>
    <row r="340" spans="1:13" ht="15" customHeight="1">
      <c r="A340" s="38"/>
      <c r="C340" s="39" t="s">
        <v>119</v>
      </c>
      <c r="D340" s="39"/>
      <c r="F340" s="40">
        <v>18</v>
      </c>
      <c r="M340" s="41"/>
    </row>
    <row r="341" spans="1:64" ht="15" customHeight="1">
      <c r="A341" s="34" t="s">
        <v>664</v>
      </c>
      <c r="B341" s="11" t="s">
        <v>665</v>
      </c>
      <c r="C341" s="11" t="s">
        <v>666</v>
      </c>
      <c r="D341" s="11"/>
      <c r="E341" s="11" t="s">
        <v>93</v>
      </c>
      <c r="F341" s="35">
        <v>67.2</v>
      </c>
      <c r="G341" s="35">
        <v>0</v>
      </c>
      <c r="H341" s="35">
        <f>F341*AO341</f>
        <v>0</v>
      </c>
      <c r="I341" s="35">
        <f>F341*AP341</f>
        <v>0</v>
      </c>
      <c r="J341" s="35">
        <f>F341*G341</f>
        <v>0</v>
      </c>
      <c r="K341" s="35">
        <v>0.00322</v>
      </c>
      <c r="L341" s="35">
        <f>F341*K341</f>
        <v>0</v>
      </c>
      <c r="M341" s="36" t="s">
        <v>57</v>
      </c>
      <c r="Z341" s="35">
        <f>IF(AQ341="5",BJ341,0)</f>
        <v>0</v>
      </c>
      <c r="AB341" s="35">
        <f>IF(AQ341="1",BH341,0)</f>
        <v>0</v>
      </c>
      <c r="AC341" s="35">
        <f>IF(AQ341="1",BI341,0)</f>
        <v>0</v>
      </c>
      <c r="AD341" s="35">
        <f>IF(AQ341="7",BH341,0)</f>
        <v>0</v>
      </c>
      <c r="AE341" s="35">
        <f>IF(AQ341="7",BI341,0)</f>
        <v>0</v>
      </c>
      <c r="AF341" s="35">
        <f>IF(AQ341="2",BH341,0)</f>
        <v>0</v>
      </c>
      <c r="AG341" s="35">
        <f>IF(AQ341="2",BI341,0)</f>
        <v>0</v>
      </c>
      <c r="AH341" s="35">
        <f>IF(AQ341="0",BJ341,0)</f>
        <v>0</v>
      </c>
      <c r="AI341" s="21"/>
      <c r="AJ341" s="35">
        <f>IF(AN341=0,J341,0)</f>
        <v>0</v>
      </c>
      <c r="AK341" s="35">
        <f>IF(AN341=15,J341,0)</f>
        <v>0</v>
      </c>
      <c r="AL341" s="35">
        <f>IF(AN341=21,J341,0)</f>
        <v>0</v>
      </c>
      <c r="AN341" s="35">
        <v>15</v>
      </c>
      <c r="AO341" s="35">
        <f>G341*0.437722222222222</f>
        <v>0</v>
      </c>
      <c r="AP341" s="35">
        <f>G341*(1-0.437722222222222)</f>
        <v>0</v>
      </c>
      <c r="AQ341" s="37" t="s">
        <v>82</v>
      </c>
      <c r="AV341" s="35">
        <f>AW341+AX341</f>
        <v>0</v>
      </c>
      <c r="AW341" s="35">
        <f>F341*AO341</f>
        <v>0</v>
      </c>
      <c r="AX341" s="35">
        <f>F341*AP341</f>
        <v>0</v>
      </c>
      <c r="AY341" s="37" t="s">
        <v>647</v>
      </c>
      <c r="AZ341" s="37" t="s">
        <v>348</v>
      </c>
      <c r="BA341" s="21" t="s">
        <v>59</v>
      </c>
      <c r="BC341" s="35">
        <f>AW341+AX341</f>
        <v>0</v>
      </c>
      <c r="BD341" s="35">
        <f>G341/(100-BE341)*100</f>
        <v>0</v>
      </c>
      <c r="BE341" s="35">
        <v>0</v>
      </c>
      <c r="BF341" s="35">
        <f>L341</f>
        <v>0</v>
      </c>
      <c r="BH341" s="35">
        <f>F341*AO341</f>
        <v>0</v>
      </c>
      <c r="BI341" s="35">
        <f>F341*AP341</f>
        <v>0</v>
      </c>
      <c r="BJ341" s="35">
        <f>F341*G341</f>
        <v>0</v>
      </c>
      <c r="BK341" s="35"/>
      <c r="BL341" s="35">
        <v>767</v>
      </c>
    </row>
    <row r="342" spans="1:13" ht="15" customHeight="1">
      <c r="A342" s="38"/>
      <c r="C342" s="39" t="s">
        <v>667</v>
      </c>
      <c r="D342" s="39" t="s">
        <v>668</v>
      </c>
      <c r="F342" s="40">
        <v>67.2</v>
      </c>
      <c r="M342" s="41"/>
    </row>
    <row r="343" spans="1:64" ht="15" customHeight="1">
      <c r="A343" s="34" t="s">
        <v>669</v>
      </c>
      <c r="B343" s="11" t="s">
        <v>670</v>
      </c>
      <c r="C343" s="11" t="s">
        <v>671</v>
      </c>
      <c r="D343" s="11"/>
      <c r="E343" s="11" t="s">
        <v>93</v>
      </c>
      <c r="F343" s="35">
        <v>9.6</v>
      </c>
      <c r="G343" s="35">
        <v>0</v>
      </c>
      <c r="H343" s="35">
        <f>F343*AO343</f>
        <v>0</v>
      </c>
      <c r="I343" s="35">
        <f>F343*AP343</f>
        <v>0</v>
      </c>
      <c r="J343" s="35">
        <f>F343*G343</f>
        <v>0</v>
      </c>
      <c r="K343" s="35">
        <v>0.00339</v>
      </c>
      <c r="L343" s="35">
        <f>F343*K343</f>
        <v>0</v>
      </c>
      <c r="M343" s="36" t="s">
        <v>57</v>
      </c>
      <c r="Z343" s="35">
        <f>IF(AQ343="5",BJ343,0)</f>
        <v>0</v>
      </c>
      <c r="AB343" s="35">
        <f>IF(AQ343="1",BH343,0)</f>
        <v>0</v>
      </c>
      <c r="AC343" s="35">
        <f>IF(AQ343="1",BI343,0)</f>
        <v>0</v>
      </c>
      <c r="AD343" s="35">
        <f>IF(AQ343="7",BH343,0)</f>
        <v>0</v>
      </c>
      <c r="AE343" s="35">
        <f>IF(AQ343="7",BI343,0)</f>
        <v>0</v>
      </c>
      <c r="AF343" s="35">
        <f>IF(AQ343="2",BH343,0)</f>
        <v>0</v>
      </c>
      <c r="AG343" s="35">
        <f>IF(AQ343="2",BI343,0)</f>
        <v>0</v>
      </c>
      <c r="AH343" s="35">
        <f>IF(AQ343="0",BJ343,0)</f>
        <v>0</v>
      </c>
      <c r="AI343" s="21"/>
      <c r="AJ343" s="35">
        <f>IF(AN343=0,J343,0)</f>
        <v>0</v>
      </c>
      <c r="AK343" s="35">
        <f>IF(AN343=15,J343,0)</f>
        <v>0</v>
      </c>
      <c r="AL343" s="35">
        <f>IF(AN343=21,J343,0)</f>
        <v>0</v>
      </c>
      <c r="AN343" s="35">
        <v>15</v>
      </c>
      <c r="AO343" s="35">
        <f>G343*0.0273060988985284</f>
        <v>0</v>
      </c>
      <c r="AP343" s="35">
        <f>G343*(1-0.0273060988985284)</f>
        <v>0</v>
      </c>
      <c r="AQ343" s="37" t="s">
        <v>82</v>
      </c>
      <c r="AV343" s="35">
        <f>AW343+AX343</f>
        <v>0</v>
      </c>
      <c r="AW343" s="35">
        <f>F343*AO343</f>
        <v>0</v>
      </c>
      <c r="AX343" s="35">
        <f>F343*AP343</f>
        <v>0</v>
      </c>
      <c r="AY343" s="37" t="s">
        <v>647</v>
      </c>
      <c r="AZ343" s="37" t="s">
        <v>348</v>
      </c>
      <c r="BA343" s="21" t="s">
        <v>59</v>
      </c>
      <c r="BC343" s="35">
        <f>AW343+AX343</f>
        <v>0</v>
      </c>
      <c r="BD343" s="35">
        <f>G343/(100-BE343)*100</f>
        <v>0</v>
      </c>
      <c r="BE343" s="35">
        <v>0</v>
      </c>
      <c r="BF343" s="35">
        <f>L343</f>
        <v>0</v>
      </c>
      <c r="BH343" s="35">
        <f>F343*AO343</f>
        <v>0</v>
      </c>
      <c r="BI343" s="35">
        <f>F343*AP343</f>
        <v>0</v>
      </c>
      <c r="BJ343" s="35">
        <f>F343*G343</f>
        <v>0</v>
      </c>
      <c r="BK343" s="35"/>
      <c r="BL343" s="35">
        <v>767</v>
      </c>
    </row>
    <row r="344" spans="1:13" ht="15" customHeight="1">
      <c r="A344" s="38"/>
      <c r="C344" s="39" t="s">
        <v>308</v>
      </c>
      <c r="D344" s="39"/>
      <c r="F344" s="40">
        <v>9.600000000000001</v>
      </c>
      <c r="M344" s="41"/>
    </row>
    <row r="345" spans="1:64" ht="15" customHeight="1">
      <c r="A345" s="34" t="s">
        <v>672</v>
      </c>
      <c r="B345" s="11" t="s">
        <v>673</v>
      </c>
      <c r="C345" s="11" t="s">
        <v>674</v>
      </c>
      <c r="D345" s="11"/>
      <c r="E345" s="11" t="s">
        <v>163</v>
      </c>
      <c r="F345" s="35">
        <v>72</v>
      </c>
      <c r="G345" s="35">
        <v>0</v>
      </c>
      <c r="H345" s="35">
        <f>F345*AO345</f>
        <v>0</v>
      </c>
      <c r="I345" s="35">
        <f>F345*AP345</f>
        <v>0</v>
      </c>
      <c r="J345" s="35">
        <f>F345*G345</f>
        <v>0</v>
      </c>
      <c r="K345" s="35">
        <v>0.03</v>
      </c>
      <c r="L345" s="35">
        <f>F345*K345</f>
        <v>2.16</v>
      </c>
      <c r="M345" s="36" t="s">
        <v>57</v>
      </c>
      <c r="Z345" s="35">
        <f>IF(AQ345="5",BJ345,0)</f>
        <v>0</v>
      </c>
      <c r="AB345" s="35">
        <f>IF(AQ345="1",BH345,0)</f>
        <v>0</v>
      </c>
      <c r="AC345" s="35">
        <f>IF(AQ345="1",BI345,0)</f>
        <v>0</v>
      </c>
      <c r="AD345" s="35">
        <f>IF(AQ345="7",BH345,0)</f>
        <v>0</v>
      </c>
      <c r="AE345" s="35">
        <f>IF(AQ345="7",BI345,0)</f>
        <v>0</v>
      </c>
      <c r="AF345" s="35">
        <f>IF(AQ345="2",BH345,0)</f>
        <v>0</v>
      </c>
      <c r="AG345" s="35">
        <f>IF(AQ345="2",BI345,0)</f>
        <v>0</v>
      </c>
      <c r="AH345" s="35">
        <f>IF(AQ345="0",BJ345,0)</f>
        <v>0</v>
      </c>
      <c r="AI345" s="21"/>
      <c r="AJ345" s="35">
        <f>IF(AN345=0,J345,0)</f>
        <v>0</v>
      </c>
      <c r="AK345" s="35">
        <f>IF(AN345=15,J345,0)</f>
        <v>0</v>
      </c>
      <c r="AL345" s="35">
        <f>IF(AN345=21,J345,0)</f>
        <v>0</v>
      </c>
      <c r="AN345" s="35">
        <v>15</v>
      </c>
      <c r="AO345" s="35">
        <f>G345*0</f>
        <v>0</v>
      </c>
      <c r="AP345" s="35">
        <f>G345*(1-0)</f>
        <v>0</v>
      </c>
      <c r="AQ345" s="37" t="s">
        <v>82</v>
      </c>
      <c r="AV345" s="35">
        <f>AW345+AX345</f>
        <v>0</v>
      </c>
      <c r="AW345" s="35">
        <f>F345*AO345</f>
        <v>0</v>
      </c>
      <c r="AX345" s="35">
        <f>F345*AP345</f>
        <v>0</v>
      </c>
      <c r="AY345" s="37" t="s">
        <v>647</v>
      </c>
      <c r="AZ345" s="37" t="s">
        <v>348</v>
      </c>
      <c r="BA345" s="21" t="s">
        <v>59</v>
      </c>
      <c r="BC345" s="35">
        <f>AW345+AX345</f>
        <v>0</v>
      </c>
      <c r="BD345" s="35">
        <f>G345/(100-BE345)*100</f>
        <v>0</v>
      </c>
      <c r="BE345" s="35">
        <v>0</v>
      </c>
      <c r="BF345" s="35">
        <f>L345</f>
        <v>2.16</v>
      </c>
      <c r="BH345" s="35">
        <f>F345*AO345</f>
        <v>0</v>
      </c>
      <c r="BI345" s="35">
        <f>F345*AP345</f>
        <v>0</v>
      </c>
      <c r="BJ345" s="35">
        <f>F345*G345</f>
        <v>0</v>
      </c>
      <c r="BK345" s="35"/>
      <c r="BL345" s="35">
        <v>767</v>
      </c>
    </row>
    <row r="346" spans="1:13" ht="15" customHeight="1">
      <c r="A346" s="38"/>
      <c r="C346" s="39" t="s">
        <v>675</v>
      </c>
      <c r="D346" s="39"/>
      <c r="F346" s="40">
        <v>72</v>
      </c>
      <c r="M346" s="41"/>
    </row>
    <row r="347" spans="1:64" ht="15" customHeight="1">
      <c r="A347" s="34" t="s">
        <v>676</v>
      </c>
      <c r="B347" s="11" t="s">
        <v>677</v>
      </c>
      <c r="C347" s="11" t="s">
        <v>678</v>
      </c>
      <c r="D347" s="11"/>
      <c r="E347" s="11" t="s">
        <v>56</v>
      </c>
      <c r="F347" s="35">
        <v>24</v>
      </c>
      <c r="G347" s="35">
        <v>0</v>
      </c>
      <c r="H347" s="35">
        <f>F347*AO347</f>
        <v>0</v>
      </c>
      <c r="I347" s="35">
        <f>F347*AP347</f>
        <v>0</v>
      </c>
      <c r="J347" s="35">
        <f>F347*G347</f>
        <v>0</v>
      </c>
      <c r="K347" s="35">
        <v>0.06</v>
      </c>
      <c r="L347" s="35">
        <f>F347*K347</f>
        <v>1.44</v>
      </c>
      <c r="M347" s="36" t="s">
        <v>57</v>
      </c>
      <c r="Z347" s="35">
        <f>IF(AQ347="5",BJ347,0)</f>
        <v>0</v>
      </c>
      <c r="AB347" s="35">
        <f>IF(AQ347="1",BH347,0)</f>
        <v>0</v>
      </c>
      <c r="AC347" s="35">
        <f>IF(AQ347="1",BI347,0)</f>
        <v>0</v>
      </c>
      <c r="AD347" s="35">
        <f>IF(AQ347="7",BH347,0)</f>
        <v>0</v>
      </c>
      <c r="AE347" s="35">
        <f>IF(AQ347="7",BI347,0)</f>
        <v>0</v>
      </c>
      <c r="AF347" s="35">
        <f>IF(AQ347="2",BH347,0)</f>
        <v>0</v>
      </c>
      <c r="AG347" s="35">
        <f>IF(AQ347="2",BI347,0)</f>
        <v>0</v>
      </c>
      <c r="AH347" s="35">
        <f>IF(AQ347="0",BJ347,0)</f>
        <v>0</v>
      </c>
      <c r="AI347" s="21"/>
      <c r="AJ347" s="35">
        <f>IF(AN347=0,J347,0)</f>
        <v>0</v>
      </c>
      <c r="AK347" s="35">
        <f>IF(AN347=15,J347,0)</f>
        <v>0</v>
      </c>
      <c r="AL347" s="35">
        <f>IF(AN347=21,J347,0)</f>
        <v>0</v>
      </c>
      <c r="AN347" s="35">
        <v>15</v>
      </c>
      <c r="AO347" s="35">
        <f>G347*0.050718019777036</f>
        <v>0</v>
      </c>
      <c r="AP347" s="35">
        <f>G347*(1-0.050718019777036)</f>
        <v>0</v>
      </c>
      <c r="AQ347" s="37" t="s">
        <v>82</v>
      </c>
      <c r="AV347" s="35">
        <f>AW347+AX347</f>
        <v>0</v>
      </c>
      <c r="AW347" s="35">
        <f>F347*AO347</f>
        <v>0</v>
      </c>
      <c r="AX347" s="35">
        <f>F347*AP347</f>
        <v>0</v>
      </c>
      <c r="AY347" s="37" t="s">
        <v>647</v>
      </c>
      <c r="AZ347" s="37" t="s">
        <v>348</v>
      </c>
      <c r="BA347" s="21" t="s">
        <v>59</v>
      </c>
      <c r="BC347" s="35">
        <f>AW347+AX347</f>
        <v>0</v>
      </c>
      <c r="BD347" s="35">
        <f>G347/(100-BE347)*100</f>
        <v>0</v>
      </c>
      <c r="BE347" s="35">
        <v>0</v>
      </c>
      <c r="BF347" s="35">
        <f>L347</f>
        <v>1.44</v>
      </c>
      <c r="BH347" s="35">
        <f>F347*AO347</f>
        <v>0</v>
      </c>
      <c r="BI347" s="35">
        <f>F347*AP347</f>
        <v>0</v>
      </c>
      <c r="BJ347" s="35">
        <f>F347*G347</f>
        <v>0</v>
      </c>
      <c r="BK347" s="35"/>
      <c r="BL347" s="35">
        <v>767</v>
      </c>
    </row>
    <row r="348" spans="1:13" ht="15" customHeight="1">
      <c r="A348" s="38"/>
      <c r="C348" s="39" t="s">
        <v>679</v>
      </c>
      <c r="D348" s="39" t="s">
        <v>680</v>
      </c>
      <c r="F348" s="40">
        <v>24.000000000000004</v>
      </c>
      <c r="M348" s="41"/>
    </row>
    <row r="349" spans="1:64" ht="15" customHeight="1">
      <c r="A349" s="34" t="s">
        <v>681</v>
      </c>
      <c r="B349" s="11" t="s">
        <v>682</v>
      </c>
      <c r="C349" s="11" t="s">
        <v>683</v>
      </c>
      <c r="D349" s="11"/>
      <c r="E349" s="11" t="s">
        <v>56</v>
      </c>
      <c r="F349" s="35">
        <v>24</v>
      </c>
      <c r="G349" s="35">
        <v>0</v>
      </c>
      <c r="H349" s="35">
        <f>F349*AO349</f>
        <v>0</v>
      </c>
      <c r="I349" s="35">
        <f>F349*AP349</f>
        <v>0</v>
      </c>
      <c r="J349" s="35">
        <f>F349*G349</f>
        <v>0</v>
      </c>
      <c r="K349" s="35">
        <v>0.085</v>
      </c>
      <c r="L349" s="35">
        <f>F349*K349</f>
        <v>2.16</v>
      </c>
      <c r="M349" s="36" t="s">
        <v>57</v>
      </c>
      <c r="Z349" s="35">
        <f>IF(AQ349="5",BJ349,0)</f>
        <v>0</v>
      </c>
      <c r="AB349" s="35">
        <f>IF(AQ349="1",BH349,0)</f>
        <v>0</v>
      </c>
      <c r="AC349" s="35">
        <f>IF(AQ349="1",BI349,0)</f>
        <v>0</v>
      </c>
      <c r="AD349" s="35">
        <f>IF(AQ349="7",BH349,0)</f>
        <v>0</v>
      </c>
      <c r="AE349" s="35">
        <f>IF(AQ349="7",BI349,0)</f>
        <v>0</v>
      </c>
      <c r="AF349" s="35">
        <f>IF(AQ349="2",BH349,0)</f>
        <v>0</v>
      </c>
      <c r="AG349" s="35">
        <f>IF(AQ349="2",BI349,0)</f>
        <v>0</v>
      </c>
      <c r="AH349" s="35">
        <f>IF(AQ349="0",BJ349,0)</f>
        <v>0</v>
      </c>
      <c r="AI349" s="21"/>
      <c r="AJ349" s="35">
        <f>IF(AN349=0,J349,0)</f>
        <v>0</v>
      </c>
      <c r="AK349" s="35">
        <f>IF(AN349=15,J349,0)</f>
        <v>0</v>
      </c>
      <c r="AL349" s="35">
        <f>IF(AN349=21,J349,0)</f>
        <v>0</v>
      </c>
      <c r="AN349" s="35">
        <v>15</v>
      </c>
      <c r="AO349" s="35">
        <f>G349*0.0453218298555377</f>
        <v>0</v>
      </c>
      <c r="AP349" s="35">
        <f>G349*(1-0.0453218298555377)</f>
        <v>0</v>
      </c>
      <c r="AQ349" s="37" t="s">
        <v>82</v>
      </c>
      <c r="AV349" s="35">
        <f>AW349+AX349</f>
        <v>0</v>
      </c>
      <c r="AW349" s="35">
        <f>F349*AO349</f>
        <v>0</v>
      </c>
      <c r="AX349" s="35">
        <f>F349*AP349</f>
        <v>0</v>
      </c>
      <c r="AY349" s="37" t="s">
        <v>647</v>
      </c>
      <c r="AZ349" s="37" t="s">
        <v>348</v>
      </c>
      <c r="BA349" s="21" t="s">
        <v>59</v>
      </c>
      <c r="BC349" s="35">
        <f>AW349+AX349</f>
        <v>0</v>
      </c>
      <c r="BD349" s="35">
        <f>G349/(100-BE349)*100</f>
        <v>0</v>
      </c>
      <c r="BE349" s="35">
        <v>0</v>
      </c>
      <c r="BF349" s="35">
        <f>L349</f>
        <v>2.16</v>
      </c>
      <c r="BH349" s="35">
        <f>F349*AO349</f>
        <v>0</v>
      </c>
      <c r="BI349" s="35">
        <f>F349*AP349</f>
        <v>0</v>
      </c>
      <c r="BJ349" s="35">
        <f>F349*G349</f>
        <v>0</v>
      </c>
      <c r="BK349" s="35"/>
      <c r="BL349" s="35">
        <v>767</v>
      </c>
    </row>
    <row r="350" spans="1:13" ht="15" customHeight="1">
      <c r="A350" s="38"/>
      <c r="C350" s="39" t="s">
        <v>679</v>
      </c>
      <c r="D350" s="39" t="s">
        <v>570</v>
      </c>
      <c r="F350" s="40">
        <v>24.000000000000004</v>
      </c>
      <c r="M350" s="41"/>
    </row>
    <row r="351" spans="1:64" ht="15" customHeight="1">
      <c r="A351" s="34" t="s">
        <v>684</v>
      </c>
      <c r="B351" s="11" t="s">
        <v>685</v>
      </c>
      <c r="C351" s="11" t="s">
        <v>686</v>
      </c>
      <c r="D351" s="11"/>
      <c r="E351" s="11" t="s">
        <v>56</v>
      </c>
      <c r="F351" s="35">
        <v>24</v>
      </c>
      <c r="G351" s="35">
        <v>0</v>
      </c>
      <c r="H351" s="35">
        <f>F351*AO351</f>
        <v>0</v>
      </c>
      <c r="I351" s="35">
        <f>F351*AP351</f>
        <v>0</v>
      </c>
      <c r="J351" s="35">
        <f>F351*G351</f>
        <v>0</v>
      </c>
      <c r="K351" s="35">
        <v>0.085</v>
      </c>
      <c r="L351" s="35">
        <f>F351*K351</f>
        <v>2.16</v>
      </c>
      <c r="M351" s="36" t="s">
        <v>57</v>
      </c>
      <c r="Z351" s="35">
        <f>IF(AQ351="5",BJ351,0)</f>
        <v>0</v>
      </c>
      <c r="AB351" s="35">
        <f>IF(AQ351="1",BH351,0)</f>
        <v>0</v>
      </c>
      <c r="AC351" s="35">
        <f>IF(AQ351="1",BI351,0)</f>
        <v>0</v>
      </c>
      <c r="AD351" s="35">
        <f>IF(AQ351="7",BH351,0)</f>
        <v>0</v>
      </c>
      <c r="AE351" s="35">
        <f>IF(AQ351="7",BI351,0)</f>
        <v>0</v>
      </c>
      <c r="AF351" s="35">
        <f>IF(AQ351="2",BH351,0)</f>
        <v>0</v>
      </c>
      <c r="AG351" s="35">
        <f>IF(AQ351="2",BI351,0)</f>
        <v>0</v>
      </c>
      <c r="AH351" s="35">
        <f>IF(AQ351="0",BJ351,0)</f>
        <v>0</v>
      </c>
      <c r="AI351" s="21"/>
      <c r="AJ351" s="35">
        <f>IF(AN351=0,J351,0)</f>
        <v>0</v>
      </c>
      <c r="AK351" s="35">
        <f>IF(AN351=15,J351,0)</f>
        <v>0</v>
      </c>
      <c r="AL351" s="35">
        <f>IF(AN351=21,J351,0)</f>
        <v>0</v>
      </c>
      <c r="AN351" s="35">
        <v>15</v>
      </c>
      <c r="AO351" s="35">
        <f>G351*0.0384323320958488</f>
        <v>0</v>
      </c>
      <c r="AP351" s="35">
        <f>G351*(1-0.0384323320958488)</f>
        <v>0</v>
      </c>
      <c r="AQ351" s="37" t="s">
        <v>82</v>
      </c>
      <c r="AV351" s="35">
        <f>AW351+AX351</f>
        <v>0</v>
      </c>
      <c r="AW351" s="35">
        <f>F351*AO351</f>
        <v>0</v>
      </c>
      <c r="AX351" s="35">
        <f>F351*AP351</f>
        <v>0</v>
      </c>
      <c r="AY351" s="37" t="s">
        <v>647</v>
      </c>
      <c r="AZ351" s="37" t="s">
        <v>348</v>
      </c>
      <c r="BA351" s="21" t="s">
        <v>59</v>
      </c>
      <c r="BC351" s="35">
        <f>AW351+AX351</f>
        <v>0</v>
      </c>
      <c r="BD351" s="35">
        <f>G351/(100-BE351)*100</f>
        <v>0</v>
      </c>
      <c r="BE351" s="35">
        <v>0</v>
      </c>
      <c r="BF351" s="35">
        <f>L351</f>
        <v>2.16</v>
      </c>
      <c r="BH351" s="35">
        <f>F351*AO351</f>
        <v>0</v>
      </c>
      <c r="BI351" s="35">
        <f>F351*AP351</f>
        <v>0</v>
      </c>
      <c r="BJ351" s="35">
        <f>F351*G351</f>
        <v>0</v>
      </c>
      <c r="BK351" s="35"/>
      <c r="BL351" s="35">
        <v>767</v>
      </c>
    </row>
    <row r="352" spans="1:13" ht="15" customHeight="1">
      <c r="A352" s="38"/>
      <c r="C352" s="39" t="s">
        <v>679</v>
      </c>
      <c r="D352" s="39" t="s">
        <v>680</v>
      </c>
      <c r="F352" s="40">
        <v>24.000000000000004</v>
      </c>
      <c r="M352" s="41"/>
    </row>
    <row r="353" spans="1:64" ht="15" customHeight="1">
      <c r="A353" s="34" t="s">
        <v>687</v>
      </c>
      <c r="B353" s="11" t="s">
        <v>688</v>
      </c>
      <c r="C353" s="11" t="s">
        <v>689</v>
      </c>
      <c r="D353" s="11"/>
      <c r="E353" s="11" t="s">
        <v>56</v>
      </c>
      <c r="F353" s="35">
        <v>24</v>
      </c>
      <c r="G353" s="35">
        <v>0</v>
      </c>
      <c r="H353" s="35">
        <f>F353*AO353</f>
        <v>0</v>
      </c>
      <c r="I353" s="35">
        <f>F353*AP353</f>
        <v>0</v>
      </c>
      <c r="J353" s="35">
        <f>F353*G353</f>
        <v>0</v>
      </c>
      <c r="K353" s="35">
        <v>0.112</v>
      </c>
      <c r="L353" s="35">
        <f>F353*K353</f>
        <v>2.64</v>
      </c>
      <c r="M353" s="36" t="s">
        <v>57</v>
      </c>
      <c r="Z353" s="35">
        <f>IF(AQ353="5",BJ353,0)</f>
        <v>0</v>
      </c>
      <c r="AB353" s="35">
        <f>IF(AQ353="1",BH353,0)</f>
        <v>0</v>
      </c>
      <c r="AC353" s="35">
        <f>IF(AQ353="1",BI353,0)</f>
        <v>0</v>
      </c>
      <c r="AD353" s="35">
        <f>IF(AQ353="7",BH353,0)</f>
        <v>0</v>
      </c>
      <c r="AE353" s="35">
        <f>IF(AQ353="7",BI353,0)</f>
        <v>0</v>
      </c>
      <c r="AF353" s="35">
        <f>IF(AQ353="2",BH353,0)</f>
        <v>0</v>
      </c>
      <c r="AG353" s="35">
        <f>IF(AQ353="2",BI353,0)</f>
        <v>0</v>
      </c>
      <c r="AH353" s="35">
        <f>IF(AQ353="0",BJ353,0)</f>
        <v>0</v>
      </c>
      <c r="AI353" s="21"/>
      <c r="AJ353" s="35">
        <f>IF(AN353=0,J353,0)</f>
        <v>0</v>
      </c>
      <c r="AK353" s="35">
        <f>IF(AN353=15,J353,0)</f>
        <v>0</v>
      </c>
      <c r="AL353" s="35">
        <f>IF(AN353=21,J353,0)</f>
        <v>0</v>
      </c>
      <c r="AN353" s="35">
        <v>15</v>
      </c>
      <c r="AO353" s="35">
        <f>G353*0</f>
        <v>0</v>
      </c>
      <c r="AP353" s="35">
        <f>G353*(1-0)</f>
        <v>0</v>
      </c>
      <c r="AQ353" s="37" t="s">
        <v>82</v>
      </c>
      <c r="AV353" s="35">
        <f>AW353+AX353</f>
        <v>0</v>
      </c>
      <c r="AW353" s="35">
        <f>F353*AO353</f>
        <v>0</v>
      </c>
      <c r="AX353" s="35">
        <f>F353*AP353</f>
        <v>0</v>
      </c>
      <c r="AY353" s="37" t="s">
        <v>647</v>
      </c>
      <c r="AZ353" s="37" t="s">
        <v>348</v>
      </c>
      <c r="BA353" s="21" t="s">
        <v>59</v>
      </c>
      <c r="BC353" s="35">
        <f>AW353+AX353</f>
        <v>0</v>
      </c>
      <c r="BD353" s="35">
        <f>G353/(100-BE353)*100</f>
        <v>0</v>
      </c>
      <c r="BE353" s="35">
        <v>0</v>
      </c>
      <c r="BF353" s="35">
        <f>L353</f>
        <v>2.64</v>
      </c>
      <c r="BH353" s="35">
        <f>F353*AO353</f>
        <v>0</v>
      </c>
      <c r="BI353" s="35">
        <f>F353*AP353</f>
        <v>0</v>
      </c>
      <c r="BJ353" s="35">
        <f>F353*G353</f>
        <v>0</v>
      </c>
      <c r="BK353" s="35"/>
      <c r="BL353" s="35">
        <v>767</v>
      </c>
    </row>
    <row r="354" spans="1:13" ht="15" customHeight="1">
      <c r="A354" s="38"/>
      <c r="C354" s="39" t="s">
        <v>679</v>
      </c>
      <c r="D354" s="39" t="s">
        <v>570</v>
      </c>
      <c r="F354" s="40">
        <v>24.000000000000004</v>
      </c>
      <c r="M354" s="41"/>
    </row>
    <row r="355" spans="1:64" ht="15" customHeight="1">
      <c r="A355" s="34" t="s">
        <v>690</v>
      </c>
      <c r="B355" s="11" t="s">
        <v>691</v>
      </c>
      <c r="C355" s="11" t="s">
        <v>692</v>
      </c>
      <c r="D355" s="11"/>
      <c r="E355" s="11" t="s">
        <v>163</v>
      </c>
      <c r="F355" s="35">
        <v>140</v>
      </c>
      <c r="G355" s="35">
        <v>0</v>
      </c>
      <c r="H355" s="35">
        <f>F355*AO355</f>
        <v>0</v>
      </c>
      <c r="I355" s="35">
        <f>F355*AP355</f>
        <v>0</v>
      </c>
      <c r="J355" s="35">
        <f>F355*G355</f>
        <v>0</v>
      </c>
      <c r="K355" s="35">
        <v>0.001</v>
      </c>
      <c r="L355" s="35">
        <f>F355*K355</f>
        <v>0</v>
      </c>
      <c r="M355" s="36" t="s">
        <v>86</v>
      </c>
      <c r="Z355" s="35">
        <f>IF(AQ355="5",BJ355,0)</f>
        <v>0</v>
      </c>
      <c r="AB355" s="35">
        <f>IF(AQ355="1",BH355,0)</f>
        <v>0</v>
      </c>
      <c r="AC355" s="35">
        <f>IF(AQ355="1",BI355,0)</f>
        <v>0</v>
      </c>
      <c r="AD355" s="35">
        <f>IF(AQ355="7",BH355,0)</f>
        <v>0</v>
      </c>
      <c r="AE355" s="35">
        <f>IF(AQ355="7",BI355,0)</f>
        <v>0</v>
      </c>
      <c r="AF355" s="35">
        <f>IF(AQ355="2",BH355,0)</f>
        <v>0</v>
      </c>
      <c r="AG355" s="35">
        <f>IF(AQ355="2",BI355,0)</f>
        <v>0</v>
      </c>
      <c r="AH355" s="35">
        <f>IF(AQ355="0",BJ355,0)</f>
        <v>0</v>
      </c>
      <c r="AI355" s="21"/>
      <c r="AJ355" s="35">
        <f>IF(AN355=0,J355,0)</f>
        <v>0</v>
      </c>
      <c r="AK355" s="35">
        <f>IF(AN355=15,J355,0)</f>
        <v>0</v>
      </c>
      <c r="AL355" s="35">
        <f>IF(AN355=21,J355,0)</f>
        <v>0</v>
      </c>
      <c r="AN355" s="35">
        <v>15</v>
      </c>
      <c r="AO355" s="35">
        <f>G355*0</f>
        <v>0</v>
      </c>
      <c r="AP355" s="35">
        <f>G355*(1-0)</f>
        <v>0</v>
      </c>
      <c r="AQ355" s="37" t="s">
        <v>82</v>
      </c>
      <c r="AV355" s="35">
        <f>AW355+AX355</f>
        <v>0</v>
      </c>
      <c r="AW355" s="35">
        <f>F355*AO355</f>
        <v>0</v>
      </c>
      <c r="AX355" s="35">
        <f>F355*AP355</f>
        <v>0</v>
      </c>
      <c r="AY355" s="37" t="s">
        <v>647</v>
      </c>
      <c r="AZ355" s="37" t="s">
        <v>348</v>
      </c>
      <c r="BA355" s="21" t="s">
        <v>59</v>
      </c>
      <c r="BC355" s="35">
        <f>AW355+AX355</f>
        <v>0</v>
      </c>
      <c r="BD355" s="35">
        <f>G355/(100-BE355)*100</f>
        <v>0</v>
      </c>
      <c r="BE355" s="35">
        <v>0</v>
      </c>
      <c r="BF355" s="35">
        <f>L355</f>
        <v>0</v>
      </c>
      <c r="BH355" s="35">
        <f>F355*AO355</f>
        <v>0</v>
      </c>
      <c r="BI355" s="35">
        <f>F355*AP355</f>
        <v>0</v>
      </c>
      <c r="BJ355" s="35">
        <f>F355*G355</f>
        <v>0</v>
      </c>
      <c r="BK355" s="35"/>
      <c r="BL355" s="35">
        <v>767</v>
      </c>
    </row>
    <row r="356" spans="1:13" ht="15" customHeight="1">
      <c r="A356" s="38"/>
      <c r="C356" s="39" t="s">
        <v>693</v>
      </c>
      <c r="D356" s="39"/>
      <c r="F356" s="40">
        <v>140</v>
      </c>
      <c r="M356" s="41"/>
    </row>
    <row r="357" spans="1:64" ht="15" customHeight="1">
      <c r="A357" s="34" t="s">
        <v>694</v>
      </c>
      <c r="B357" s="11" t="s">
        <v>695</v>
      </c>
      <c r="C357" s="11" t="s">
        <v>696</v>
      </c>
      <c r="D357" s="11"/>
      <c r="E357" s="11" t="s">
        <v>93</v>
      </c>
      <c r="F357" s="35">
        <v>14</v>
      </c>
      <c r="G357" s="35">
        <v>0</v>
      </c>
      <c r="H357" s="35">
        <f>F357*AO357</f>
        <v>0</v>
      </c>
      <c r="I357" s="35">
        <f>F357*AP357</f>
        <v>0</v>
      </c>
      <c r="J357" s="35">
        <f>F357*G357</f>
        <v>0</v>
      </c>
      <c r="K357" s="35">
        <v>0</v>
      </c>
      <c r="L357" s="35">
        <f>F357*K357</f>
        <v>0</v>
      </c>
      <c r="M357" s="36" t="s">
        <v>86</v>
      </c>
      <c r="Z357" s="35">
        <f>IF(AQ357="5",BJ357,0)</f>
        <v>0</v>
      </c>
      <c r="AB357" s="35">
        <f>IF(AQ357="1",BH357,0)</f>
        <v>0</v>
      </c>
      <c r="AC357" s="35">
        <f>IF(AQ357="1",BI357,0)</f>
        <v>0</v>
      </c>
      <c r="AD357" s="35">
        <f>IF(AQ357="7",BH357,0)</f>
        <v>0</v>
      </c>
      <c r="AE357" s="35">
        <f>IF(AQ357="7",BI357,0)</f>
        <v>0</v>
      </c>
      <c r="AF357" s="35">
        <f>IF(AQ357="2",BH357,0)</f>
        <v>0</v>
      </c>
      <c r="AG357" s="35">
        <f>IF(AQ357="2",BI357,0)</f>
        <v>0</v>
      </c>
      <c r="AH357" s="35">
        <f>IF(AQ357="0",BJ357,0)</f>
        <v>0</v>
      </c>
      <c r="AI357" s="21"/>
      <c r="AJ357" s="35">
        <f>IF(AN357=0,J357,0)</f>
        <v>0</v>
      </c>
      <c r="AK357" s="35">
        <f>IF(AN357=15,J357,0)</f>
        <v>0</v>
      </c>
      <c r="AL357" s="35">
        <f>IF(AN357=21,J357,0)</f>
        <v>0</v>
      </c>
      <c r="AN357" s="35">
        <v>15</v>
      </c>
      <c r="AO357" s="35">
        <f>G357*0.384326244786571</f>
        <v>0</v>
      </c>
      <c r="AP357" s="35">
        <f>G357*(1-0.384326244786571)</f>
        <v>0</v>
      </c>
      <c r="AQ357" s="37" t="s">
        <v>82</v>
      </c>
      <c r="AV357" s="35">
        <f>AW357+AX357</f>
        <v>0</v>
      </c>
      <c r="AW357" s="35">
        <f>F357*AO357</f>
        <v>0</v>
      </c>
      <c r="AX357" s="35">
        <f>F357*AP357</f>
        <v>0</v>
      </c>
      <c r="AY357" s="37" t="s">
        <v>647</v>
      </c>
      <c r="AZ357" s="37" t="s">
        <v>348</v>
      </c>
      <c r="BA357" s="21" t="s">
        <v>59</v>
      </c>
      <c r="BC357" s="35">
        <f>AW357+AX357</f>
        <v>0</v>
      </c>
      <c r="BD357" s="35">
        <f>G357/(100-BE357)*100</f>
        <v>0</v>
      </c>
      <c r="BE357" s="35">
        <v>0</v>
      </c>
      <c r="BF357" s="35">
        <f>L357</f>
        <v>0</v>
      </c>
      <c r="BH357" s="35">
        <f>F357*AO357</f>
        <v>0</v>
      </c>
      <c r="BI357" s="35">
        <f>F357*AP357</f>
        <v>0</v>
      </c>
      <c r="BJ357" s="35">
        <f>F357*G357</f>
        <v>0</v>
      </c>
      <c r="BK357" s="35"/>
      <c r="BL357" s="35">
        <v>767</v>
      </c>
    </row>
    <row r="358" spans="1:13" ht="15" customHeight="1">
      <c r="A358" s="38"/>
      <c r="C358" s="39" t="s">
        <v>697</v>
      </c>
      <c r="D358" s="39" t="s">
        <v>698</v>
      </c>
      <c r="F358" s="40">
        <v>14.000000000000002</v>
      </c>
      <c r="M358" s="41"/>
    </row>
    <row r="359" spans="1:64" ht="15" customHeight="1">
      <c r="A359" s="34" t="s">
        <v>693</v>
      </c>
      <c r="B359" s="11" t="s">
        <v>699</v>
      </c>
      <c r="C359" s="11" t="s">
        <v>700</v>
      </c>
      <c r="D359" s="11"/>
      <c r="E359" s="11" t="s">
        <v>163</v>
      </c>
      <c r="F359" s="35">
        <v>1</v>
      </c>
      <c r="G359" s="35">
        <v>0</v>
      </c>
      <c r="H359" s="35">
        <f>F359*AO359</f>
        <v>0</v>
      </c>
      <c r="I359" s="35">
        <f>F359*AP359</f>
        <v>0</v>
      </c>
      <c r="J359" s="35">
        <f>F359*G359</f>
        <v>0</v>
      </c>
      <c r="K359" s="35">
        <v>0.00023</v>
      </c>
      <c r="L359" s="35">
        <f>F359*K359</f>
        <v>0</v>
      </c>
      <c r="M359" s="36" t="s">
        <v>86</v>
      </c>
      <c r="Z359" s="35">
        <f>IF(AQ359="5",BJ359,0)</f>
        <v>0</v>
      </c>
      <c r="AB359" s="35">
        <f>IF(AQ359="1",BH359,0)</f>
        <v>0</v>
      </c>
      <c r="AC359" s="35">
        <f>IF(AQ359="1",BI359,0)</f>
        <v>0</v>
      </c>
      <c r="AD359" s="35">
        <f>IF(AQ359="7",BH359,0)</f>
        <v>0</v>
      </c>
      <c r="AE359" s="35">
        <f>IF(AQ359="7",BI359,0)</f>
        <v>0</v>
      </c>
      <c r="AF359" s="35">
        <f>IF(AQ359="2",BH359,0)</f>
        <v>0</v>
      </c>
      <c r="AG359" s="35">
        <f>IF(AQ359="2",BI359,0)</f>
        <v>0</v>
      </c>
      <c r="AH359" s="35">
        <f>IF(AQ359="0",BJ359,0)</f>
        <v>0</v>
      </c>
      <c r="AI359" s="21"/>
      <c r="AJ359" s="35">
        <f>IF(AN359=0,J359,0)</f>
        <v>0</v>
      </c>
      <c r="AK359" s="35">
        <f>IF(AN359=15,J359,0)</f>
        <v>0</v>
      </c>
      <c r="AL359" s="35">
        <f>IF(AN359=21,J359,0)</f>
        <v>0</v>
      </c>
      <c r="AN359" s="35">
        <v>15</v>
      </c>
      <c r="AO359" s="35">
        <f>G359*0.964515789395263</f>
        <v>0</v>
      </c>
      <c r="AP359" s="35">
        <f>G359*(1-0.964515789395263)</f>
        <v>0</v>
      </c>
      <c r="AQ359" s="37" t="s">
        <v>82</v>
      </c>
      <c r="AV359" s="35">
        <f>AW359+AX359</f>
        <v>0</v>
      </c>
      <c r="AW359" s="35">
        <f>F359*AO359</f>
        <v>0</v>
      </c>
      <c r="AX359" s="35">
        <f>F359*AP359</f>
        <v>0</v>
      </c>
      <c r="AY359" s="37" t="s">
        <v>647</v>
      </c>
      <c r="AZ359" s="37" t="s">
        <v>348</v>
      </c>
      <c r="BA359" s="21" t="s">
        <v>59</v>
      </c>
      <c r="BC359" s="35">
        <f>AW359+AX359</f>
        <v>0</v>
      </c>
      <c r="BD359" s="35">
        <f>G359/(100-BE359)*100</f>
        <v>0</v>
      </c>
      <c r="BE359" s="35">
        <v>0</v>
      </c>
      <c r="BF359" s="35">
        <f>L359</f>
        <v>0</v>
      </c>
      <c r="BH359" s="35">
        <f>F359*AO359</f>
        <v>0</v>
      </c>
      <c r="BI359" s="35">
        <f>F359*AP359</f>
        <v>0</v>
      </c>
      <c r="BJ359" s="35">
        <f>F359*G359</f>
        <v>0</v>
      </c>
      <c r="BK359" s="35"/>
      <c r="BL359" s="35">
        <v>767</v>
      </c>
    </row>
    <row r="360" spans="1:13" ht="15" customHeight="1">
      <c r="A360" s="38"/>
      <c r="C360" s="39" t="s">
        <v>53</v>
      </c>
      <c r="D360" s="39"/>
      <c r="F360" s="40">
        <v>1</v>
      </c>
      <c r="M360" s="41"/>
    </row>
    <row r="361" spans="1:64" ht="15" customHeight="1">
      <c r="A361" s="34" t="s">
        <v>701</v>
      </c>
      <c r="B361" s="11" t="s">
        <v>702</v>
      </c>
      <c r="C361" s="11" t="s">
        <v>703</v>
      </c>
      <c r="D361" s="11"/>
      <c r="E361" s="11" t="s">
        <v>163</v>
      </c>
      <c r="F361" s="35">
        <v>1</v>
      </c>
      <c r="G361" s="35">
        <v>0</v>
      </c>
      <c r="H361" s="35">
        <f>F361*AO361</f>
        <v>0</v>
      </c>
      <c r="I361" s="35">
        <f>F361*AP361</f>
        <v>0</v>
      </c>
      <c r="J361" s="35">
        <f>F361*G361</f>
        <v>0</v>
      </c>
      <c r="K361" s="35">
        <v>0.00023</v>
      </c>
      <c r="L361" s="35">
        <f>F361*K361</f>
        <v>0</v>
      </c>
      <c r="M361" s="36" t="s">
        <v>86</v>
      </c>
      <c r="Z361" s="35">
        <f>IF(AQ361="5",BJ361,0)</f>
        <v>0</v>
      </c>
      <c r="AB361" s="35">
        <f>IF(AQ361="1",BH361,0)</f>
        <v>0</v>
      </c>
      <c r="AC361" s="35">
        <f>IF(AQ361="1",BI361,0)</f>
        <v>0</v>
      </c>
      <c r="AD361" s="35">
        <f>IF(AQ361="7",BH361,0)</f>
        <v>0</v>
      </c>
      <c r="AE361" s="35">
        <f>IF(AQ361="7",BI361,0)</f>
        <v>0</v>
      </c>
      <c r="AF361" s="35">
        <f>IF(AQ361="2",BH361,0)</f>
        <v>0</v>
      </c>
      <c r="AG361" s="35">
        <f>IF(AQ361="2",BI361,0)</f>
        <v>0</v>
      </c>
      <c r="AH361" s="35">
        <f>IF(AQ361="0",BJ361,0)</f>
        <v>0</v>
      </c>
      <c r="AI361" s="21"/>
      <c r="AJ361" s="35">
        <f>IF(AN361=0,J361,0)</f>
        <v>0</v>
      </c>
      <c r="AK361" s="35">
        <f>IF(AN361=15,J361,0)</f>
        <v>0</v>
      </c>
      <c r="AL361" s="35">
        <f>IF(AN361=21,J361,0)</f>
        <v>0</v>
      </c>
      <c r="AN361" s="35">
        <v>15</v>
      </c>
      <c r="AO361" s="35">
        <f>G361*0.986684132124197</f>
        <v>0</v>
      </c>
      <c r="AP361" s="35">
        <f>G361*(1-0.986684132124197)</f>
        <v>0</v>
      </c>
      <c r="AQ361" s="37" t="s">
        <v>82</v>
      </c>
      <c r="AV361" s="35">
        <f>AW361+AX361</f>
        <v>0</v>
      </c>
      <c r="AW361" s="35">
        <f>F361*AO361</f>
        <v>0</v>
      </c>
      <c r="AX361" s="35">
        <f>F361*AP361</f>
        <v>0</v>
      </c>
      <c r="AY361" s="37" t="s">
        <v>647</v>
      </c>
      <c r="AZ361" s="37" t="s">
        <v>348</v>
      </c>
      <c r="BA361" s="21" t="s">
        <v>59</v>
      </c>
      <c r="BC361" s="35">
        <f>AW361+AX361</f>
        <v>0</v>
      </c>
      <c r="BD361" s="35">
        <f>G361/(100-BE361)*100</f>
        <v>0</v>
      </c>
      <c r="BE361" s="35">
        <v>0</v>
      </c>
      <c r="BF361" s="35">
        <f>L361</f>
        <v>0</v>
      </c>
      <c r="BH361" s="35">
        <f>F361*AO361</f>
        <v>0</v>
      </c>
      <c r="BI361" s="35">
        <f>F361*AP361</f>
        <v>0</v>
      </c>
      <c r="BJ361" s="35">
        <f>F361*G361</f>
        <v>0</v>
      </c>
      <c r="BK361" s="35"/>
      <c r="BL361" s="35">
        <v>767</v>
      </c>
    </row>
    <row r="362" spans="1:13" ht="15" customHeight="1">
      <c r="A362" s="38"/>
      <c r="C362" s="39" t="s">
        <v>53</v>
      </c>
      <c r="D362" s="39"/>
      <c r="F362" s="40">
        <v>1</v>
      </c>
      <c r="M362" s="41"/>
    </row>
    <row r="363" spans="1:64" ht="15" customHeight="1">
      <c r="A363" s="34" t="s">
        <v>704</v>
      </c>
      <c r="B363" s="11" t="s">
        <v>705</v>
      </c>
      <c r="C363" s="11" t="s">
        <v>706</v>
      </c>
      <c r="D363" s="11"/>
      <c r="E363" s="11" t="s">
        <v>163</v>
      </c>
      <c r="F363" s="35">
        <v>1</v>
      </c>
      <c r="G363" s="35">
        <v>0</v>
      </c>
      <c r="H363" s="35">
        <f>F363*AO363</f>
        <v>0</v>
      </c>
      <c r="I363" s="35">
        <f>F363*AP363</f>
        <v>0</v>
      </c>
      <c r="J363" s="35">
        <f>F363*G363</f>
        <v>0</v>
      </c>
      <c r="K363" s="35">
        <v>0.00113</v>
      </c>
      <c r="L363" s="35">
        <f>F363*K363</f>
        <v>0</v>
      </c>
      <c r="M363" s="36" t="s">
        <v>86</v>
      </c>
      <c r="Z363" s="35">
        <f>IF(AQ363="5",BJ363,0)</f>
        <v>0</v>
      </c>
      <c r="AB363" s="35">
        <f>IF(AQ363="1",BH363,0)</f>
        <v>0</v>
      </c>
      <c r="AC363" s="35">
        <f>IF(AQ363="1",BI363,0)</f>
        <v>0</v>
      </c>
      <c r="AD363" s="35">
        <f>IF(AQ363="7",BH363,0)</f>
        <v>0</v>
      </c>
      <c r="AE363" s="35">
        <f>IF(AQ363="7",BI363,0)</f>
        <v>0</v>
      </c>
      <c r="AF363" s="35">
        <f>IF(AQ363="2",BH363,0)</f>
        <v>0</v>
      </c>
      <c r="AG363" s="35">
        <f>IF(AQ363="2",BI363,0)</f>
        <v>0</v>
      </c>
      <c r="AH363" s="35">
        <f>IF(AQ363="0",BJ363,0)</f>
        <v>0</v>
      </c>
      <c r="AI363" s="21"/>
      <c r="AJ363" s="35">
        <f>IF(AN363=0,J363,0)</f>
        <v>0</v>
      </c>
      <c r="AK363" s="35">
        <f>IF(AN363=15,J363,0)</f>
        <v>0</v>
      </c>
      <c r="AL363" s="35">
        <f>IF(AN363=21,J363,0)</f>
        <v>0</v>
      </c>
      <c r="AN363" s="35">
        <v>15</v>
      </c>
      <c r="AO363" s="35">
        <f>G363*0.0775636363636364</f>
        <v>0</v>
      </c>
      <c r="AP363" s="35">
        <f>G363*(1-0.0775636363636364)</f>
        <v>0</v>
      </c>
      <c r="AQ363" s="37" t="s">
        <v>82</v>
      </c>
      <c r="AV363" s="35">
        <f>AW363+AX363</f>
        <v>0</v>
      </c>
      <c r="AW363" s="35">
        <f>F363*AO363</f>
        <v>0</v>
      </c>
      <c r="AX363" s="35">
        <f>F363*AP363</f>
        <v>0</v>
      </c>
      <c r="AY363" s="37" t="s">
        <v>647</v>
      </c>
      <c r="AZ363" s="37" t="s">
        <v>348</v>
      </c>
      <c r="BA363" s="21" t="s">
        <v>59</v>
      </c>
      <c r="BC363" s="35">
        <f>AW363+AX363</f>
        <v>0</v>
      </c>
      <c r="BD363" s="35">
        <f>G363/(100-BE363)*100</f>
        <v>0</v>
      </c>
      <c r="BE363" s="35">
        <v>0</v>
      </c>
      <c r="BF363" s="35">
        <f>L363</f>
        <v>0</v>
      </c>
      <c r="BH363" s="35">
        <f>F363*AO363</f>
        <v>0</v>
      </c>
      <c r="BI363" s="35">
        <f>F363*AP363</f>
        <v>0</v>
      </c>
      <c r="BJ363" s="35">
        <f>F363*G363</f>
        <v>0</v>
      </c>
      <c r="BK363" s="35"/>
      <c r="BL363" s="35">
        <v>767</v>
      </c>
    </row>
    <row r="364" spans="1:13" ht="15" customHeight="1">
      <c r="A364" s="38"/>
      <c r="C364" s="39" t="s">
        <v>53</v>
      </c>
      <c r="D364" s="39" t="s">
        <v>707</v>
      </c>
      <c r="F364" s="40">
        <v>1</v>
      </c>
      <c r="M364" s="41"/>
    </row>
    <row r="365" spans="1:13" ht="15" customHeight="1">
      <c r="A365" s="38"/>
      <c r="C365" s="39"/>
      <c r="D365" s="39" t="s">
        <v>708</v>
      </c>
      <c r="F365" s="40">
        <v>0</v>
      </c>
      <c r="M365" s="41"/>
    </row>
    <row r="366" spans="1:13" ht="15" customHeight="1">
      <c r="A366" s="38"/>
      <c r="C366" s="39"/>
      <c r="D366" s="39" t="s">
        <v>709</v>
      </c>
      <c r="F366" s="40">
        <v>0</v>
      </c>
      <c r="M366" s="41"/>
    </row>
    <row r="367" spans="1:64" ht="15" customHeight="1">
      <c r="A367" s="34" t="s">
        <v>710</v>
      </c>
      <c r="B367" s="11" t="s">
        <v>711</v>
      </c>
      <c r="C367" s="11" t="s">
        <v>712</v>
      </c>
      <c r="D367" s="11"/>
      <c r="E367" s="11" t="s">
        <v>172</v>
      </c>
      <c r="F367" s="35">
        <v>10.84</v>
      </c>
      <c r="G367" s="35">
        <v>0</v>
      </c>
      <c r="H367" s="35">
        <f>F367*AO367</f>
        <v>0</v>
      </c>
      <c r="I367" s="35">
        <f>F367*AP367</f>
        <v>0</v>
      </c>
      <c r="J367" s="35">
        <f>F367*G367</f>
        <v>0</v>
      </c>
      <c r="K367" s="35">
        <v>0</v>
      </c>
      <c r="L367" s="35">
        <f>F367*K367</f>
        <v>0</v>
      </c>
      <c r="M367" s="36" t="s">
        <v>57</v>
      </c>
      <c r="Z367" s="35">
        <f>IF(AQ367="5",BJ367,0)</f>
        <v>0</v>
      </c>
      <c r="AB367" s="35">
        <f>IF(AQ367="1",BH367,0)</f>
        <v>0</v>
      </c>
      <c r="AC367" s="35">
        <f>IF(AQ367="1",BI367,0)</f>
        <v>0</v>
      </c>
      <c r="AD367" s="35">
        <f>IF(AQ367="7",BH367,0)</f>
        <v>0</v>
      </c>
      <c r="AE367" s="35">
        <f>IF(AQ367="7",BI367,0)</f>
        <v>0</v>
      </c>
      <c r="AF367" s="35">
        <f>IF(AQ367="2",BH367,0)</f>
        <v>0</v>
      </c>
      <c r="AG367" s="35">
        <f>IF(AQ367="2",BI367,0)</f>
        <v>0</v>
      </c>
      <c r="AH367" s="35">
        <f>IF(AQ367="0",BJ367,0)</f>
        <v>0</v>
      </c>
      <c r="AI367" s="21"/>
      <c r="AJ367" s="35">
        <f>IF(AN367=0,J367,0)</f>
        <v>0</v>
      </c>
      <c r="AK367" s="35">
        <f>IF(AN367=15,J367,0)</f>
        <v>0</v>
      </c>
      <c r="AL367" s="35">
        <f>IF(AN367=21,J367,0)</f>
        <v>0</v>
      </c>
      <c r="AN367" s="35">
        <v>15</v>
      </c>
      <c r="AO367" s="35">
        <f>G367*0</f>
        <v>0</v>
      </c>
      <c r="AP367" s="35">
        <f>G367*(1-0)</f>
        <v>0</v>
      </c>
      <c r="AQ367" s="37" t="s">
        <v>70</v>
      </c>
      <c r="AV367" s="35">
        <f>AW367+AX367</f>
        <v>0</v>
      </c>
      <c r="AW367" s="35">
        <f>F367*AO367</f>
        <v>0</v>
      </c>
      <c r="AX367" s="35">
        <f>F367*AP367</f>
        <v>0</v>
      </c>
      <c r="AY367" s="37" t="s">
        <v>647</v>
      </c>
      <c r="AZ367" s="37" t="s">
        <v>348</v>
      </c>
      <c r="BA367" s="21" t="s">
        <v>59</v>
      </c>
      <c r="BC367" s="35">
        <f>AW367+AX367</f>
        <v>0</v>
      </c>
      <c r="BD367" s="35">
        <f>G367/(100-BE367)*100</f>
        <v>0</v>
      </c>
      <c r="BE367" s="35">
        <v>0</v>
      </c>
      <c r="BF367" s="35">
        <f>L367</f>
        <v>0</v>
      </c>
      <c r="BH367" s="35">
        <f>F367*AO367</f>
        <v>0</v>
      </c>
      <c r="BI367" s="35">
        <f>F367*AP367</f>
        <v>0</v>
      </c>
      <c r="BJ367" s="35">
        <f>F367*G367</f>
        <v>0</v>
      </c>
      <c r="BK367" s="35"/>
      <c r="BL367" s="35">
        <v>767</v>
      </c>
    </row>
    <row r="368" spans="1:13" ht="15" customHeight="1">
      <c r="A368" s="38"/>
      <c r="C368" s="39" t="s">
        <v>713</v>
      </c>
      <c r="D368" s="39"/>
      <c r="F368" s="40">
        <v>10.840000000000002</v>
      </c>
      <c r="M368" s="41"/>
    </row>
    <row r="369" spans="1:47" ht="15" customHeight="1">
      <c r="A369" s="30"/>
      <c r="B369" s="31" t="s">
        <v>714</v>
      </c>
      <c r="C369" s="31" t="s">
        <v>715</v>
      </c>
      <c r="D369" s="31"/>
      <c r="E369" s="32" t="s">
        <v>4</v>
      </c>
      <c r="F369" s="32" t="s">
        <v>4</v>
      </c>
      <c r="G369" s="32" t="s">
        <v>4</v>
      </c>
      <c r="H369" s="3">
        <f>SUM(H370:H391)</f>
        <v>0</v>
      </c>
      <c r="I369" s="3">
        <f>SUM(I370:I391)</f>
        <v>0</v>
      </c>
      <c r="J369" s="3">
        <f>SUM(J370:J391)</f>
        <v>0</v>
      </c>
      <c r="K369" s="21"/>
      <c r="L369" s="3">
        <f>SUM(L370:L391)</f>
        <v>9.81</v>
      </c>
      <c r="M369" s="33"/>
      <c r="AI369" s="21"/>
      <c r="AS369" s="3">
        <f>SUM(AJ370:AJ391)</f>
        <v>0</v>
      </c>
      <c r="AT369" s="3">
        <f>SUM(AK370:AK391)</f>
        <v>0</v>
      </c>
      <c r="AU369" s="3">
        <f>SUM(AL370:AL391)</f>
        <v>0</v>
      </c>
    </row>
    <row r="370" spans="1:64" ht="15" customHeight="1">
      <c r="A370" s="34" t="s">
        <v>716</v>
      </c>
      <c r="B370" s="11" t="s">
        <v>717</v>
      </c>
      <c r="C370" s="11" t="s">
        <v>718</v>
      </c>
      <c r="D370" s="11"/>
      <c r="E370" s="11" t="s">
        <v>85</v>
      </c>
      <c r="F370" s="35">
        <v>201.59928</v>
      </c>
      <c r="G370" s="35">
        <v>0</v>
      </c>
      <c r="H370" s="35">
        <f>F370*AO370</f>
        <v>0</v>
      </c>
      <c r="I370" s="35">
        <f>F370*AP370</f>
        <v>0</v>
      </c>
      <c r="J370" s="35">
        <f>F370*G370</f>
        <v>0</v>
      </c>
      <c r="K370" s="35">
        <v>0.00546</v>
      </c>
      <c r="L370" s="35">
        <f>F370*K370</f>
        <v>2.02</v>
      </c>
      <c r="M370" s="36" t="s">
        <v>57</v>
      </c>
      <c r="Z370" s="35">
        <f>IF(AQ370="5",BJ370,0)</f>
        <v>0</v>
      </c>
      <c r="AB370" s="35">
        <f>IF(AQ370="1",BH370,0)</f>
        <v>0</v>
      </c>
      <c r="AC370" s="35">
        <f>IF(AQ370="1",BI370,0)</f>
        <v>0</v>
      </c>
      <c r="AD370" s="35">
        <f>IF(AQ370="7",BH370,0)</f>
        <v>0</v>
      </c>
      <c r="AE370" s="35">
        <f>IF(AQ370="7",BI370,0)</f>
        <v>0</v>
      </c>
      <c r="AF370" s="35">
        <f>IF(AQ370="2",BH370,0)</f>
        <v>0</v>
      </c>
      <c r="AG370" s="35">
        <f>IF(AQ370="2",BI370,0)</f>
        <v>0</v>
      </c>
      <c r="AH370" s="35">
        <f>IF(AQ370="0",BJ370,0)</f>
        <v>0</v>
      </c>
      <c r="AI370" s="21"/>
      <c r="AJ370" s="35">
        <f>IF(AN370=0,J370,0)</f>
        <v>0</v>
      </c>
      <c r="AK370" s="35">
        <f>IF(AN370=15,J370,0)</f>
        <v>0</v>
      </c>
      <c r="AL370" s="35">
        <f>IF(AN370=21,J370,0)</f>
        <v>0</v>
      </c>
      <c r="AN370" s="35">
        <v>15</v>
      </c>
      <c r="AO370" s="35">
        <f>G370*0.163979761223856</f>
        <v>0</v>
      </c>
      <c r="AP370" s="35">
        <f>G370*(1-0.163979761223856)</f>
        <v>0</v>
      </c>
      <c r="AQ370" s="37" t="s">
        <v>82</v>
      </c>
      <c r="AV370" s="35">
        <f>AW370+AX370</f>
        <v>0</v>
      </c>
      <c r="AW370" s="35">
        <f>F370*AO370</f>
        <v>0</v>
      </c>
      <c r="AX370" s="35">
        <f>F370*AP370</f>
        <v>0</v>
      </c>
      <c r="AY370" s="37" t="s">
        <v>719</v>
      </c>
      <c r="AZ370" s="37" t="s">
        <v>720</v>
      </c>
      <c r="BA370" s="21" t="s">
        <v>59</v>
      </c>
      <c r="BC370" s="35">
        <f>AW370+AX370</f>
        <v>0</v>
      </c>
      <c r="BD370" s="35">
        <f>G370/(100-BE370)*100</f>
        <v>0</v>
      </c>
      <c r="BE370" s="35">
        <v>0</v>
      </c>
      <c r="BF370" s="35">
        <f>L370</f>
        <v>2.02</v>
      </c>
      <c r="BH370" s="35">
        <f>F370*AO370</f>
        <v>0</v>
      </c>
      <c r="BI370" s="35">
        <f>F370*AP370</f>
        <v>0</v>
      </c>
      <c r="BJ370" s="35">
        <f>F370*G370</f>
        <v>0</v>
      </c>
      <c r="BK370" s="35"/>
      <c r="BL370" s="35">
        <v>771</v>
      </c>
    </row>
    <row r="371" spans="1:13" ht="15" customHeight="1">
      <c r="A371" s="38"/>
      <c r="C371" s="39" t="s">
        <v>721</v>
      </c>
      <c r="D371" s="39" t="s">
        <v>722</v>
      </c>
      <c r="F371" s="40">
        <v>111.6</v>
      </c>
      <c r="M371" s="41"/>
    </row>
    <row r="372" spans="1:13" ht="15" customHeight="1">
      <c r="A372" s="38"/>
      <c r="C372" s="39" t="s">
        <v>723</v>
      </c>
      <c r="D372" s="39"/>
      <c r="F372" s="40">
        <v>75.888</v>
      </c>
      <c r="M372" s="41"/>
    </row>
    <row r="373" spans="1:13" ht="15" customHeight="1">
      <c r="A373" s="38"/>
      <c r="C373" s="39" t="s">
        <v>724</v>
      </c>
      <c r="D373" s="39" t="s">
        <v>725</v>
      </c>
      <c r="F373" s="40">
        <v>2.7</v>
      </c>
      <c r="M373" s="41"/>
    </row>
    <row r="374" spans="1:13" ht="15" customHeight="1">
      <c r="A374" s="38"/>
      <c r="C374" s="39" t="s">
        <v>726</v>
      </c>
      <c r="D374" s="39"/>
      <c r="F374" s="40">
        <v>11.411280000000001</v>
      </c>
      <c r="M374" s="41"/>
    </row>
    <row r="375" spans="1:64" ht="15" customHeight="1">
      <c r="A375" s="34" t="s">
        <v>727</v>
      </c>
      <c r="B375" s="11" t="s">
        <v>728</v>
      </c>
      <c r="C375" s="11" t="s">
        <v>729</v>
      </c>
      <c r="D375" s="11"/>
      <c r="E375" s="11" t="s">
        <v>93</v>
      </c>
      <c r="F375" s="35">
        <v>272.74</v>
      </c>
      <c r="G375" s="35">
        <v>0</v>
      </c>
      <c r="H375" s="35">
        <f>F375*AO375</f>
        <v>0</v>
      </c>
      <c r="I375" s="35">
        <f>F375*AP375</f>
        <v>0</v>
      </c>
      <c r="J375" s="35">
        <f>F375*G375</f>
        <v>0</v>
      </c>
      <c r="K375" s="35">
        <v>0.00518</v>
      </c>
      <c r="L375" s="35">
        <f>F375*K375</f>
        <v>2.73</v>
      </c>
      <c r="M375" s="36" t="s">
        <v>57</v>
      </c>
      <c r="Z375" s="35">
        <f>IF(AQ375="5",BJ375,0)</f>
        <v>0</v>
      </c>
      <c r="AB375" s="35">
        <f>IF(AQ375="1",BH375,0)</f>
        <v>0</v>
      </c>
      <c r="AC375" s="35">
        <f>IF(AQ375="1",BI375,0)</f>
        <v>0</v>
      </c>
      <c r="AD375" s="35">
        <f>IF(AQ375="7",BH375,0)</f>
        <v>0</v>
      </c>
      <c r="AE375" s="35">
        <f>IF(AQ375="7",BI375,0)</f>
        <v>0</v>
      </c>
      <c r="AF375" s="35">
        <f>IF(AQ375="2",BH375,0)</f>
        <v>0</v>
      </c>
      <c r="AG375" s="35">
        <f>IF(AQ375="2",BI375,0)</f>
        <v>0</v>
      </c>
      <c r="AH375" s="35">
        <f>IF(AQ375="0",BJ375,0)</f>
        <v>0</v>
      </c>
      <c r="AI375" s="21"/>
      <c r="AJ375" s="35">
        <f>IF(AN375=0,J375,0)</f>
        <v>0</v>
      </c>
      <c r="AK375" s="35">
        <f>IF(AN375=15,J375,0)</f>
        <v>0</v>
      </c>
      <c r="AL375" s="35">
        <f>IF(AN375=21,J375,0)</f>
        <v>0</v>
      </c>
      <c r="AN375" s="35">
        <v>15</v>
      </c>
      <c r="AO375" s="35">
        <f>G375*0.0357201664055944</f>
        <v>0</v>
      </c>
      <c r="AP375" s="35">
        <f>G375*(1-0.0357201664055944)</f>
        <v>0</v>
      </c>
      <c r="AQ375" s="37" t="s">
        <v>82</v>
      </c>
      <c r="AV375" s="35">
        <f>AW375+AX375</f>
        <v>0</v>
      </c>
      <c r="AW375" s="35">
        <f>F375*AO375</f>
        <v>0</v>
      </c>
      <c r="AX375" s="35">
        <f>F375*AP375</f>
        <v>0</v>
      </c>
      <c r="AY375" s="37" t="s">
        <v>719</v>
      </c>
      <c r="AZ375" s="37" t="s">
        <v>720</v>
      </c>
      <c r="BA375" s="21" t="s">
        <v>59</v>
      </c>
      <c r="BC375" s="35">
        <f>AW375+AX375</f>
        <v>0</v>
      </c>
      <c r="BD375" s="35">
        <f>G375/(100-BE375)*100</f>
        <v>0</v>
      </c>
      <c r="BE375" s="35">
        <v>0</v>
      </c>
      <c r="BF375" s="35">
        <f>L375</f>
        <v>2.73</v>
      </c>
      <c r="BH375" s="35">
        <f>F375*AO375</f>
        <v>0</v>
      </c>
      <c r="BI375" s="35">
        <f>F375*AP375</f>
        <v>0</v>
      </c>
      <c r="BJ375" s="35">
        <f>F375*G375</f>
        <v>0</v>
      </c>
      <c r="BK375" s="35"/>
      <c r="BL375" s="35">
        <v>771</v>
      </c>
    </row>
    <row r="376" spans="1:13" ht="15" customHeight="1">
      <c r="A376" s="38"/>
      <c r="C376" s="39" t="s">
        <v>730</v>
      </c>
      <c r="D376" s="39" t="s">
        <v>211</v>
      </c>
      <c r="F376" s="40">
        <v>149.52</v>
      </c>
      <c r="M376" s="41"/>
    </row>
    <row r="377" spans="1:13" ht="15" customHeight="1">
      <c r="A377" s="38"/>
      <c r="C377" s="39" t="s">
        <v>731</v>
      </c>
      <c r="D377" s="39"/>
      <c r="F377" s="40">
        <v>120.72000000000001</v>
      </c>
      <c r="M377" s="41"/>
    </row>
    <row r="378" spans="1:13" ht="15" customHeight="1">
      <c r="A378" s="38"/>
      <c r="C378" s="39" t="s">
        <v>732</v>
      </c>
      <c r="D378" s="39" t="s">
        <v>733</v>
      </c>
      <c r="F378" s="40">
        <v>2.5</v>
      </c>
      <c r="M378" s="41"/>
    </row>
    <row r="379" spans="1:64" ht="15" customHeight="1">
      <c r="A379" s="34" t="s">
        <v>734</v>
      </c>
      <c r="B379" s="11" t="s">
        <v>735</v>
      </c>
      <c r="C379" s="11" t="s">
        <v>736</v>
      </c>
      <c r="D379" s="11"/>
      <c r="E379" s="11" t="s">
        <v>85</v>
      </c>
      <c r="F379" s="35">
        <v>242.52694</v>
      </c>
      <c r="G379" s="35">
        <v>0</v>
      </c>
      <c r="H379" s="35">
        <f>F379*AO379</f>
        <v>0</v>
      </c>
      <c r="I379" s="35">
        <f>F379*AP379</f>
        <v>0</v>
      </c>
      <c r="J379" s="35">
        <f>F379*G379</f>
        <v>0</v>
      </c>
      <c r="K379" s="35">
        <v>0.0192</v>
      </c>
      <c r="L379" s="35">
        <f>F379*K379</f>
        <v>4.85</v>
      </c>
      <c r="M379" s="36" t="s">
        <v>57</v>
      </c>
      <c r="Z379" s="35">
        <f>IF(AQ379="5",BJ379,0)</f>
        <v>0</v>
      </c>
      <c r="AB379" s="35">
        <f>IF(AQ379="1",BH379,0)</f>
        <v>0</v>
      </c>
      <c r="AC379" s="35">
        <f>IF(AQ379="1",BI379,0)</f>
        <v>0</v>
      </c>
      <c r="AD379" s="35">
        <f>IF(AQ379="7",BH379,0)</f>
        <v>0</v>
      </c>
      <c r="AE379" s="35">
        <f>IF(AQ379="7",BI379,0)</f>
        <v>0</v>
      </c>
      <c r="AF379" s="35">
        <f>IF(AQ379="2",BH379,0)</f>
        <v>0</v>
      </c>
      <c r="AG379" s="35">
        <f>IF(AQ379="2",BI379,0)</f>
        <v>0</v>
      </c>
      <c r="AH379" s="35">
        <f>IF(AQ379="0",BJ379,0)</f>
        <v>0</v>
      </c>
      <c r="AI379" s="21"/>
      <c r="AJ379" s="35">
        <f>IF(AN379=0,J379,0)</f>
        <v>0</v>
      </c>
      <c r="AK379" s="35">
        <f>IF(AN379=15,J379,0)</f>
        <v>0</v>
      </c>
      <c r="AL379" s="35">
        <f>IF(AN379=21,J379,0)</f>
        <v>0</v>
      </c>
      <c r="AN379" s="35">
        <v>15</v>
      </c>
      <c r="AO379" s="35">
        <f>G379*1</f>
        <v>0</v>
      </c>
      <c r="AP379" s="35">
        <f>G379*(1-1)</f>
        <v>0</v>
      </c>
      <c r="AQ379" s="37" t="s">
        <v>82</v>
      </c>
      <c r="AV379" s="35">
        <f>AW379+AX379</f>
        <v>0</v>
      </c>
      <c r="AW379" s="35">
        <f>F379*AO379</f>
        <v>0</v>
      </c>
      <c r="AX379" s="35">
        <f>F379*AP379</f>
        <v>0</v>
      </c>
      <c r="AY379" s="37" t="s">
        <v>719</v>
      </c>
      <c r="AZ379" s="37" t="s">
        <v>720</v>
      </c>
      <c r="BA379" s="21" t="s">
        <v>59</v>
      </c>
      <c r="BC379" s="35">
        <f>AW379+AX379</f>
        <v>0</v>
      </c>
      <c r="BD379" s="35">
        <f>G379/(100-BE379)*100</f>
        <v>0</v>
      </c>
      <c r="BE379" s="35">
        <v>0</v>
      </c>
      <c r="BF379" s="35">
        <f>L379</f>
        <v>4.85</v>
      </c>
      <c r="BH379" s="35">
        <f>F379*AO379</f>
        <v>0</v>
      </c>
      <c r="BI379" s="35">
        <f>F379*AP379</f>
        <v>0</v>
      </c>
      <c r="BJ379" s="35">
        <f>F379*G379</f>
        <v>0</v>
      </c>
      <c r="BK379" s="35"/>
      <c r="BL379" s="35">
        <v>771</v>
      </c>
    </row>
    <row r="380" spans="1:13" ht="15" customHeight="1">
      <c r="A380" s="38"/>
      <c r="C380" s="39" t="s">
        <v>737</v>
      </c>
      <c r="D380" s="39" t="s">
        <v>738</v>
      </c>
      <c r="F380" s="40">
        <v>27.200000000000003</v>
      </c>
      <c r="M380" s="41"/>
    </row>
    <row r="381" spans="1:13" ht="15" customHeight="1">
      <c r="A381" s="38"/>
      <c r="C381" s="39" t="s">
        <v>739</v>
      </c>
      <c r="D381" s="39" t="s">
        <v>740</v>
      </c>
      <c r="F381" s="40">
        <v>201.59900000000002</v>
      </c>
      <c r="M381" s="41"/>
    </row>
    <row r="382" spans="1:13" ht="15" customHeight="1">
      <c r="A382" s="38"/>
      <c r="C382" s="39" t="s">
        <v>741</v>
      </c>
      <c r="D382" s="39"/>
      <c r="F382" s="40">
        <v>13.72794</v>
      </c>
      <c r="M382" s="41"/>
    </row>
    <row r="383" spans="1:64" ht="15" customHeight="1">
      <c r="A383" s="34" t="s">
        <v>742</v>
      </c>
      <c r="B383" s="11" t="s">
        <v>743</v>
      </c>
      <c r="C383" s="11" t="s">
        <v>744</v>
      </c>
      <c r="D383" s="11"/>
      <c r="E383" s="11" t="s">
        <v>93</v>
      </c>
      <c r="F383" s="35">
        <v>21</v>
      </c>
      <c r="G383" s="35">
        <v>0</v>
      </c>
      <c r="H383" s="35">
        <f>F383*AO383</f>
        <v>0</v>
      </c>
      <c r="I383" s="35">
        <f>F383*AP383</f>
        <v>0</v>
      </c>
      <c r="J383" s="35">
        <f>F383*G383</f>
        <v>0</v>
      </c>
      <c r="K383" s="35">
        <v>0.00635</v>
      </c>
      <c r="L383" s="35">
        <f>F383*K383</f>
        <v>0.21</v>
      </c>
      <c r="M383" s="36" t="s">
        <v>57</v>
      </c>
      <c r="Z383" s="35">
        <f>IF(AQ383="5",BJ383,0)</f>
        <v>0</v>
      </c>
      <c r="AB383" s="35">
        <f>IF(AQ383="1",BH383,0)</f>
        <v>0</v>
      </c>
      <c r="AC383" s="35">
        <f>IF(AQ383="1",BI383,0)</f>
        <v>0</v>
      </c>
      <c r="AD383" s="35">
        <f>IF(AQ383="7",BH383,0)</f>
        <v>0</v>
      </c>
      <c r="AE383" s="35">
        <f>IF(AQ383="7",BI383,0)</f>
        <v>0</v>
      </c>
      <c r="AF383" s="35">
        <f>IF(AQ383="2",BH383,0)</f>
        <v>0</v>
      </c>
      <c r="AG383" s="35">
        <f>IF(AQ383="2",BI383,0)</f>
        <v>0</v>
      </c>
      <c r="AH383" s="35">
        <f>IF(AQ383="0",BJ383,0)</f>
        <v>0</v>
      </c>
      <c r="AI383" s="21"/>
      <c r="AJ383" s="35">
        <f>IF(AN383=0,J383,0)</f>
        <v>0</v>
      </c>
      <c r="AK383" s="35">
        <f>IF(AN383=15,J383,0)</f>
        <v>0</v>
      </c>
      <c r="AL383" s="35">
        <f>IF(AN383=21,J383,0)</f>
        <v>0</v>
      </c>
      <c r="AN383" s="35">
        <v>15</v>
      </c>
      <c r="AO383" s="35">
        <f>G383*0.394985173229233</f>
        <v>0</v>
      </c>
      <c r="AP383" s="35">
        <f>G383*(1-0.394985173229233)</f>
        <v>0</v>
      </c>
      <c r="AQ383" s="37" t="s">
        <v>82</v>
      </c>
      <c r="AV383" s="35">
        <f>AW383+AX383</f>
        <v>0</v>
      </c>
      <c r="AW383" s="35">
        <f>F383*AO383</f>
        <v>0</v>
      </c>
      <c r="AX383" s="35">
        <f>F383*AP383</f>
        <v>0</v>
      </c>
      <c r="AY383" s="37" t="s">
        <v>719</v>
      </c>
      <c r="AZ383" s="37" t="s">
        <v>720</v>
      </c>
      <c r="BA383" s="21" t="s">
        <v>59</v>
      </c>
      <c r="BC383" s="35">
        <f>AW383+AX383</f>
        <v>0</v>
      </c>
      <c r="BD383" s="35">
        <f>G383/(100-BE383)*100</f>
        <v>0</v>
      </c>
      <c r="BE383" s="35">
        <v>0</v>
      </c>
      <c r="BF383" s="35">
        <f>L383</f>
        <v>0.21</v>
      </c>
      <c r="BH383" s="35">
        <f>F383*AO383</f>
        <v>0</v>
      </c>
      <c r="BI383" s="35">
        <f>F383*AP383</f>
        <v>0</v>
      </c>
      <c r="BJ383" s="35">
        <f>F383*G383</f>
        <v>0</v>
      </c>
      <c r="BK383" s="35"/>
      <c r="BL383" s="35">
        <v>771</v>
      </c>
    </row>
    <row r="384" spans="1:13" ht="15" customHeight="1">
      <c r="A384" s="38"/>
      <c r="C384" s="39" t="s">
        <v>745</v>
      </c>
      <c r="D384" s="39"/>
      <c r="F384" s="40">
        <v>21</v>
      </c>
      <c r="M384" s="41"/>
    </row>
    <row r="385" spans="1:64" ht="15" customHeight="1">
      <c r="A385" s="34" t="s">
        <v>746</v>
      </c>
      <c r="B385" s="11" t="s">
        <v>747</v>
      </c>
      <c r="C385" s="11" t="s">
        <v>748</v>
      </c>
      <c r="D385" s="11"/>
      <c r="E385" s="11" t="s">
        <v>85</v>
      </c>
      <c r="F385" s="35">
        <v>198.899</v>
      </c>
      <c r="G385" s="35">
        <v>0</v>
      </c>
      <c r="H385" s="35">
        <f>F385*AO385</f>
        <v>0</v>
      </c>
      <c r="I385" s="35">
        <f>F385*AP385</f>
        <v>0</v>
      </c>
      <c r="J385" s="35">
        <f>F385*G385</f>
        <v>0</v>
      </c>
      <c r="K385" s="35">
        <v>0</v>
      </c>
      <c r="L385" s="35">
        <f>F385*K385</f>
        <v>0</v>
      </c>
      <c r="M385" s="36" t="s">
        <v>86</v>
      </c>
      <c r="Z385" s="35">
        <f>IF(AQ385="5",BJ385,0)</f>
        <v>0</v>
      </c>
      <c r="AB385" s="35">
        <f>IF(AQ385="1",BH385,0)</f>
        <v>0</v>
      </c>
      <c r="AC385" s="35">
        <f>IF(AQ385="1",BI385,0)</f>
        <v>0</v>
      </c>
      <c r="AD385" s="35">
        <f>IF(AQ385="7",BH385,0)</f>
        <v>0</v>
      </c>
      <c r="AE385" s="35">
        <f>IF(AQ385="7",BI385,0)</f>
        <v>0</v>
      </c>
      <c r="AF385" s="35">
        <f>IF(AQ385="2",BH385,0)</f>
        <v>0</v>
      </c>
      <c r="AG385" s="35">
        <f>IF(AQ385="2",BI385,0)</f>
        <v>0</v>
      </c>
      <c r="AH385" s="35">
        <f>IF(AQ385="0",BJ385,0)</f>
        <v>0</v>
      </c>
      <c r="AI385" s="21"/>
      <c r="AJ385" s="35">
        <f>IF(AN385=0,J385,0)</f>
        <v>0</v>
      </c>
      <c r="AK385" s="35">
        <f>IF(AN385=15,J385,0)</f>
        <v>0</v>
      </c>
      <c r="AL385" s="35">
        <f>IF(AN385=21,J385,0)</f>
        <v>0</v>
      </c>
      <c r="AN385" s="35">
        <v>15</v>
      </c>
      <c r="AO385" s="35">
        <f>G385*0.785607666289644</f>
        <v>0</v>
      </c>
      <c r="AP385" s="35">
        <f>G385*(1-0.785607666289644)</f>
        <v>0</v>
      </c>
      <c r="AQ385" s="37" t="s">
        <v>82</v>
      </c>
      <c r="AV385" s="35">
        <f>AW385+AX385</f>
        <v>0</v>
      </c>
      <c r="AW385" s="35">
        <f>F385*AO385</f>
        <v>0</v>
      </c>
      <c r="AX385" s="35">
        <f>F385*AP385</f>
        <v>0</v>
      </c>
      <c r="AY385" s="37" t="s">
        <v>719</v>
      </c>
      <c r="AZ385" s="37" t="s">
        <v>720</v>
      </c>
      <c r="BA385" s="21" t="s">
        <v>59</v>
      </c>
      <c r="BC385" s="35">
        <f>AW385+AX385</f>
        <v>0</v>
      </c>
      <c r="BD385" s="35">
        <f>G385/(100-BE385)*100</f>
        <v>0</v>
      </c>
      <c r="BE385" s="35">
        <v>0</v>
      </c>
      <c r="BF385" s="35">
        <f>L385</f>
        <v>0</v>
      </c>
      <c r="BH385" s="35">
        <f>F385*AO385</f>
        <v>0</v>
      </c>
      <c r="BI385" s="35">
        <f>F385*AP385</f>
        <v>0</v>
      </c>
      <c r="BJ385" s="35">
        <f>F385*G385</f>
        <v>0</v>
      </c>
      <c r="BK385" s="35"/>
      <c r="BL385" s="35">
        <v>771</v>
      </c>
    </row>
    <row r="386" spans="1:13" ht="15" customHeight="1">
      <c r="A386" s="38"/>
      <c r="C386" s="39" t="s">
        <v>749</v>
      </c>
      <c r="D386" s="39" t="s">
        <v>750</v>
      </c>
      <c r="F386" s="40">
        <v>198.89900000000003</v>
      </c>
      <c r="M386" s="41"/>
    </row>
    <row r="387" spans="1:13" ht="15" customHeight="1">
      <c r="A387" s="38"/>
      <c r="C387" s="39"/>
      <c r="D387" s="39" t="s">
        <v>751</v>
      </c>
      <c r="F387" s="40">
        <v>0</v>
      </c>
      <c r="M387" s="41"/>
    </row>
    <row r="388" spans="1:13" ht="15" customHeight="1">
      <c r="A388" s="38"/>
      <c r="C388" s="39"/>
      <c r="D388" s="39" t="s">
        <v>752</v>
      </c>
      <c r="F388" s="40">
        <v>0</v>
      </c>
      <c r="M388" s="41"/>
    </row>
    <row r="389" spans="1:13" ht="15" customHeight="1">
      <c r="A389" s="38"/>
      <c r="C389" s="39"/>
      <c r="D389" s="39" t="s">
        <v>753</v>
      </c>
      <c r="F389" s="40">
        <v>0</v>
      </c>
      <c r="M389" s="41"/>
    </row>
    <row r="390" spans="1:13" ht="15" customHeight="1">
      <c r="A390" s="38"/>
      <c r="C390" s="39"/>
      <c r="D390" s="39" t="s">
        <v>754</v>
      </c>
      <c r="F390" s="40">
        <v>0</v>
      </c>
      <c r="M390" s="41"/>
    </row>
    <row r="391" spans="1:64" ht="15" customHeight="1">
      <c r="A391" s="34" t="s">
        <v>755</v>
      </c>
      <c r="B391" s="11" t="s">
        <v>756</v>
      </c>
      <c r="C391" s="11" t="s">
        <v>757</v>
      </c>
      <c r="D391" s="11"/>
      <c r="E391" s="11" t="s">
        <v>172</v>
      </c>
      <c r="F391" s="35">
        <v>7.303</v>
      </c>
      <c r="G391" s="35">
        <v>0</v>
      </c>
      <c r="H391" s="35">
        <f>F391*AO391</f>
        <v>0</v>
      </c>
      <c r="I391" s="35">
        <f>F391*AP391</f>
        <v>0</v>
      </c>
      <c r="J391" s="35">
        <f>F391*G391</f>
        <v>0</v>
      </c>
      <c r="K391" s="35">
        <v>0</v>
      </c>
      <c r="L391" s="35">
        <f>F391*K391</f>
        <v>0</v>
      </c>
      <c r="M391" s="36" t="s">
        <v>57</v>
      </c>
      <c r="Z391" s="35">
        <f>IF(AQ391="5",BJ391,0)</f>
        <v>0</v>
      </c>
      <c r="AB391" s="35">
        <f>IF(AQ391="1",BH391,0)</f>
        <v>0</v>
      </c>
      <c r="AC391" s="35">
        <f>IF(AQ391="1",BI391,0)</f>
        <v>0</v>
      </c>
      <c r="AD391" s="35">
        <f>IF(AQ391="7",BH391,0)</f>
        <v>0</v>
      </c>
      <c r="AE391" s="35">
        <f>IF(AQ391="7",BI391,0)</f>
        <v>0</v>
      </c>
      <c r="AF391" s="35">
        <f>IF(AQ391="2",BH391,0)</f>
        <v>0</v>
      </c>
      <c r="AG391" s="35">
        <f>IF(AQ391="2",BI391,0)</f>
        <v>0</v>
      </c>
      <c r="AH391" s="35">
        <f>IF(AQ391="0",BJ391,0)</f>
        <v>0</v>
      </c>
      <c r="AI391" s="21"/>
      <c r="AJ391" s="35">
        <f>IF(AN391=0,J391,0)</f>
        <v>0</v>
      </c>
      <c r="AK391" s="35">
        <f>IF(AN391=15,J391,0)</f>
        <v>0</v>
      </c>
      <c r="AL391" s="35">
        <f>IF(AN391=21,J391,0)</f>
        <v>0</v>
      </c>
      <c r="AN391" s="35">
        <v>15</v>
      </c>
      <c r="AO391" s="35">
        <f>G391*0</f>
        <v>0</v>
      </c>
      <c r="AP391" s="35">
        <f>G391*(1-0)</f>
        <v>0</v>
      </c>
      <c r="AQ391" s="37" t="s">
        <v>70</v>
      </c>
      <c r="AV391" s="35">
        <f>AW391+AX391</f>
        <v>0</v>
      </c>
      <c r="AW391" s="35">
        <f>F391*AO391</f>
        <v>0</v>
      </c>
      <c r="AX391" s="35">
        <f>F391*AP391</f>
        <v>0</v>
      </c>
      <c r="AY391" s="37" t="s">
        <v>719</v>
      </c>
      <c r="AZ391" s="37" t="s">
        <v>720</v>
      </c>
      <c r="BA391" s="21" t="s">
        <v>59</v>
      </c>
      <c r="BC391" s="35">
        <f>AW391+AX391</f>
        <v>0</v>
      </c>
      <c r="BD391" s="35">
        <f>G391/(100-BE391)*100</f>
        <v>0</v>
      </c>
      <c r="BE391" s="35">
        <v>0</v>
      </c>
      <c r="BF391" s="35">
        <f>L391</f>
        <v>0</v>
      </c>
      <c r="BH391" s="35">
        <f>F391*AO391</f>
        <v>0</v>
      </c>
      <c r="BI391" s="35">
        <f>F391*AP391</f>
        <v>0</v>
      </c>
      <c r="BJ391" s="35">
        <f>F391*G391</f>
        <v>0</v>
      </c>
      <c r="BK391" s="35"/>
      <c r="BL391" s="35">
        <v>771</v>
      </c>
    </row>
    <row r="392" spans="1:13" ht="15" customHeight="1">
      <c r="A392" s="38"/>
      <c r="C392" s="39" t="s">
        <v>758</v>
      </c>
      <c r="D392" s="39"/>
      <c r="F392" s="40">
        <v>7.303000000000001</v>
      </c>
      <c r="M392" s="41"/>
    </row>
    <row r="393" spans="1:47" ht="15" customHeight="1">
      <c r="A393" s="30"/>
      <c r="B393" s="31" t="s">
        <v>759</v>
      </c>
      <c r="C393" s="31" t="s">
        <v>760</v>
      </c>
      <c r="D393" s="31"/>
      <c r="E393" s="32" t="s">
        <v>4</v>
      </c>
      <c r="F393" s="32" t="s">
        <v>4</v>
      </c>
      <c r="G393" s="32" t="s">
        <v>4</v>
      </c>
      <c r="H393" s="3">
        <f>SUM(H394:H399)</f>
        <v>0</v>
      </c>
      <c r="I393" s="3">
        <f>SUM(I394:I399)</f>
        <v>0</v>
      </c>
      <c r="J393" s="3">
        <f>SUM(J394:J399)</f>
        <v>0</v>
      </c>
      <c r="K393" s="21"/>
      <c r="L393" s="3">
        <f>SUM(L394:L399)</f>
        <v>0</v>
      </c>
      <c r="M393" s="33"/>
      <c r="AI393" s="21"/>
      <c r="AS393" s="3">
        <f>SUM(AJ394:AJ399)</f>
        <v>0</v>
      </c>
      <c r="AT393" s="3">
        <f>SUM(AK394:AK399)</f>
        <v>0</v>
      </c>
      <c r="AU393" s="3">
        <f>SUM(AL394:AL399)</f>
        <v>0</v>
      </c>
    </row>
    <row r="394" spans="1:64" ht="15" customHeight="1">
      <c r="A394" s="34" t="s">
        <v>761</v>
      </c>
      <c r="B394" s="11" t="s">
        <v>762</v>
      </c>
      <c r="C394" s="11" t="s">
        <v>763</v>
      </c>
      <c r="D394" s="11"/>
      <c r="E394" s="11" t="s">
        <v>85</v>
      </c>
      <c r="F394" s="35">
        <v>6.025</v>
      </c>
      <c r="G394" s="35">
        <v>0</v>
      </c>
      <c r="H394" s="35">
        <f>F394*AO394</f>
        <v>0</v>
      </c>
      <c r="I394" s="35">
        <f>F394*AP394</f>
        <v>0</v>
      </c>
      <c r="J394" s="35">
        <f>F394*G394</f>
        <v>0</v>
      </c>
      <c r="K394" s="35">
        <v>0.0005</v>
      </c>
      <c r="L394" s="35">
        <f>F394*K394</f>
        <v>0</v>
      </c>
      <c r="M394" s="36" t="s">
        <v>57</v>
      </c>
      <c r="Z394" s="35">
        <f>IF(AQ394="5",BJ394,0)</f>
        <v>0</v>
      </c>
      <c r="AB394" s="35">
        <f>IF(AQ394="1",BH394,0)</f>
        <v>0</v>
      </c>
      <c r="AC394" s="35">
        <f>IF(AQ394="1",BI394,0)</f>
        <v>0</v>
      </c>
      <c r="AD394" s="35">
        <f>IF(AQ394="7",BH394,0)</f>
        <v>0</v>
      </c>
      <c r="AE394" s="35">
        <f>IF(AQ394="7",BI394,0)</f>
        <v>0</v>
      </c>
      <c r="AF394" s="35">
        <f>IF(AQ394="2",BH394,0)</f>
        <v>0</v>
      </c>
      <c r="AG394" s="35">
        <f>IF(AQ394="2",BI394,0)</f>
        <v>0</v>
      </c>
      <c r="AH394" s="35">
        <f>IF(AQ394="0",BJ394,0)</f>
        <v>0</v>
      </c>
      <c r="AI394" s="21"/>
      <c r="AJ394" s="35">
        <f>IF(AN394=0,J394,0)</f>
        <v>0</v>
      </c>
      <c r="AK394" s="35">
        <f>IF(AN394=15,J394,0)</f>
        <v>0</v>
      </c>
      <c r="AL394" s="35">
        <f>IF(AN394=21,J394,0)</f>
        <v>0</v>
      </c>
      <c r="AN394" s="35">
        <v>15</v>
      </c>
      <c r="AO394" s="35">
        <f>G394*0.345647291069707</f>
        <v>0</v>
      </c>
      <c r="AP394" s="35">
        <f>G394*(1-0.345647291069707)</f>
        <v>0</v>
      </c>
      <c r="AQ394" s="37" t="s">
        <v>82</v>
      </c>
      <c r="AV394" s="35">
        <f>AW394+AX394</f>
        <v>0</v>
      </c>
      <c r="AW394" s="35">
        <f>F394*AO394</f>
        <v>0</v>
      </c>
      <c r="AX394" s="35">
        <f>F394*AP394</f>
        <v>0</v>
      </c>
      <c r="AY394" s="37" t="s">
        <v>764</v>
      </c>
      <c r="AZ394" s="37" t="s">
        <v>765</v>
      </c>
      <c r="BA394" s="21" t="s">
        <v>59</v>
      </c>
      <c r="BC394" s="35">
        <f>AW394+AX394</f>
        <v>0</v>
      </c>
      <c r="BD394" s="35">
        <f>G394/(100-BE394)*100</f>
        <v>0</v>
      </c>
      <c r="BE394" s="35">
        <v>0</v>
      </c>
      <c r="BF394" s="35">
        <f>L394</f>
        <v>0</v>
      </c>
      <c r="BH394" s="35">
        <f>F394*AO394</f>
        <v>0</v>
      </c>
      <c r="BI394" s="35">
        <f>F394*AP394</f>
        <v>0</v>
      </c>
      <c r="BJ394" s="35">
        <f>F394*G394</f>
        <v>0</v>
      </c>
      <c r="BK394" s="35"/>
      <c r="BL394" s="35">
        <v>783</v>
      </c>
    </row>
    <row r="395" spans="1:13" ht="15" customHeight="1">
      <c r="A395" s="38"/>
      <c r="C395" s="39" t="s">
        <v>766</v>
      </c>
      <c r="D395" s="39" t="s">
        <v>767</v>
      </c>
      <c r="F395" s="40">
        <v>4</v>
      </c>
      <c r="M395" s="41"/>
    </row>
    <row r="396" spans="1:13" ht="15" customHeight="1">
      <c r="A396" s="38"/>
      <c r="C396" s="39" t="s">
        <v>768</v>
      </c>
      <c r="D396" s="39" t="s">
        <v>769</v>
      </c>
      <c r="F396" s="40">
        <v>2.0250000000000004</v>
      </c>
      <c r="M396" s="41"/>
    </row>
    <row r="397" spans="1:64" ht="15" customHeight="1">
      <c r="A397" s="34" t="s">
        <v>770</v>
      </c>
      <c r="B397" s="11" t="s">
        <v>771</v>
      </c>
      <c r="C397" s="11" t="s">
        <v>772</v>
      </c>
      <c r="D397" s="11"/>
      <c r="E397" s="11" t="s">
        <v>93</v>
      </c>
      <c r="F397" s="35">
        <v>7</v>
      </c>
      <c r="G397" s="35">
        <v>0</v>
      </c>
      <c r="H397" s="35">
        <f>F397*AO397</f>
        <v>0</v>
      </c>
      <c r="I397" s="35">
        <f>F397*AP397</f>
        <v>0</v>
      </c>
      <c r="J397" s="35">
        <f>F397*G397</f>
        <v>0</v>
      </c>
      <c r="K397" s="35">
        <v>9E-05</v>
      </c>
      <c r="L397" s="35">
        <f>F397*K397</f>
        <v>0</v>
      </c>
      <c r="M397" s="36" t="s">
        <v>57</v>
      </c>
      <c r="Z397" s="35">
        <f>IF(AQ397="5",BJ397,0)</f>
        <v>0</v>
      </c>
      <c r="AB397" s="35">
        <f>IF(AQ397="1",BH397,0)</f>
        <v>0</v>
      </c>
      <c r="AC397" s="35">
        <f>IF(AQ397="1",BI397,0)</f>
        <v>0</v>
      </c>
      <c r="AD397" s="35">
        <f>IF(AQ397="7",BH397,0)</f>
        <v>0</v>
      </c>
      <c r="AE397" s="35">
        <f>IF(AQ397="7",BI397,0)</f>
        <v>0</v>
      </c>
      <c r="AF397" s="35">
        <f>IF(AQ397="2",BH397,0)</f>
        <v>0</v>
      </c>
      <c r="AG397" s="35">
        <f>IF(AQ397="2",BI397,0)</f>
        <v>0</v>
      </c>
      <c r="AH397" s="35">
        <f>IF(AQ397="0",BJ397,0)</f>
        <v>0</v>
      </c>
      <c r="AI397" s="21"/>
      <c r="AJ397" s="35">
        <f>IF(AN397=0,J397,0)</f>
        <v>0</v>
      </c>
      <c r="AK397" s="35">
        <f>IF(AN397=15,J397,0)</f>
        <v>0</v>
      </c>
      <c r="AL397" s="35">
        <f>IF(AN397=21,J397,0)</f>
        <v>0</v>
      </c>
      <c r="AN397" s="35">
        <v>15</v>
      </c>
      <c r="AO397" s="35">
        <f>G397*0.469225199131064</f>
        <v>0</v>
      </c>
      <c r="AP397" s="35">
        <f>G397*(1-0.469225199131064)</f>
        <v>0</v>
      </c>
      <c r="AQ397" s="37" t="s">
        <v>82</v>
      </c>
      <c r="AV397" s="35">
        <f>AW397+AX397</f>
        <v>0</v>
      </c>
      <c r="AW397" s="35">
        <f>F397*AO397</f>
        <v>0</v>
      </c>
      <c r="AX397" s="35">
        <f>F397*AP397</f>
        <v>0</v>
      </c>
      <c r="AY397" s="37" t="s">
        <v>764</v>
      </c>
      <c r="AZ397" s="37" t="s">
        <v>765</v>
      </c>
      <c r="BA397" s="21" t="s">
        <v>59</v>
      </c>
      <c r="BC397" s="35">
        <f>AW397+AX397</f>
        <v>0</v>
      </c>
      <c r="BD397" s="35">
        <f>G397/(100-BE397)*100</f>
        <v>0</v>
      </c>
      <c r="BE397" s="35">
        <v>0</v>
      </c>
      <c r="BF397" s="35">
        <f>L397</f>
        <v>0</v>
      </c>
      <c r="BH397" s="35">
        <f>F397*AO397</f>
        <v>0</v>
      </c>
      <c r="BI397" s="35">
        <f>F397*AP397</f>
        <v>0</v>
      </c>
      <c r="BJ397" s="35">
        <f>F397*G397</f>
        <v>0</v>
      </c>
      <c r="BK397" s="35"/>
      <c r="BL397" s="35">
        <v>783</v>
      </c>
    </row>
    <row r="398" spans="1:13" ht="15" customHeight="1">
      <c r="A398" s="38"/>
      <c r="C398" s="39" t="s">
        <v>82</v>
      </c>
      <c r="D398" s="39" t="s">
        <v>773</v>
      </c>
      <c r="F398" s="40">
        <v>7.000000000000001</v>
      </c>
      <c r="M398" s="41"/>
    </row>
    <row r="399" spans="1:64" ht="15" customHeight="1">
      <c r="A399" s="34" t="s">
        <v>774</v>
      </c>
      <c r="B399" s="11" t="s">
        <v>775</v>
      </c>
      <c r="C399" s="11" t="s">
        <v>776</v>
      </c>
      <c r="D399" s="11"/>
      <c r="E399" s="11" t="s">
        <v>93</v>
      </c>
      <c r="F399" s="35">
        <v>12</v>
      </c>
      <c r="G399" s="35">
        <v>0</v>
      </c>
      <c r="H399" s="35">
        <f>F399*AO399</f>
        <v>0</v>
      </c>
      <c r="I399" s="35">
        <f>F399*AP399</f>
        <v>0</v>
      </c>
      <c r="J399" s="35">
        <f>F399*G399</f>
        <v>0</v>
      </c>
      <c r="K399" s="35">
        <v>7E-05</v>
      </c>
      <c r="L399" s="35">
        <f>F399*K399</f>
        <v>0</v>
      </c>
      <c r="M399" s="36" t="s">
        <v>57</v>
      </c>
      <c r="Z399" s="35">
        <f>IF(AQ399="5",BJ399,0)</f>
        <v>0</v>
      </c>
      <c r="AB399" s="35">
        <f>IF(AQ399="1",BH399,0)</f>
        <v>0</v>
      </c>
      <c r="AC399" s="35">
        <f>IF(AQ399="1",BI399,0)</f>
        <v>0</v>
      </c>
      <c r="AD399" s="35">
        <f>IF(AQ399="7",BH399,0)</f>
        <v>0</v>
      </c>
      <c r="AE399" s="35">
        <f>IF(AQ399="7",BI399,0)</f>
        <v>0</v>
      </c>
      <c r="AF399" s="35">
        <f>IF(AQ399="2",BH399,0)</f>
        <v>0</v>
      </c>
      <c r="AG399" s="35">
        <f>IF(AQ399="2",BI399,0)</f>
        <v>0</v>
      </c>
      <c r="AH399" s="35">
        <f>IF(AQ399="0",BJ399,0)</f>
        <v>0</v>
      </c>
      <c r="AI399" s="21"/>
      <c r="AJ399" s="35">
        <f>IF(AN399=0,J399,0)</f>
        <v>0</v>
      </c>
      <c r="AK399" s="35">
        <f>IF(AN399=15,J399,0)</f>
        <v>0</v>
      </c>
      <c r="AL399" s="35">
        <f>IF(AN399=21,J399,0)</f>
        <v>0</v>
      </c>
      <c r="AN399" s="35">
        <v>15</v>
      </c>
      <c r="AO399" s="35">
        <f>G399*0.19922480620155</f>
        <v>0</v>
      </c>
      <c r="AP399" s="35">
        <f>G399*(1-0.19922480620155)</f>
        <v>0</v>
      </c>
      <c r="AQ399" s="37" t="s">
        <v>82</v>
      </c>
      <c r="AV399" s="35">
        <f>AW399+AX399</f>
        <v>0</v>
      </c>
      <c r="AW399" s="35">
        <f>F399*AO399</f>
        <v>0</v>
      </c>
      <c r="AX399" s="35">
        <f>F399*AP399</f>
        <v>0</v>
      </c>
      <c r="AY399" s="37" t="s">
        <v>764</v>
      </c>
      <c r="AZ399" s="37" t="s">
        <v>765</v>
      </c>
      <c r="BA399" s="21" t="s">
        <v>59</v>
      </c>
      <c r="BC399" s="35">
        <f>AW399+AX399</f>
        <v>0</v>
      </c>
      <c r="BD399" s="35">
        <f>G399/(100-BE399)*100</f>
        <v>0</v>
      </c>
      <c r="BE399" s="35">
        <v>0</v>
      </c>
      <c r="BF399" s="35">
        <f>L399</f>
        <v>0</v>
      </c>
      <c r="BH399" s="35">
        <f>F399*AO399</f>
        <v>0</v>
      </c>
      <c r="BI399" s="35">
        <f>F399*AP399</f>
        <v>0</v>
      </c>
      <c r="BJ399" s="35">
        <f>F399*G399</f>
        <v>0</v>
      </c>
      <c r="BK399" s="35"/>
      <c r="BL399" s="35">
        <v>783</v>
      </c>
    </row>
    <row r="400" spans="1:13" ht="15" customHeight="1">
      <c r="A400" s="38"/>
      <c r="C400" s="39" t="s">
        <v>308</v>
      </c>
      <c r="D400" s="39" t="s">
        <v>777</v>
      </c>
      <c r="F400" s="40">
        <v>9.600000000000001</v>
      </c>
      <c r="M400" s="41"/>
    </row>
    <row r="401" spans="1:13" ht="15" customHeight="1">
      <c r="A401" s="38"/>
      <c r="C401" s="39" t="s">
        <v>778</v>
      </c>
      <c r="D401" s="39" t="s">
        <v>779</v>
      </c>
      <c r="F401" s="40">
        <v>2.4000000000000004</v>
      </c>
      <c r="M401" s="41"/>
    </row>
    <row r="402" spans="1:47" ht="15" customHeight="1">
      <c r="A402" s="30"/>
      <c r="B402" s="31" t="s">
        <v>508</v>
      </c>
      <c r="C402" s="31" t="s">
        <v>780</v>
      </c>
      <c r="D402" s="31"/>
      <c r="E402" s="32" t="s">
        <v>4</v>
      </c>
      <c r="F402" s="32" t="s">
        <v>4</v>
      </c>
      <c r="G402" s="32" t="s">
        <v>4</v>
      </c>
      <c r="H402" s="3">
        <f>SUM(H403:H403)</f>
        <v>0</v>
      </c>
      <c r="I402" s="3">
        <f>SUM(I403:I403)</f>
        <v>0</v>
      </c>
      <c r="J402" s="3">
        <f>SUM(J403:J403)</f>
        <v>0</v>
      </c>
      <c r="K402" s="21"/>
      <c r="L402" s="3">
        <f>SUM(L403:L403)</f>
        <v>0</v>
      </c>
      <c r="M402" s="33"/>
      <c r="AI402" s="21"/>
      <c r="AS402" s="3">
        <f>SUM(AJ403:AJ403)</f>
        <v>0</v>
      </c>
      <c r="AT402" s="3">
        <f>SUM(AK403:AK403)</f>
        <v>0</v>
      </c>
      <c r="AU402" s="3">
        <f>SUM(AL403:AL403)</f>
        <v>0</v>
      </c>
    </row>
    <row r="403" spans="1:64" ht="15" customHeight="1">
      <c r="A403" s="34" t="s">
        <v>781</v>
      </c>
      <c r="B403" s="11" t="s">
        <v>782</v>
      </c>
      <c r="C403" s="11" t="s">
        <v>783</v>
      </c>
      <c r="D403" s="11"/>
      <c r="E403" s="11" t="s">
        <v>784</v>
      </c>
      <c r="F403" s="35">
        <v>80</v>
      </c>
      <c r="G403" s="35">
        <v>0</v>
      </c>
      <c r="H403" s="35">
        <f>F403*AO403</f>
        <v>0</v>
      </c>
      <c r="I403" s="35">
        <f>F403*AP403</f>
        <v>0</v>
      </c>
      <c r="J403" s="35">
        <f>F403*G403</f>
        <v>0</v>
      </c>
      <c r="K403" s="35">
        <v>0</v>
      </c>
      <c r="L403" s="35">
        <f>F403*K403</f>
        <v>0</v>
      </c>
      <c r="M403" s="36" t="s">
        <v>57</v>
      </c>
      <c r="Z403" s="35">
        <f>IF(AQ403="5",BJ403,0)</f>
        <v>0</v>
      </c>
      <c r="AB403" s="35">
        <f>IF(AQ403="1",BH403,0)</f>
        <v>0</v>
      </c>
      <c r="AC403" s="35">
        <f>IF(AQ403="1",BI403,0)</f>
        <v>0</v>
      </c>
      <c r="AD403" s="35">
        <f>IF(AQ403="7",BH403,0)</f>
        <v>0</v>
      </c>
      <c r="AE403" s="35">
        <f>IF(AQ403="7",BI403,0)</f>
        <v>0</v>
      </c>
      <c r="AF403" s="35">
        <f>IF(AQ403="2",BH403,0)</f>
        <v>0</v>
      </c>
      <c r="AG403" s="35">
        <f>IF(AQ403="2",BI403,0)</f>
        <v>0</v>
      </c>
      <c r="AH403" s="35">
        <f>IF(AQ403="0",BJ403,0)</f>
        <v>0</v>
      </c>
      <c r="AI403" s="21"/>
      <c r="AJ403" s="35">
        <f>IF(AN403=0,J403,0)</f>
        <v>0</v>
      </c>
      <c r="AK403" s="35">
        <f>IF(AN403=15,J403,0)</f>
        <v>0</v>
      </c>
      <c r="AL403" s="35">
        <f>IF(AN403=21,J403,0)</f>
        <v>0</v>
      </c>
      <c r="AN403" s="35">
        <v>15</v>
      </c>
      <c r="AO403" s="35">
        <f>G403*0</f>
        <v>0</v>
      </c>
      <c r="AP403" s="35">
        <f>G403*(1-0)</f>
        <v>0</v>
      </c>
      <c r="AQ403" s="37" t="s">
        <v>53</v>
      </c>
      <c r="AV403" s="35">
        <f>AW403+AX403</f>
        <v>0</v>
      </c>
      <c r="AW403" s="35">
        <f>F403*AO403</f>
        <v>0</v>
      </c>
      <c r="AX403" s="35">
        <f>F403*AP403</f>
        <v>0</v>
      </c>
      <c r="AY403" s="37" t="s">
        <v>785</v>
      </c>
      <c r="AZ403" s="37" t="s">
        <v>786</v>
      </c>
      <c r="BA403" s="21" t="s">
        <v>59</v>
      </c>
      <c r="BC403" s="35">
        <f>AW403+AX403</f>
        <v>0</v>
      </c>
      <c r="BD403" s="35">
        <f>G403/(100-BE403)*100</f>
        <v>0</v>
      </c>
      <c r="BE403" s="35">
        <v>0</v>
      </c>
      <c r="BF403" s="35">
        <f>L403</f>
        <v>0</v>
      </c>
      <c r="BH403" s="35">
        <f>F403*AO403</f>
        <v>0</v>
      </c>
      <c r="BI403" s="35">
        <f>F403*AP403</f>
        <v>0</v>
      </c>
      <c r="BJ403" s="35">
        <f>F403*G403</f>
        <v>0</v>
      </c>
      <c r="BK403" s="35"/>
      <c r="BL403" s="35">
        <v>90</v>
      </c>
    </row>
    <row r="404" spans="1:13" ht="15" customHeight="1">
      <c r="A404" s="38"/>
      <c r="C404" s="39" t="s">
        <v>472</v>
      </c>
      <c r="D404" s="39"/>
      <c r="F404" s="40">
        <v>80</v>
      </c>
      <c r="M404" s="41"/>
    </row>
    <row r="405" spans="1:47" ht="15" customHeight="1">
      <c r="A405" s="30"/>
      <c r="B405" s="31" t="s">
        <v>511</v>
      </c>
      <c r="C405" s="31" t="s">
        <v>787</v>
      </c>
      <c r="D405" s="31"/>
      <c r="E405" s="32" t="s">
        <v>4</v>
      </c>
      <c r="F405" s="32" t="s">
        <v>4</v>
      </c>
      <c r="G405" s="32" t="s">
        <v>4</v>
      </c>
      <c r="H405" s="3">
        <f>SUM(H406:H406)</f>
        <v>0</v>
      </c>
      <c r="I405" s="3">
        <f>SUM(I406:I406)</f>
        <v>0</v>
      </c>
      <c r="J405" s="3">
        <f>SUM(J406:J406)</f>
        <v>0</v>
      </c>
      <c r="K405" s="21"/>
      <c r="L405" s="3">
        <f>SUM(L406:L406)</f>
        <v>0.84</v>
      </c>
      <c r="M405" s="33"/>
      <c r="AI405" s="21"/>
      <c r="AS405" s="3">
        <f>SUM(AJ406:AJ406)</f>
        <v>0</v>
      </c>
      <c r="AT405" s="3">
        <f>SUM(AK406:AK406)</f>
        <v>0</v>
      </c>
      <c r="AU405" s="3">
        <f>SUM(AL406:AL406)</f>
        <v>0</v>
      </c>
    </row>
    <row r="406" spans="1:64" ht="15" customHeight="1">
      <c r="A406" s="34" t="s">
        <v>788</v>
      </c>
      <c r="B406" s="11" t="s">
        <v>789</v>
      </c>
      <c r="C406" s="11" t="s">
        <v>790</v>
      </c>
      <c r="D406" s="11"/>
      <c r="E406" s="11" t="s">
        <v>93</v>
      </c>
      <c r="F406" s="35">
        <v>7</v>
      </c>
      <c r="G406" s="35">
        <v>0</v>
      </c>
      <c r="H406" s="35">
        <f>F406*AO406</f>
        <v>0</v>
      </c>
      <c r="I406" s="35">
        <f>F406*AP406</f>
        <v>0</v>
      </c>
      <c r="J406" s="35">
        <f>F406*G406</f>
        <v>0</v>
      </c>
      <c r="K406" s="35">
        <v>0.11693</v>
      </c>
      <c r="L406" s="35">
        <f>F406*K406</f>
        <v>0.84</v>
      </c>
      <c r="M406" s="36" t="s">
        <v>86</v>
      </c>
      <c r="Z406" s="35">
        <f>IF(AQ406="5",BJ406,0)</f>
        <v>0</v>
      </c>
      <c r="AB406" s="35">
        <f>IF(AQ406="1",BH406,0)</f>
        <v>0</v>
      </c>
      <c r="AC406" s="35">
        <f>IF(AQ406="1",BI406,0)</f>
        <v>0</v>
      </c>
      <c r="AD406" s="35">
        <f>IF(AQ406="7",BH406,0)</f>
        <v>0</v>
      </c>
      <c r="AE406" s="35">
        <f>IF(AQ406="7",BI406,0)</f>
        <v>0</v>
      </c>
      <c r="AF406" s="35">
        <f>IF(AQ406="2",BH406,0)</f>
        <v>0</v>
      </c>
      <c r="AG406" s="35">
        <f>IF(AQ406="2",BI406,0)</f>
        <v>0</v>
      </c>
      <c r="AH406" s="35">
        <f>IF(AQ406="0",BJ406,0)</f>
        <v>0</v>
      </c>
      <c r="AI406" s="21"/>
      <c r="AJ406" s="35">
        <f>IF(AN406=0,J406,0)</f>
        <v>0</v>
      </c>
      <c r="AK406" s="35">
        <f>IF(AN406=15,J406,0)</f>
        <v>0</v>
      </c>
      <c r="AL406" s="35">
        <f>IF(AN406=21,J406,0)</f>
        <v>0</v>
      </c>
      <c r="AN406" s="35">
        <v>15</v>
      </c>
      <c r="AO406" s="35">
        <f>G406*0.786198830409357</f>
        <v>0</v>
      </c>
      <c r="AP406" s="35">
        <f>G406*(1-0.786198830409357)</f>
        <v>0</v>
      </c>
      <c r="AQ406" s="37" t="s">
        <v>53</v>
      </c>
      <c r="AV406" s="35">
        <f>AW406+AX406</f>
        <v>0</v>
      </c>
      <c r="AW406" s="35">
        <f>F406*AO406</f>
        <v>0</v>
      </c>
      <c r="AX406" s="35">
        <f>F406*AP406</f>
        <v>0</v>
      </c>
      <c r="AY406" s="37" t="s">
        <v>791</v>
      </c>
      <c r="AZ406" s="37" t="s">
        <v>786</v>
      </c>
      <c r="BA406" s="21" t="s">
        <v>59</v>
      </c>
      <c r="BC406" s="35">
        <f>AW406+AX406</f>
        <v>0</v>
      </c>
      <c r="BD406" s="35">
        <f>G406/(100-BE406)*100</f>
        <v>0</v>
      </c>
      <c r="BE406" s="35">
        <v>0</v>
      </c>
      <c r="BF406" s="35">
        <f>L406</f>
        <v>0.84</v>
      </c>
      <c r="BH406" s="35">
        <f>F406*AO406</f>
        <v>0</v>
      </c>
      <c r="BI406" s="35">
        <f>F406*AP406</f>
        <v>0</v>
      </c>
      <c r="BJ406" s="35">
        <f>F406*G406</f>
        <v>0</v>
      </c>
      <c r="BK406" s="35"/>
      <c r="BL406" s="35">
        <v>91</v>
      </c>
    </row>
    <row r="407" spans="1:13" ht="15" customHeight="1">
      <c r="A407" s="38"/>
      <c r="C407" s="39" t="s">
        <v>94</v>
      </c>
      <c r="D407" s="39" t="s">
        <v>792</v>
      </c>
      <c r="F407" s="40">
        <v>7.000000000000001</v>
      </c>
      <c r="M407" s="41"/>
    </row>
    <row r="408" spans="1:47" ht="15" customHeight="1">
      <c r="A408" s="30"/>
      <c r="B408" s="31" t="s">
        <v>519</v>
      </c>
      <c r="C408" s="31" t="s">
        <v>793</v>
      </c>
      <c r="D408" s="31"/>
      <c r="E408" s="32" t="s">
        <v>4</v>
      </c>
      <c r="F408" s="32" t="s">
        <v>4</v>
      </c>
      <c r="G408" s="32" t="s">
        <v>4</v>
      </c>
      <c r="H408" s="3">
        <f>SUM(H409:H424)</f>
        <v>0</v>
      </c>
      <c r="I408" s="3">
        <f>SUM(I409:I424)</f>
        <v>0</v>
      </c>
      <c r="J408" s="3">
        <f>SUM(J409:J424)</f>
        <v>0</v>
      </c>
      <c r="K408" s="21"/>
      <c r="L408" s="3">
        <f>SUM(L409:L424)</f>
        <v>69.28</v>
      </c>
      <c r="M408" s="33"/>
      <c r="AI408" s="21"/>
      <c r="AS408" s="3">
        <f>SUM(AJ409:AJ424)</f>
        <v>0</v>
      </c>
      <c r="AT408" s="3">
        <f>SUM(AK409:AK424)</f>
        <v>0</v>
      </c>
      <c r="AU408" s="3">
        <f>SUM(AL409:AL424)</f>
        <v>0</v>
      </c>
    </row>
    <row r="409" spans="1:64" ht="15" customHeight="1">
      <c r="A409" s="34" t="s">
        <v>794</v>
      </c>
      <c r="B409" s="11" t="s">
        <v>795</v>
      </c>
      <c r="C409" s="11" t="s">
        <v>796</v>
      </c>
      <c r="D409" s="11"/>
      <c r="E409" s="11" t="s">
        <v>85</v>
      </c>
      <c r="F409" s="35">
        <v>3456</v>
      </c>
      <c r="G409" s="35">
        <v>0</v>
      </c>
      <c r="H409" s="35">
        <f>F409*AO409</f>
        <v>0</v>
      </c>
      <c r="I409" s="35">
        <f>F409*AP409</f>
        <v>0</v>
      </c>
      <c r="J409" s="35">
        <f>F409*G409</f>
        <v>0</v>
      </c>
      <c r="K409" s="35">
        <v>0.01838</v>
      </c>
      <c r="L409" s="35">
        <f>F409*K409</f>
        <v>69.12</v>
      </c>
      <c r="M409" s="36" t="s">
        <v>57</v>
      </c>
      <c r="Z409" s="35">
        <f>IF(AQ409="5",BJ409,0)</f>
        <v>0</v>
      </c>
      <c r="AB409" s="35">
        <f>IF(AQ409="1",BH409,0)</f>
        <v>0</v>
      </c>
      <c r="AC409" s="35">
        <f>IF(AQ409="1",BI409,0)</f>
        <v>0</v>
      </c>
      <c r="AD409" s="35">
        <f>IF(AQ409="7",BH409,0)</f>
        <v>0</v>
      </c>
      <c r="AE409" s="35">
        <f>IF(AQ409="7",BI409,0)</f>
        <v>0</v>
      </c>
      <c r="AF409" s="35">
        <f>IF(AQ409="2",BH409,0)</f>
        <v>0</v>
      </c>
      <c r="AG409" s="35">
        <f>IF(AQ409="2",BI409,0)</f>
        <v>0</v>
      </c>
      <c r="AH409" s="35">
        <f>IF(AQ409="0",BJ409,0)</f>
        <v>0</v>
      </c>
      <c r="AI409" s="21"/>
      <c r="AJ409" s="35">
        <f>IF(AN409=0,J409,0)</f>
        <v>0</v>
      </c>
      <c r="AK409" s="35">
        <f>IF(AN409=15,J409,0)</f>
        <v>0</v>
      </c>
      <c r="AL409" s="35">
        <f>IF(AN409=21,J409,0)</f>
        <v>0</v>
      </c>
      <c r="AN409" s="35">
        <v>15</v>
      </c>
      <c r="AO409" s="35">
        <f>G409*0.000137189893677832</f>
        <v>0</v>
      </c>
      <c r="AP409" s="35">
        <f>G409*(1-0.000137189893677832)</f>
        <v>0</v>
      </c>
      <c r="AQ409" s="37" t="s">
        <v>53</v>
      </c>
      <c r="AV409" s="35">
        <f>AW409+AX409</f>
        <v>0</v>
      </c>
      <c r="AW409" s="35">
        <f>F409*AO409</f>
        <v>0</v>
      </c>
      <c r="AX409" s="35">
        <f>F409*AP409</f>
        <v>0</v>
      </c>
      <c r="AY409" s="37" t="s">
        <v>797</v>
      </c>
      <c r="AZ409" s="37" t="s">
        <v>786</v>
      </c>
      <c r="BA409" s="21" t="s">
        <v>59</v>
      </c>
      <c r="BC409" s="35">
        <f>AW409+AX409</f>
        <v>0</v>
      </c>
      <c r="BD409" s="35">
        <f>G409/(100-BE409)*100</f>
        <v>0</v>
      </c>
      <c r="BE409" s="35">
        <v>0</v>
      </c>
      <c r="BF409" s="35">
        <f>L409</f>
        <v>69.12</v>
      </c>
      <c r="BH409" s="35">
        <f>F409*AO409</f>
        <v>0</v>
      </c>
      <c r="BI409" s="35">
        <f>F409*AP409</f>
        <v>0</v>
      </c>
      <c r="BJ409" s="35">
        <f>F409*G409</f>
        <v>0</v>
      </c>
      <c r="BK409" s="35"/>
      <c r="BL409" s="35">
        <v>94</v>
      </c>
    </row>
    <row r="410" spans="1:13" ht="15" customHeight="1">
      <c r="A410" s="38"/>
      <c r="C410" s="39" t="s">
        <v>798</v>
      </c>
      <c r="D410" s="39"/>
      <c r="F410" s="40">
        <v>2268</v>
      </c>
      <c r="M410" s="41"/>
    </row>
    <row r="411" spans="1:13" ht="15" customHeight="1">
      <c r="A411" s="38"/>
      <c r="C411" s="39" t="s">
        <v>799</v>
      </c>
      <c r="D411" s="39"/>
      <c r="F411" s="40">
        <v>1188</v>
      </c>
      <c r="M411" s="41"/>
    </row>
    <row r="412" spans="1:64" ht="15" customHeight="1">
      <c r="A412" s="34" t="s">
        <v>800</v>
      </c>
      <c r="B412" s="11" t="s">
        <v>801</v>
      </c>
      <c r="C412" s="11" t="s">
        <v>802</v>
      </c>
      <c r="D412" s="11"/>
      <c r="E412" s="11" t="s">
        <v>85</v>
      </c>
      <c r="F412" s="35">
        <v>17280</v>
      </c>
      <c r="G412" s="35">
        <v>0</v>
      </c>
      <c r="H412" s="35">
        <f>F412*AO412</f>
        <v>0</v>
      </c>
      <c r="I412" s="35">
        <f>F412*AP412</f>
        <v>0</v>
      </c>
      <c r="J412" s="35">
        <f>F412*G412</f>
        <v>0</v>
      </c>
      <c r="K412" s="35">
        <v>0.00095</v>
      </c>
      <c r="L412" s="35">
        <f>F412*K412</f>
        <v>0</v>
      </c>
      <c r="M412" s="36" t="s">
        <v>57</v>
      </c>
      <c r="Z412" s="35">
        <f>IF(AQ412="5",BJ412,0)</f>
        <v>0</v>
      </c>
      <c r="AB412" s="35">
        <f>IF(AQ412="1",BH412,0)</f>
        <v>0</v>
      </c>
      <c r="AC412" s="35">
        <f>IF(AQ412="1",BI412,0)</f>
        <v>0</v>
      </c>
      <c r="AD412" s="35">
        <f>IF(AQ412="7",BH412,0)</f>
        <v>0</v>
      </c>
      <c r="AE412" s="35">
        <f>IF(AQ412="7",BI412,0)</f>
        <v>0</v>
      </c>
      <c r="AF412" s="35">
        <f>IF(AQ412="2",BH412,0)</f>
        <v>0</v>
      </c>
      <c r="AG412" s="35">
        <f>IF(AQ412="2",BI412,0)</f>
        <v>0</v>
      </c>
      <c r="AH412" s="35">
        <f>IF(AQ412="0",BJ412,0)</f>
        <v>0</v>
      </c>
      <c r="AI412" s="21"/>
      <c r="AJ412" s="35">
        <f>IF(AN412=0,J412,0)</f>
        <v>0</v>
      </c>
      <c r="AK412" s="35">
        <f>IF(AN412=15,J412,0)</f>
        <v>0</v>
      </c>
      <c r="AL412" s="35">
        <f>IF(AN412=21,J412,0)</f>
        <v>0</v>
      </c>
      <c r="AN412" s="35">
        <v>15</v>
      </c>
      <c r="AO412" s="35">
        <f>G412*0.902830188679245</f>
        <v>0</v>
      </c>
      <c r="AP412" s="35">
        <f>G412*(1-0.902830188679245)</f>
        <v>0</v>
      </c>
      <c r="AQ412" s="37" t="s">
        <v>53</v>
      </c>
      <c r="AV412" s="35">
        <f>AW412+AX412</f>
        <v>0</v>
      </c>
      <c r="AW412" s="35">
        <f>F412*AO412</f>
        <v>0</v>
      </c>
      <c r="AX412" s="35">
        <f>F412*AP412</f>
        <v>0</v>
      </c>
      <c r="AY412" s="37" t="s">
        <v>797</v>
      </c>
      <c r="AZ412" s="37" t="s">
        <v>786</v>
      </c>
      <c r="BA412" s="21" t="s">
        <v>59</v>
      </c>
      <c r="BC412" s="35">
        <f>AW412+AX412</f>
        <v>0</v>
      </c>
      <c r="BD412" s="35">
        <f>G412/(100-BE412)*100</f>
        <v>0</v>
      </c>
      <c r="BE412" s="35">
        <v>0</v>
      </c>
      <c r="BF412" s="35">
        <f>L412</f>
        <v>0</v>
      </c>
      <c r="BH412" s="35">
        <f>F412*AO412</f>
        <v>0</v>
      </c>
      <c r="BI412" s="35">
        <f>F412*AP412</f>
        <v>0</v>
      </c>
      <c r="BJ412" s="35">
        <f>F412*G412</f>
        <v>0</v>
      </c>
      <c r="BK412" s="35"/>
      <c r="BL412" s="35">
        <v>94</v>
      </c>
    </row>
    <row r="413" spans="1:13" ht="15" customHeight="1">
      <c r="A413" s="38"/>
      <c r="C413" s="39" t="s">
        <v>803</v>
      </c>
      <c r="D413" s="39"/>
      <c r="F413" s="40">
        <v>17280</v>
      </c>
      <c r="M413" s="41"/>
    </row>
    <row r="414" spans="1:64" ht="15" customHeight="1">
      <c r="A414" s="34" t="s">
        <v>804</v>
      </c>
      <c r="B414" s="11" t="s">
        <v>805</v>
      </c>
      <c r="C414" s="11" t="s">
        <v>806</v>
      </c>
      <c r="D414" s="11"/>
      <c r="E414" s="11" t="s">
        <v>85</v>
      </c>
      <c r="F414" s="35">
        <v>3456</v>
      </c>
      <c r="G414" s="35">
        <v>0</v>
      </c>
      <c r="H414" s="35">
        <f>F414*AO414</f>
        <v>0</v>
      </c>
      <c r="I414" s="35">
        <f>F414*AP414</f>
        <v>0</v>
      </c>
      <c r="J414" s="35">
        <f>F414*G414</f>
        <v>0</v>
      </c>
      <c r="K414" s="35">
        <v>0</v>
      </c>
      <c r="L414" s="35">
        <f>F414*K414</f>
        <v>0</v>
      </c>
      <c r="M414" s="36" t="s">
        <v>57</v>
      </c>
      <c r="Z414" s="35">
        <f>IF(AQ414="5",BJ414,0)</f>
        <v>0</v>
      </c>
      <c r="AB414" s="35">
        <f>IF(AQ414="1",BH414,0)</f>
        <v>0</v>
      </c>
      <c r="AC414" s="35">
        <f>IF(AQ414="1",BI414,0)</f>
        <v>0</v>
      </c>
      <c r="AD414" s="35">
        <f>IF(AQ414="7",BH414,0)</f>
        <v>0</v>
      </c>
      <c r="AE414" s="35">
        <f>IF(AQ414="7",BI414,0)</f>
        <v>0</v>
      </c>
      <c r="AF414" s="35">
        <f>IF(AQ414="2",BH414,0)</f>
        <v>0</v>
      </c>
      <c r="AG414" s="35">
        <f>IF(AQ414="2",BI414,0)</f>
        <v>0</v>
      </c>
      <c r="AH414" s="35">
        <f>IF(AQ414="0",BJ414,0)</f>
        <v>0</v>
      </c>
      <c r="AI414" s="21"/>
      <c r="AJ414" s="35">
        <f>IF(AN414=0,J414,0)</f>
        <v>0</v>
      </c>
      <c r="AK414" s="35">
        <f>IF(AN414=15,J414,0)</f>
        <v>0</v>
      </c>
      <c r="AL414" s="35">
        <f>IF(AN414=21,J414,0)</f>
        <v>0</v>
      </c>
      <c r="AN414" s="35">
        <v>15</v>
      </c>
      <c r="AO414" s="35">
        <f>G414*0</f>
        <v>0</v>
      </c>
      <c r="AP414" s="35">
        <f>G414*(1-0)</f>
        <v>0</v>
      </c>
      <c r="AQ414" s="37" t="s">
        <v>53</v>
      </c>
      <c r="AV414" s="35">
        <f>AW414+AX414</f>
        <v>0</v>
      </c>
      <c r="AW414" s="35">
        <f>F414*AO414</f>
        <v>0</v>
      </c>
      <c r="AX414" s="35">
        <f>F414*AP414</f>
        <v>0</v>
      </c>
      <c r="AY414" s="37" t="s">
        <v>797</v>
      </c>
      <c r="AZ414" s="37" t="s">
        <v>786</v>
      </c>
      <c r="BA414" s="21" t="s">
        <v>59</v>
      </c>
      <c r="BC414" s="35">
        <f>AW414+AX414</f>
        <v>0</v>
      </c>
      <c r="BD414" s="35">
        <f>G414/(100-BE414)*100</f>
        <v>0</v>
      </c>
      <c r="BE414" s="35">
        <v>0</v>
      </c>
      <c r="BF414" s="35">
        <f>L414</f>
        <v>0</v>
      </c>
      <c r="BH414" s="35">
        <f>F414*AO414</f>
        <v>0</v>
      </c>
      <c r="BI414" s="35">
        <f>F414*AP414</f>
        <v>0</v>
      </c>
      <c r="BJ414" s="35">
        <f>F414*G414</f>
        <v>0</v>
      </c>
      <c r="BK414" s="35"/>
      <c r="BL414" s="35">
        <v>94</v>
      </c>
    </row>
    <row r="415" spans="1:13" ht="15" customHeight="1">
      <c r="A415" s="38"/>
      <c r="C415" s="39" t="s">
        <v>807</v>
      </c>
      <c r="D415" s="39"/>
      <c r="F415" s="40">
        <v>3456.0000000000005</v>
      </c>
      <c r="M415" s="41"/>
    </row>
    <row r="416" spans="1:64" ht="15" customHeight="1">
      <c r="A416" s="34" t="s">
        <v>808</v>
      </c>
      <c r="B416" s="11" t="s">
        <v>809</v>
      </c>
      <c r="C416" s="11" t="s">
        <v>810</v>
      </c>
      <c r="D416" s="11"/>
      <c r="E416" s="11" t="s">
        <v>85</v>
      </c>
      <c r="F416" s="35">
        <v>3456</v>
      </c>
      <c r="G416" s="35">
        <v>0</v>
      </c>
      <c r="H416" s="35">
        <f>F416*AO416</f>
        <v>0</v>
      </c>
      <c r="I416" s="35">
        <f>F416*AP416</f>
        <v>0</v>
      </c>
      <c r="J416" s="35">
        <f>F416*G416</f>
        <v>0</v>
      </c>
      <c r="K416" s="35">
        <v>0</v>
      </c>
      <c r="L416" s="35">
        <f>F416*K416</f>
        <v>0</v>
      </c>
      <c r="M416" s="36" t="s">
        <v>57</v>
      </c>
      <c r="Z416" s="35">
        <f>IF(AQ416="5",BJ416,0)</f>
        <v>0</v>
      </c>
      <c r="AB416" s="35">
        <f>IF(AQ416="1",BH416,0)</f>
        <v>0</v>
      </c>
      <c r="AC416" s="35">
        <f>IF(AQ416="1",BI416,0)</f>
        <v>0</v>
      </c>
      <c r="AD416" s="35">
        <f>IF(AQ416="7",BH416,0)</f>
        <v>0</v>
      </c>
      <c r="AE416" s="35">
        <f>IF(AQ416="7",BI416,0)</f>
        <v>0</v>
      </c>
      <c r="AF416" s="35">
        <f>IF(AQ416="2",BH416,0)</f>
        <v>0</v>
      </c>
      <c r="AG416" s="35">
        <f>IF(AQ416="2",BI416,0)</f>
        <v>0</v>
      </c>
      <c r="AH416" s="35">
        <f>IF(AQ416="0",BJ416,0)</f>
        <v>0</v>
      </c>
      <c r="AI416" s="21"/>
      <c r="AJ416" s="35">
        <f>IF(AN416=0,J416,0)</f>
        <v>0</v>
      </c>
      <c r="AK416" s="35">
        <f>IF(AN416=15,J416,0)</f>
        <v>0</v>
      </c>
      <c r="AL416" s="35">
        <f>IF(AN416=21,J416,0)</f>
        <v>0</v>
      </c>
      <c r="AN416" s="35">
        <v>15</v>
      </c>
      <c r="AO416" s="35">
        <f>G416*0</f>
        <v>0</v>
      </c>
      <c r="AP416" s="35">
        <f>G416*(1-0)</f>
        <v>0</v>
      </c>
      <c r="AQ416" s="37" t="s">
        <v>53</v>
      </c>
      <c r="AV416" s="35">
        <f>AW416+AX416</f>
        <v>0</v>
      </c>
      <c r="AW416" s="35">
        <f>F416*AO416</f>
        <v>0</v>
      </c>
      <c r="AX416" s="35">
        <f>F416*AP416</f>
        <v>0</v>
      </c>
      <c r="AY416" s="37" t="s">
        <v>797</v>
      </c>
      <c r="AZ416" s="37" t="s">
        <v>786</v>
      </c>
      <c r="BA416" s="21" t="s">
        <v>59</v>
      </c>
      <c r="BC416" s="35">
        <f>AW416+AX416</f>
        <v>0</v>
      </c>
      <c r="BD416" s="35">
        <f>G416/(100-BE416)*100</f>
        <v>0</v>
      </c>
      <c r="BE416" s="35">
        <v>0</v>
      </c>
      <c r="BF416" s="35">
        <f>L416</f>
        <v>0</v>
      </c>
      <c r="BH416" s="35">
        <f>F416*AO416</f>
        <v>0</v>
      </c>
      <c r="BI416" s="35">
        <f>F416*AP416</f>
        <v>0</v>
      </c>
      <c r="BJ416" s="35">
        <f>F416*G416</f>
        <v>0</v>
      </c>
      <c r="BK416" s="35"/>
      <c r="BL416" s="35">
        <v>94</v>
      </c>
    </row>
    <row r="417" spans="1:13" ht="15" customHeight="1">
      <c r="A417" s="38"/>
      <c r="C417" s="39" t="s">
        <v>807</v>
      </c>
      <c r="D417" s="39"/>
      <c r="F417" s="40">
        <v>3456.0000000000005</v>
      </c>
      <c r="M417" s="41"/>
    </row>
    <row r="418" spans="1:64" ht="15" customHeight="1">
      <c r="A418" s="34" t="s">
        <v>811</v>
      </c>
      <c r="B418" s="11" t="s">
        <v>812</v>
      </c>
      <c r="C418" s="11" t="s">
        <v>813</v>
      </c>
      <c r="D418" s="11"/>
      <c r="E418" s="11" t="s">
        <v>85</v>
      </c>
      <c r="F418" s="35">
        <v>3456</v>
      </c>
      <c r="G418" s="35">
        <v>0</v>
      </c>
      <c r="H418" s="35">
        <f>F418*AO418</f>
        <v>0</v>
      </c>
      <c r="I418" s="35">
        <f>F418*AP418</f>
        <v>0</v>
      </c>
      <c r="J418" s="35">
        <f>F418*G418</f>
        <v>0</v>
      </c>
      <c r="K418" s="35">
        <v>0.00013</v>
      </c>
      <c r="L418" s="35">
        <f>F418*K418</f>
        <v>0</v>
      </c>
      <c r="M418" s="36" t="s">
        <v>57</v>
      </c>
      <c r="Z418" s="35">
        <f>IF(AQ418="5",BJ418,0)</f>
        <v>0</v>
      </c>
      <c r="AB418" s="35">
        <f>IF(AQ418="1",BH418,0)</f>
        <v>0</v>
      </c>
      <c r="AC418" s="35">
        <f>IF(AQ418="1",BI418,0)</f>
        <v>0</v>
      </c>
      <c r="AD418" s="35">
        <f>IF(AQ418="7",BH418,0)</f>
        <v>0</v>
      </c>
      <c r="AE418" s="35">
        <f>IF(AQ418="7",BI418,0)</f>
        <v>0</v>
      </c>
      <c r="AF418" s="35">
        <f>IF(AQ418="2",BH418,0)</f>
        <v>0</v>
      </c>
      <c r="AG418" s="35">
        <f>IF(AQ418="2",BI418,0)</f>
        <v>0</v>
      </c>
      <c r="AH418" s="35">
        <f>IF(AQ418="0",BJ418,0)</f>
        <v>0</v>
      </c>
      <c r="AI418" s="21"/>
      <c r="AJ418" s="35">
        <f>IF(AN418=0,J418,0)</f>
        <v>0</v>
      </c>
      <c r="AK418" s="35">
        <f>IF(AN418=15,J418,0)</f>
        <v>0</v>
      </c>
      <c r="AL418" s="35">
        <f>IF(AN418=21,J418,0)</f>
        <v>0</v>
      </c>
      <c r="AN418" s="35">
        <v>15</v>
      </c>
      <c r="AO418" s="35">
        <f>G418*1</f>
        <v>0</v>
      </c>
      <c r="AP418" s="35">
        <f>G418*(1-1)</f>
        <v>0</v>
      </c>
      <c r="AQ418" s="37" t="s">
        <v>53</v>
      </c>
      <c r="AV418" s="35">
        <f>AW418+AX418</f>
        <v>0</v>
      </c>
      <c r="AW418" s="35">
        <f>F418*AO418</f>
        <v>0</v>
      </c>
      <c r="AX418" s="35">
        <f>F418*AP418</f>
        <v>0</v>
      </c>
      <c r="AY418" s="37" t="s">
        <v>797</v>
      </c>
      <c r="AZ418" s="37" t="s">
        <v>786</v>
      </c>
      <c r="BA418" s="21" t="s">
        <v>59</v>
      </c>
      <c r="BC418" s="35">
        <f>AW418+AX418</f>
        <v>0</v>
      </c>
      <c r="BD418" s="35">
        <f>G418/(100-BE418)*100</f>
        <v>0</v>
      </c>
      <c r="BE418" s="35">
        <v>0</v>
      </c>
      <c r="BF418" s="35">
        <f>L418</f>
        <v>0</v>
      </c>
      <c r="BH418" s="35">
        <f>F418*AO418</f>
        <v>0</v>
      </c>
      <c r="BI418" s="35">
        <f>F418*AP418</f>
        <v>0</v>
      </c>
      <c r="BJ418" s="35">
        <f>F418*G418</f>
        <v>0</v>
      </c>
      <c r="BK418" s="35"/>
      <c r="BL418" s="35">
        <v>94</v>
      </c>
    </row>
    <row r="419" spans="1:13" ht="15" customHeight="1">
      <c r="A419" s="38"/>
      <c r="C419" s="39" t="s">
        <v>807</v>
      </c>
      <c r="D419" s="39"/>
      <c r="F419" s="40">
        <v>3456.0000000000005</v>
      </c>
      <c r="M419" s="41"/>
    </row>
    <row r="420" spans="1:64" ht="15" customHeight="1">
      <c r="A420" s="34" t="s">
        <v>814</v>
      </c>
      <c r="B420" s="11" t="s">
        <v>815</v>
      </c>
      <c r="C420" s="11" t="s">
        <v>816</v>
      </c>
      <c r="D420" s="11"/>
      <c r="E420" s="11" t="s">
        <v>93</v>
      </c>
      <c r="F420" s="35">
        <v>8</v>
      </c>
      <c r="G420" s="35">
        <v>0</v>
      </c>
      <c r="H420" s="35">
        <f>F420*AO420</f>
        <v>0</v>
      </c>
      <c r="I420" s="35">
        <f>F420*AP420</f>
        <v>0</v>
      </c>
      <c r="J420" s="35">
        <f>F420*G420</f>
        <v>0</v>
      </c>
      <c r="K420" s="35">
        <v>0.02372</v>
      </c>
      <c r="L420" s="35">
        <f>F420*K420</f>
        <v>0.16</v>
      </c>
      <c r="M420" s="36" t="s">
        <v>57</v>
      </c>
      <c r="Z420" s="35">
        <f>IF(AQ420="5",BJ420,0)</f>
        <v>0</v>
      </c>
      <c r="AB420" s="35">
        <f>IF(AQ420="1",BH420,0)</f>
        <v>0</v>
      </c>
      <c r="AC420" s="35">
        <f>IF(AQ420="1",BI420,0)</f>
        <v>0</v>
      </c>
      <c r="AD420" s="35">
        <f>IF(AQ420="7",BH420,0)</f>
        <v>0</v>
      </c>
      <c r="AE420" s="35">
        <f>IF(AQ420="7",BI420,0)</f>
        <v>0</v>
      </c>
      <c r="AF420" s="35">
        <f>IF(AQ420="2",BH420,0)</f>
        <v>0</v>
      </c>
      <c r="AG420" s="35">
        <f>IF(AQ420="2",BI420,0)</f>
        <v>0</v>
      </c>
      <c r="AH420" s="35">
        <f>IF(AQ420="0",BJ420,0)</f>
        <v>0</v>
      </c>
      <c r="AI420" s="21"/>
      <c r="AJ420" s="35">
        <f>IF(AN420=0,J420,0)</f>
        <v>0</v>
      </c>
      <c r="AK420" s="35">
        <f>IF(AN420=15,J420,0)</f>
        <v>0</v>
      </c>
      <c r="AL420" s="35">
        <f>IF(AN420=21,J420,0)</f>
        <v>0</v>
      </c>
      <c r="AN420" s="35">
        <v>15</v>
      </c>
      <c r="AO420" s="35">
        <f>G420*0.358333333333333</f>
        <v>0</v>
      </c>
      <c r="AP420" s="35">
        <f>G420*(1-0.358333333333333)</f>
        <v>0</v>
      </c>
      <c r="AQ420" s="37" t="s">
        <v>53</v>
      </c>
      <c r="AV420" s="35">
        <f>AW420+AX420</f>
        <v>0</v>
      </c>
      <c r="AW420" s="35">
        <f>F420*AO420</f>
        <v>0</v>
      </c>
      <c r="AX420" s="35">
        <f>F420*AP420</f>
        <v>0</v>
      </c>
      <c r="AY420" s="37" t="s">
        <v>797</v>
      </c>
      <c r="AZ420" s="37" t="s">
        <v>786</v>
      </c>
      <c r="BA420" s="21" t="s">
        <v>59</v>
      </c>
      <c r="BC420" s="35">
        <f>AW420+AX420</f>
        <v>0</v>
      </c>
      <c r="BD420" s="35">
        <f>G420/(100-BE420)*100</f>
        <v>0</v>
      </c>
      <c r="BE420" s="35">
        <v>0</v>
      </c>
      <c r="BF420" s="35">
        <f>L420</f>
        <v>0.16</v>
      </c>
      <c r="BH420" s="35">
        <f>F420*AO420</f>
        <v>0</v>
      </c>
      <c r="BI420" s="35">
        <f>F420*AP420</f>
        <v>0</v>
      </c>
      <c r="BJ420" s="35">
        <f>F420*G420</f>
        <v>0</v>
      </c>
      <c r="BK420" s="35"/>
      <c r="BL420" s="35">
        <v>94</v>
      </c>
    </row>
    <row r="421" spans="1:13" ht="15" customHeight="1">
      <c r="A421" s="38"/>
      <c r="C421" s="39" t="s">
        <v>90</v>
      </c>
      <c r="D421" s="39"/>
      <c r="F421" s="40">
        <v>8</v>
      </c>
      <c r="M421" s="41"/>
    </row>
    <row r="422" spans="1:64" ht="15" customHeight="1">
      <c r="A422" s="34" t="s">
        <v>817</v>
      </c>
      <c r="B422" s="11" t="s">
        <v>818</v>
      </c>
      <c r="C422" s="11" t="s">
        <v>819</v>
      </c>
      <c r="D422" s="11"/>
      <c r="E422" s="11" t="s">
        <v>93</v>
      </c>
      <c r="F422" s="35">
        <v>8</v>
      </c>
      <c r="G422" s="35">
        <v>0</v>
      </c>
      <c r="H422" s="35">
        <f>F422*AO422</f>
        <v>0</v>
      </c>
      <c r="I422" s="35">
        <f>F422*AP422</f>
        <v>0</v>
      </c>
      <c r="J422" s="35">
        <f>F422*G422</f>
        <v>0</v>
      </c>
      <c r="K422" s="35">
        <v>0</v>
      </c>
      <c r="L422" s="35">
        <f>F422*K422</f>
        <v>0</v>
      </c>
      <c r="M422" s="36" t="s">
        <v>57</v>
      </c>
      <c r="Z422" s="35">
        <f>IF(AQ422="5",BJ422,0)</f>
        <v>0</v>
      </c>
      <c r="AB422" s="35">
        <f>IF(AQ422="1",BH422,0)</f>
        <v>0</v>
      </c>
      <c r="AC422" s="35">
        <f>IF(AQ422="1",BI422,0)</f>
        <v>0</v>
      </c>
      <c r="AD422" s="35">
        <f>IF(AQ422="7",BH422,0)</f>
        <v>0</v>
      </c>
      <c r="AE422" s="35">
        <f>IF(AQ422="7",BI422,0)</f>
        <v>0</v>
      </c>
      <c r="AF422" s="35">
        <f>IF(AQ422="2",BH422,0)</f>
        <v>0</v>
      </c>
      <c r="AG422" s="35">
        <f>IF(AQ422="2",BI422,0)</f>
        <v>0</v>
      </c>
      <c r="AH422" s="35">
        <f>IF(AQ422="0",BJ422,0)</f>
        <v>0</v>
      </c>
      <c r="AI422" s="21"/>
      <c r="AJ422" s="35">
        <f>IF(AN422=0,J422,0)</f>
        <v>0</v>
      </c>
      <c r="AK422" s="35">
        <f>IF(AN422=15,J422,0)</f>
        <v>0</v>
      </c>
      <c r="AL422" s="35">
        <f>IF(AN422=21,J422,0)</f>
        <v>0</v>
      </c>
      <c r="AN422" s="35">
        <v>15</v>
      </c>
      <c r="AO422" s="35">
        <f>G422*0</f>
        <v>0</v>
      </c>
      <c r="AP422" s="35">
        <f>G422*(1-0)</f>
        <v>0</v>
      </c>
      <c r="AQ422" s="37" t="s">
        <v>53</v>
      </c>
      <c r="AV422" s="35">
        <f>AW422+AX422</f>
        <v>0</v>
      </c>
      <c r="AW422" s="35">
        <f>F422*AO422</f>
        <v>0</v>
      </c>
      <c r="AX422" s="35">
        <f>F422*AP422</f>
        <v>0</v>
      </c>
      <c r="AY422" s="37" t="s">
        <v>797</v>
      </c>
      <c r="AZ422" s="37" t="s">
        <v>786</v>
      </c>
      <c r="BA422" s="21" t="s">
        <v>59</v>
      </c>
      <c r="BC422" s="35">
        <f>AW422+AX422</f>
        <v>0</v>
      </c>
      <c r="BD422" s="35">
        <f>G422/(100-BE422)*100</f>
        <v>0</v>
      </c>
      <c r="BE422" s="35">
        <v>0</v>
      </c>
      <c r="BF422" s="35">
        <f>L422</f>
        <v>0</v>
      </c>
      <c r="BH422" s="35">
        <f>F422*AO422</f>
        <v>0</v>
      </c>
      <c r="BI422" s="35">
        <f>F422*AP422</f>
        <v>0</v>
      </c>
      <c r="BJ422" s="35">
        <f>F422*G422</f>
        <v>0</v>
      </c>
      <c r="BK422" s="35"/>
      <c r="BL422" s="35">
        <v>94</v>
      </c>
    </row>
    <row r="423" spans="1:13" ht="15" customHeight="1">
      <c r="A423" s="38"/>
      <c r="C423" s="39" t="s">
        <v>90</v>
      </c>
      <c r="D423" s="39"/>
      <c r="F423" s="40">
        <v>8</v>
      </c>
      <c r="M423" s="41"/>
    </row>
    <row r="424" spans="1:64" ht="15" customHeight="1">
      <c r="A424" s="34" t="s">
        <v>820</v>
      </c>
      <c r="B424" s="11" t="s">
        <v>821</v>
      </c>
      <c r="C424" s="11" t="s">
        <v>822</v>
      </c>
      <c r="D424" s="11"/>
      <c r="E424" s="11" t="s">
        <v>172</v>
      </c>
      <c r="F424" s="35">
        <v>80.576</v>
      </c>
      <c r="G424" s="35">
        <v>0</v>
      </c>
      <c r="H424" s="35">
        <f>F424*AO424</f>
        <v>0</v>
      </c>
      <c r="I424" s="35">
        <f>F424*AP424</f>
        <v>0</v>
      </c>
      <c r="J424" s="35">
        <f>F424*G424</f>
        <v>0</v>
      </c>
      <c r="K424" s="35">
        <v>0</v>
      </c>
      <c r="L424" s="35">
        <f>F424*K424</f>
        <v>0</v>
      </c>
      <c r="M424" s="36" t="s">
        <v>57</v>
      </c>
      <c r="Z424" s="35">
        <f>IF(AQ424="5",BJ424,0)</f>
        <v>0</v>
      </c>
      <c r="AB424" s="35">
        <f>IF(AQ424="1",BH424,0)</f>
        <v>0</v>
      </c>
      <c r="AC424" s="35">
        <f>IF(AQ424="1",BI424,0)</f>
        <v>0</v>
      </c>
      <c r="AD424" s="35">
        <f>IF(AQ424="7",BH424,0)</f>
        <v>0</v>
      </c>
      <c r="AE424" s="35">
        <f>IF(AQ424="7",BI424,0)</f>
        <v>0</v>
      </c>
      <c r="AF424" s="35">
        <f>IF(AQ424="2",BH424,0)</f>
        <v>0</v>
      </c>
      <c r="AG424" s="35">
        <f>IF(AQ424="2",BI424,0)</f>
        <v>0</v>
      </c>
      <c r="AH424" s="35">
        <f>IF(AQ424="0",BJ424,0)</f>
        <v>0</v>
      </c>
      <c r="AI424" s="21"/>
      <c r="AJ424" s="35">
        <f>IF(AN424=0,J424,0)</f>
        <v>0</v>
      </c>
      <c r="AK424" s="35">
        <f>IF(AN424=15,J424,0)</f>
        <v>0</v>
      </c>
      <c r="AL424" s="35">
        <f>IF(AN424=21,J424,0)</f>
        <v>0</v>
      </c>
      <c r="AN424" s="35">
        <v>15</v>
      </c>
      <c r="AO424" s="35">
        <f>G424*0</f>
        <v>0</v>
      </c>
      <c r="AP424" s="35">
        <f>G424*(1-0)</f>
        <v>0</v>
      </c>
      <c r="AQ424" s="37" t="s">
        <v>70</v>
      </c>
      <c r="AV424" s="35">
        <f>AW424+AX424</f>
        <v>0</v>
      </c>
      <c r="AW424" s="35">
        <f>F424*AO424</f>
        <v>0</v>
      </c>
      <c r="AX424" s="35">
        <f>F424*AP424</f>
        <v>0</v>
      </c>
      <c r="AY424" s="37" t="s">
        <v>797</v>
      </c>
      <c r="AZ424" s="37" t="s">
        <v>786</v>
      </c>
      <c r="BA424" s="21" t="s">
        <v>59</v>
      </c>
      <c r="BC424" s="35">
        <f>AW424+AX424</f>
        <v>0</v>
      </c>
      <c r="BD424" s="35">
        <f>G424/(100-BE424)*100</f>
        <v>0</v>
      </c>
      <c r="BE424" s="35">
        <v>0</v>
      </c>
      <c r="BF424" s="35">
        <f>L424</f>
        <v>0</v>
      </c>
      <c r="BH424" s="35">
        <f>F424*AO424</f>
        <v>0</v>
      </c>
      <c r="BI424" s="35">
        <f>F424*AP424</f>
        <v>0</v>
      </c>
      <c r="BJ424" s="35">
        <f>F424*G424</f>
        <v>0</v>
      </c>
      <c r="BK424" s="35"/>
      <c r="BL424" s="35">
        <v>94</v>
      </c>
    </row>
    <row r="425" spans="1:13" ht="15" customHeight="1">
      <c r="A425" s="38"/>
      <c r="C425" s="39" t="s">
        <v>823</v>
      </c>
      <c r="D425" s="39"/>
      <c r="F425" s="40">
        <v>80.57600000000001</v>
      </c>
      <c r="M425" s="41"/>
    </row>
    <row r="426" spans="1:47" ht="15" customHeight="1">
      <c r="A426" s="30"/>
      <c r="B426" s="31" t="s">
        <v>525</v>
      </c>
      <c r="C426" s="31" t="s">
        <v>824</v>
      </c>
      <c r="D426" s="31"/>
      <c r="E426" s="32" t="s">
        <v>4</v>
      </c>
      <c r="F426" s="32" t="s">
        <v>4</v>
      </c>
      <c r="G426" s="32" t="s">
        <v>4</v>
      </c>
      <c r="H426" s="3">
        <f>SUM(H427:H436)</f>
        <v>0</v>
      </c>
      <c r="I426" s="3">
        <f>SUM(I427:I436)</f>
        <v>0</v>
      </c>
      <c r="J426" s="3">
        <f>SUM(J427:J436)</f>
        <v>0</v>
      </c>
      <c r="K426" s="21"/>
      <c r="L426" s="3">
        <f>SUM(L427:L436)</f>
        <v>0.5</v>
      </c>
      <c r="M426" s="33"/>
      <c r="AI426" s="21"/>
      <c r="AS426" s="3">
        <f>SUM(AJ427:AJ436)</f>
        <v>0</v>
      </c>
      <c r="AT426" s="3">
        <f>SUM(AK427:AK436)</f>
        <v>0</v>
      </c>
      <c r="AU426" s="3">
        <f>SUM(AL427:AL436)</f>
        <v>0</v>
      </c>
    </row>
    <row r="427" spans="1:64" ht="15" customHeight="1">
      <c r="A427" s="34" t="s">
        <v>825</v>
      </c>
      <c r="B427" s="11" t="s">
        <v>826</v>
      </c>
      <c r="C427" s="11" t="s">
        <v>827</v>
      </c>
      <c r="D427" s="11"/>
      <c r="E427" s="11" t="s">
        <v>163</v>
      </c>
      <c r="F427" s="35">
        <v>48</v>
      </c>
      <c r="G427" s="35">
        <v>0</v>
      </c>
      <c r="H427" s="35">
        <f>F427*AO427</f>
        <v>0</v>
      </c>
      <c r="I427" s="35">
        <f>F427*AP427</f>
        <v>0</v>
      </c>
      <c r="J427" s="35">
        <f>F427*G427</f>
        <v>0</v>
      </c>
      <c r="K427" s="35">
        <v>0.00502</v>
      </c>
      <c r="L427" s="35">
        <f>F427*K427</f>
        <v>0.48</v>
      </c>
      <c r="M427" s="36" t="s">
        <v>57</v>
      </c>
      <c r="Z427" s="35">
        <f>IF(AQ427="5",BJ427,0)</f>
        <v>0</v>
      </c>
      <c r="AB427" s="35">
        <f>IF(AQ427="1",BH427,0)</f>
        <v>0</v>
      </c>
      <c r="AC427" s="35">
        <f>IF(AQ427="1",BI427,0)</f>
        <v>0</v>
      </c>
      <c r="AD427" s="35">
        <f>IF(AQ427="7",BH427,0)</f>
        <v>0</v>
      </c>
      <c r="AE427" s="35">
        <f>IF(AQ427="7",BI427,0)</f>
        <v>0</v>
      </c>
      <c r="AF427" s="35">
        <f>IF(AQ427="2",BH427,0)</f>
        <v>0</v>
      </c>
      <c r="AG427" s="35">
        <f>IF(AQ427="2",BI427,0)</f>
        <v>0</v>
      </c>
      <c r="AH427" s="35">
        <f>IF(AQ427="0",BJ427,0)</f>
        <v>0</v>
      </c>
      <c r="AI427" s="21"/>
      <c r="AJ427" s="35">
        <f>IF(AN427=0,J427,0)</f>
        <v>0</v>
      </c>
      <c r="AK427" s="35">
        <f>IF(AN427=15,J427,0)</f>
        <v>0</v>
      </c>
      <c r="AL427" s="35">
        <f>IF(AN427=21,J427,0)</f>
        <v>0</v>
      </c>
      <c r="AN427" s="35">
        <v>15</v>
      </c>
      <c r="AO427" s="35">
        <f>G427*0.05174</f>
        <v>0</v>
      </c>
      <c r="AP427" s="35">
        <f>G427*(1-0.05174)</f>
        <v>0</v>
      </c>
      <c r="AQ427" s="37" t="s">
        <v>53</v>
      </c>
      <c r="AV427" s="35">
        <f>AW427+AX427</f>
        <v>0</v>
      </c>
      <c r="AW427" s="35">
        <f>F427*AO427</f>
        <v>0</v>
      </c>
      <c r="AX427" s="35">
        <f>F427*AP427</f>
        <v>0</v>
      </c>
      <c r="AY427" s="37" t="s">
        <v>828</v>
      </c>
      <c r="AZ427" s="37" t="s">
        <v>786</v>
      </c>
      <c r="BA427" s="21" t="s">
        <v>59</v>
      </c>
      <c r="BC427" s="35">
        <f>AW427+AX427</f>
        <v>0</v>
      </c>
      <c r="BD427" s="35">
        <f>G427/(100-BE427)*100</f>
        <v>0</v>
      </c>
      <c r="BE427" s="35">
        <v>0</v>
      </c>
      <c r="BF427" s="35">
        <f>L427</f>
        <v>0.48</v>
      </c>
      <c r="BH427" s="35">
        <f>F427*AO427</f>
        <v>0</v>
      </c>
      <c r="BI427" s="35">
        <f>F427*AP427</f>
        <v>0</v>
      </c>
      <c r="BJ427" s="35">
        <f>F427*G427</f>
        <v>0</v>
      </c>
      <c r="BK427" s="35"/>
      <c r="BL427" s="35">
        <v>95</v>
      </c>
    </row>
    <row r="428" spans="1:13" ht="15" customHeight="1">
      <c r="A428" s="38"/>
      <c r="C428" s="39" t="s">
        <v>324</v>
      </c>
      <c r="D428" s="39" t="s">
        <v>829</v>
      </c>
      <c r="F428" s="40">
        <v>48.00000000000001</v>
      </c>
      <c r="M428" s="41"/>
    </row>
    <row r="429" spans="1:13" ht="15" customHeight="1">
      <c r="A429" s="38"/>
      <c r="C429" s="39"/>
      <c r="D429" s="39" t="s">
        <v>830</v>
      </c>
      <c r="F429" s="40">
        <v>0</v>
      </c>
      <c r="M429" s="41"/>
    </row>
    <row r="430" spans="1:64" ht="15" customHeight="1">
      <c r="A430" s="34" t="s">
        <v>831</v>
      </c>
      <c r="B430" s="11" t="s">
        <v>832</v>
      </c>
      <c r="C430" s="11" t="s">
        <v>833</v>
      </c>
      <c r="D430" s="11"/>
      <c r="E430" s="11" t="s">
        <v>163</v>
      </c>
      <c r="F430" s="35">
        <v>2</v>
      </c>
      <c r="G430" s="35">
        <v>0</v>
      </c>
      <c r="H430" s="35">
        <f>F430*AO430</f>
        <v>0</v>
      </c>
      <c r="I430" s="35">
        <f>F430*AP430</f>
        <v>0</v>
      </c>
      <c r="J430" s="35">
        <f>F430*G430</f>
        <v>0</v>
      </c>
      <c r="K430" s="35">
        <v>0.00769</v>
      </c>
      <c r="L430" s="35">
        <f>F430*K430</f>
        <v>0.02</v>
      </c>
      <c r="M430" s="36" t="s">
        <v>57</v>
      </c>
      <c r="Z430" s="35">
        <f>IF(AQ430="5",BJ430,0)</f>
        <v>0</v>
      </c>
      <c r="AB430" s="35">
        <f>IF(AQ430="1",BH430,0)</f>
        <v>0</v>
      </c>
      <c r="AC430" s="35">
        <f>IF(AQ430="1",BI430,0)</f>
        <v>0</v>
      </c>
      <c r="AD430" s="35">
        <f>IF(AQ430="7",BH430,0)</f>
        <v>0</v>
      </c>
      <c r="AE430" s="35">
        <f>IF(AQ430="7",BI430,0)</f>
        <v>0</v>
      </c>
      <c r="AF430" s="35">
        <f>IF(AQ430="2",BH430,0)</f>
        <v>0</v>
      </c>
      <c r="AG430" s="35">
        <f>IF(AQ430="2",BI430,0)</f>
        <v>0</v>
      </c>
      <c r="AH430" s="35">
        <f>IF(AQ430="0",BJ430,0)</f>
        <v>0</v>
      </c>
      <c r="AI430" s="21"/>
      <c r="AJ430" s="35">
        <f>IF(AN430=0,J430,0)</f>
        <v>0</v>
      </c>
      <c r="AK430" s="35">
        <f>IF(AN430=15,J430,0)</f>
        <v>0</v>
      </c>
      <c r="AL430" s="35">
        <f>IF(AN430=21,J430,0)</f>
        <v>0</v>
      </c>
      <c r="AN430" s="35">
        <v>15</v>
      </c>
      <c r="AO430" s="35">
        <f>G430*0.751786363636364</f>
        <v>0</v>
      </c>
      <c r="AP430" s="35">
        <f>G430*(1-0.751786363636364)</f>
        <v>0</v>
      </c>
      <c r="AQ430" s="37" t="s">
        <v>53</v>
      </c>
      <c r="AV430" s="35">
        <f>AW430+AX430</f>
        <v>0</v>
      </c>
      <c r="AW430" s="35">
        <f>F430*AO430</f>
        <v>0</v>
      </c>
      <c r="AX430" s="35">
        <f>F430*AP430</f>
        <v>0</v>
      </c>
      <c r="AY430" s="37" t="s">
        <v>828</v>
      </c>
      <c r="AZ430" s="37" t="s">
        <v>786</v>
      </c>
      <c r="BA430" s="21" t="s">
        <v>59</v>
      </c>
      <c r="BC430" s="35">
        <f>AW430+AX430</f>
        <v>0</v>
      </c>
      <c r="BD430" s="35">
        <f>G430/(100-BE430)*100</f>
        <v>0</v>
      </c>
      <c r="BE430" s="35">
        <v>0</v>
      </c>
      <c r="BF430" s="35">
        <f>L430</f>
        <v>0.02</v>
      </c>
      <c r="BH430" s="35">
        <f>F430*AO430</f>
        <v>0</v>
      </c>
      <c r="BI430" s="35">
        <f>F430*AP430</f>
        <v>0</v>
      </c>
      <c r="BJ430" s="35">
        <f>F430*G430</f>
        <v>0</v>
      </c>
      <c r="BK430" s="35"/>
      <c r="BL430" s="35">
        <v>95</v>
      </c>
    </row>
    <row r="431" spans="1:13" ht="15" customHeight="1">
      <c r="A431" s="38"/>
      <c r="C431" s="39" t="s">
        <v>60</v>
      </c>
      <c r="D431" s="39"/>
      <c r="F431" s="40">
        <v>2</v>
      </c>
      <c r="M431" s="41"/>
    </row>
    <row r="432" spans="1:64" ht="15" customHeight="1">
      <c r="A432" s="34" t="s">
        <v>834</v>
      </c>
      <c r="B432" s="11" t="s">
        <v>835</v>
      </c>
      <c r="C432" s="11" t="s">
        <v>836</v>
      </c>
      <c r="D432" s="11"/>
      <c r="E432" s="11" t="s">
        <v>163</v>
      </c>
      <c r="F432" s="35">
        <v>60</v>
      </c>
      <c r="G432" s="35">
        <v>0</v>
      </c>
      <c r="H432" s="35">
        <f>F432*AO432</f>
        <v>0</v>
      </c>
      <c r="I432" s="35">
        <f>F432*AP432</f>
        <v>0</v>
      </c>
      <c r="J432" s="35">
        <f>F432*G432</f>
        <v>0</v>
      </c>
      <c r="K432" s="35">
        <v>0.0003</v>
      </c>
      <c r="L432" s="35">
        <f>F432*K432</f>
        <v>0</v>
      </c>
      <c r="M432" s="36" t="s">
        <v>57</v>
      </c>
      <c r="Z432" s="35">
        <f>IF(AQ432="5",BJ432,0)</f>
        <v>0</v>
      </c>
      <c r="AB432" s="35">
        <f>IF(AQ432="1",BH432,0)</f>
        <v>0</v>
      </c>
      <c r="AC432" s="35">
        <f>IF(AQ432="1",BI432,0)</f>
        <v>0</v>
      </c>
      <c r="AD432" s="35">
        <f>IF(AQ432="7",BH432,0)</f>
        <v>0</v>
      </c>
      <c r="AE432" s="35">
        <f>IF(AQ432="7",BI432,0)</f>
        <v>0</v>
      </c>
      <c r="AF432" s="35">
        <f>IF(AQ432="2",BH432,0)</f>
        <v>0</v>
      </c>
      <c r="AG432" s="35">
        <f>IF(AQ432="2",BI432,0)</f>
        <v>0</v>
      </c>
      <c r="AH432" s="35">
        <f>IF(AQ432="0",BJ432,0)</f>
        <v>0</v>
      </c>
      <c r="AI432" s="21"/>
      <c r="AJ432" s="35">
        <f>IF(AN432=0,J432,0)</f>
        <v>0</v>
      </c>
      <c r="AK432" s="35">
        <f>IF(AN432=15,J432,0)</f>
        <v>0</v>
      </c>
      <c r="AL432" s="35">
        <f>IF(AN432=21,J432,0)</f>
        <v>0</v>
      </c>
      <c r="AN432" s="35">
        <v>15</v>
      </c>
      <c r="AO432" s="35">
        <f>G432*1</f>
        <v>0</v>
      </c>
      <c r="AP432" s="35">
        <f>G432*(1-1)</f>
        <v>0</v>
      </c>
      <c r="AQ432" s="37" t="s">
        <v>53</v>
      </c>
      <c r="AV432" s="35">
        <f>AW432+AX432</f>
        <v>0</v>
      </c>
      <c r="AW432" s="35">
        <f>F432*AO432</f>
        <v>0</v>
      </c>
      <c r="AX432" s="35">
        <f>F432*AP432</f>
        <v>0</v>
      </c>
      <c r="AY432" s="37" t="s">
        <v>828</v>
      </c>
      <c r="AZ432" s="37" t="s">
        <v>786</v>
      </c>
      <c r="BA432" s="21" t="s">
        <v>59</v>
      </c>
      <c r="BC432" s="35">
        <f>AW432+AX432</f>
        <v>0</v>
      </c>
      <c r="BD432" s="35">
        <f>G432/(100-BE432)*100</f>
        <v>0</v>
      </c>
      <c r="BE432" s="35">
        <v>0</v>
      </c>
      <c r="BF432" s="35">
        <f>L432</f>
        <v>0</v>
      </c>
      <c r="BH432" s="35">
        <f>F432*AO432</f>
        <v>0</v>
      </c>
      <c r="BI432" s="35">
        <f>F432*AP432</f>
        <v>0</v>
      </c>
      <c r="BJ432" s="35">
        <f>F432*G432</f>
        <v>0</v>
      </c>
      <c r="BK432" s="35"/>
      <c r="BL432" s="35">
        <v>95</v>
      </c>
    </row>
    <row r="433" spans="1:13" ht="15" customHeight="1">
      <c r="A433" s="38"/>
      <c r="C433" s="39" t="s">
        <v>837</v>
      </c>
      <c r="D433" s="39" t="s">
        <v>838</v>
      </c>
      <c r="F433" s="40">
        <v>60.00000000000001</v>
      </c>
      <c r="M433" s="41"/>
    </row>
    <row r="434" spans="1:64" ht="15" customHeight="1">
      <c r="A434" s="34" t="s">
        <v>839</v>
      </c>
      <c r="B434" s="11" t="s">
        <v>840</v>
      </c>
      <c r="C434" s="11" t="s">
        <v>841</v>
      </c>
      <c r="D434" s="11"/>
      <c r="E434" s="11" t="s">
        <v>85</v>
      </c>
      <c r="F434" s="35">
        <v>386</v>
      </c>
      <c r="G434" s="35">
        <v>0</v>
      </c>
      <c r="H434" s="35">
        <f>F434*AO434</f>
        <v>0</v>
      </c>
      <c r="I434" s="35">
        <f>F434*AP434</f>
        <v>0</v>
      </c>
      <c r="J434" s="35">
        <f>F434*G434</f>
        <v>0</v>
      </c>
      <c r="K434" s="35">
        <v>4E-05</v>
      </c>
      <c r="L434" s="35">
        <f>F434*K434</f>
        <v>0</v>
      </c>
      <c r="M434" s="36" t="s">
        <v>57</v>
      </c>
      <c r="Z434" s="35">
        <f>IF(AQ434="5",BJ434,0)</f>
        <v>0</v>
      </c>
      <c r="AB434" s="35">
        <f>IF(AQ434="1",BH434,0)</f>
        <v>0</v>
      </c>
      <c r="AC434" s="35">
        <f>IF(AQ434="1",BI434,0)</f>
        <v>0</v>
      </c>
      <c r="AD434" s="35">
        <f>IF(AQ434="7",BH434,0)</f>
        <v>0</v>
      </c>
      <c r="AE434" s="35">
        <f>IF(AQ434="7",BI434,0)</f>
        <v>0</v>
      </c>
      <c r="AF434" s="35">
        <f>IF(AQ434="2",BH434,0)</f>
        <v>0</v>
      </c>
      <c r="AG434" s="35">
        <f>IF(AQ434="2",BI434,0)</f>
        <v>0</v>
      </c>
      <c r="AH434" s="35">
        <f>IF(AQ434="0",BJ434,0)</f>
        <v>0</v>
      </c>
      <c r="AI434" s="21"/>
      <c r="AJ434" s="35">
        <f>IF(AN434=0,J434,0)</f>
        <v>0</v>
      </c>
      <c r="AK434" s="35">
        <f>IF(AN434=15,J434,0)</f>
        <v>0</v>
      </c>
      <c r="AL434" s="35">
        <f>IF(AN434=21,J434,0)</f>
        <v>0</v>
      </c>
      <c r="AN434" s="35">
        <v>15</v>
      </c>
      <c r="AO434" s="35">
        <f>G434*0.0107924528301887</f>
        <v>0</v>
      </c>
      <c r="AP434" s="35">
        <f>G434*(1-0.0107924528301887)</f>
        <v>0</v>
      </c>
      <c r="AQ434" s="37" t="s">
        <v>53</v>
      </c>
      <c r="AV434" s="35">
        <f>AW434+AX434</f>
        <v>0</v>
      </c>
      <c r="AW434" s="35">
        <f>F434*AO434</f>
        <v>0</v>
      </c>
      <c r="AX434" s="35">
        <f>F434*AP434</f>
        <v>0</v>
      </c>
      <c r="AY434" s="37" t="s">
        <v>828</v>
      </c>
      <c r="AZ434" s="37" t="s">
        <v>786</v>
      </c>
      <c r="BA434" s="21" t="s">
        <v>59</v>
      </c>
      <c r="BC434" s="35">
        <f>AW434+AX434</f>
        <v>0</v>
      </c>
      <c r="BD434" s="35">
        <f>G434/(100-BE434)*100</f>
        <v>0</v>
      </c>
      <c r="BE434" s="35">
        <v>0</v>
      </c>
      <c r="BF434" s="35">
        <f>L434</f>
        <v>0</v>
      </c>
      <c r="BH434" s="35">
        <f>F434*AO434</f>
        <v>0</v>
      </c>
      <c r="BI434" s="35">
        <f>F434*AP434</f>
        <v>0</v>
      </c>
      <c r="BJ434" s="35">
        <f>F434*G434</f>
        <v>0</v>
      </c>
      <c r="BK434" s="35"/>
      <c r="BL434" s="35">
        <v>95</v>
      </c>
    </row>
    <row r="435" spans="1:13" ht="15" customHeight="1">
      <c r="A435" s="38"/>
      <c r="C435" s="39" t="s">
        <v>842</v>
      </c>
      <c r="D435" s="39"/>
      <c r="F435" s="40">
        <v>386.00000000000006</v>
      </c>
      <c r="M435" s="41"/>
    </row>
    <row r="436" spans="1:64" ht="15" customHeight="1">
      <c r="A436" s="34" t="s">
        <v>843</v>
      </c>
      <c r="B436" s="11" t="s">
        <v>844</v>
      </c>
      <c r="C436" s="11" t="s">
        <v>845</v>
      </c>
      <c r="D436" s="11"/>
      <c r="E436" s="11" t="s">
        <v>172</v>
      </c>
      <c r="F436" s="35">
        <v>11.032</v>
      </c>
      <c r="G436" s="35">
        <v>0</v>
      </c>
      <c r="H436" s="35">
        <f>F436*AO436</f>
        <v>0</v>
      </c>
      <c r="I436" s="35">
        <f>F436*AP436</f>
        <v>0</v>
      </c>
      <c r="J436" s="35">
        <f>F436*G436</f>
        <v>0</v>
      </c>
      <c r="K436" s="35">
        <v>0</v>
      </c>
      <c r="L436" s="35">
        <f>F436*K436</f>
        <v>0</v>
      </c>
      <c r="M436" s="36" t="s">
        <v>57</v>
      </c>
      <c r="Z436" s="35">
        <f>IF(AQ436="5",BJ436,0)</f>
        <v>0</v>
      </c>
      <c r="AB436" s="35">
        <f>IF(AQ436="1",BH436,0)</f>
        <v>0</v>
      </c>
      <c r="AC436" s="35">
        <f>IF(AQ436="1",BI436,0)</f>
        <v>0</v>
      </c>
      <c r="AD436" s="35">
        <f>IF(AQ436="7",BH436,0)</f>
        <v>0</v>
      </c>
      <c r="AE436" s="35">
        <f>IF(AQ436="7",BI436,0)</f>
        <v>0</v>
      </c>
      <c r="AF436" s="35">
        <f>IF(AQ436="2",BH436,0)</f>
        <v>0</v>
      </c>
      <c r="AG436" s="35">
        <f>IF(AQ436="2",BI436,0)</f>
        <v>0</v>
      </c>
      <c r="AH436" s="35">
        <f>IF(AQ436="0",BJ436,0)</f>
        <v>0</v>
      </c>
      <c r="AI436" s="21"/>
      <c r="AJ436" s="35">
        <f>IF(AN436=0,J436,0)</f>
        <v>0</v>
      </c>
      <c r="AK436" s="35">
        <f>IF(AN436=15,J436,0)</f>
        <v>0</v>
      </c>
      <c r="AL436" s="35">
        <f>IF(AN436=21,J436,0)</f>
        <v>0</v>
      </c>
      <c r="AN436" s="35">
        <v>15</v>
      </c>
      <c r="AO436" s="35">
        <f>G436*0</f>
        <v>0</v>
      </c>
      <c r="AP436" s="35">
        <f>G436*(1-0)</f>
        <v>0</v>
      </c>
      <c r="AQ436" s="37" t="s">
        <v>70</v>
      </c>
      <c r="AV436" s="35">
        <f>AW436+AX436</f>
        <v>0</v>
      </c>
      <c r="AW436" s="35">
        <f>F436*AO436</f>
        <v>0</v>
      </c>
      <c r="AX436" s="35">
        <f>F436*AP436</f>
        <v>0</v>
      </c>
      <c r="AY436" s="37" t="s">
        <v>828</v>
      </c>
      <c r="AZ436" s="37" t="s">
        <v>786</v>
      </c>
      <c r="BA436" s="21" t="s">
        <v>59</v>
      </c>
      <c r="BC436" s="35">
        <f>AW436+AX436</f>
        <v>0</v>
      </c>
      <c r="BD436" s="35">
        <f>G436/(100-BE436)*100</f>
        <v>0</v>
      </c>
      <c r="BE436" s="35">
        <v>0</v>
      </c>
      <c r="BF436" s="35">
        <f>L436</f>
        <v>0</v>
      </c>
      <c r="BH436" s="35">
        <f>F436*AO436</f>
        <v>0</v>
      </c>
      <c r="BI436" s="35">
        <f>F436*AP436</f>
        <v>0</v>
      </c>
      <c r="BJ436" s="35">
        <f>F436*G436</f>
        <v>0</v>
      </c>
      <c r="BK436" s="35"/>
      <c r="BL436" s="35">
        <v>95</v>
      </c>
    </row>
    <row r="437" spans="1:13" ht="15" customHeight="1">
      <c r="A437" s="38"/>
      <c r="C437" s="39" t="s">
        <v>846</v>
      </c>
      <c r="D437" s="39"/>
      <c r="F437" s="40">
        <v>11.032</v>
      </c>
      <c r="M437" s="41"/>
    </row>
    <row r="438" spans="1:47" ht="15" customHeight="1">
      <c r="A438" s="30"/>
      <c r="B438" s="31" t="s">
        <v>531</v>
      </c>
      <c r="C438" s="31" t="s">
        <v>847</v>
      </c>
      <c r="D438" s="31"/>
      <c r="E438" s="32" t="s">
        <v>4</v>
      </c>
      <c r="F438" s="32" t="s">
        <v>4</v>
      </c>
      <c r="G438" s="32" t="s">
        <v>4</v>
      </c>
      <c r="H438" s="3">
        <f>SUM(H439:H441)</f>
        <v>0</v>
      </c>
      <c r="I438" s="3">
        <f>SUM(I439:I441)</f>
        <v>0</v>
      </c>
      <c r="J438" s="3">
        <f>SUM(J439:J441)</f>
        <v>0</v>
      </c>
      <c r="K438" s="21"/>
      <c r="L438" s="3">
        <f>SUM(L439:L441)</f>
        <v>0.76</v>
      </c>
      <c r="M438" s="33"/>
      <c r="AI438" s="21"/>
      <c r="AS438" s="3">
        <f>SUM(AJ439:AJ441)</f>
        <v>0</v>
      </c>
      <c r="AT438" s="3">
        <f>SUM(AK439:AK441)</f>
        <v>0</v>
      </c>
      <c r="AU438" s="3">
        <f>SUM(AL439:AL441)</f>
        <v>0</v>
      </c>
    </row>
    <row r="439" spans="1:64" ht="15" customHeight="1">
      <c r="A439" s="34" t="s">
        <v>848</v>
      </c>
      <c r="B439" s="11" t="s">
        <v>849</v>
      </c>
      <c r="C439" s="11" t="s">
        <v>850</v>
      </c>
      <c r="D439" s="11"/>
      <c r="E439" s="11" t="s">
        <v>85</v>
      </c>
      <c r="F439" s="35">
        <v>0.72</v>
      </c>
      <c r="G439" s="35">
        <v>0</v>
      </c>
      <c r="H439" s="35">
        <f>F439*AO439</f>
        <v>0</v>
      </c>
      <c r="I439" s="35">
        <f>F439*AP439</f>
        <v>0</v>
      </c>
      <c r="J439" s="35">
        <f>F439*G439</f>
        <v>0</v>
      </c>
      <c r="K439" s="35">
        <v>0.05061</v>
      </c>
      <c r="L439" s="35">
        <f>F439*K439</f>
        <v>0.04</v>
      </c>
      <c r="M439" s="36" t="s">
        <v>86</v>
      </c>
      <c r="Z439" s="35">
        <f>IF(AQ439="5",BJ439,0)</f>
        <v>0</v>
      </c>
      <c r="AB439" s="35">
        <f>IF(AQ439="1",BH439,0)</f>
        <v>0</v>
      </c>
      <c r="AC439" s="35">
        <f>IF(AQ439="1",BI439,0)</f>
        <v>0</v>
      </c>
      <c r="AD439" s="35">
        <f>IF(AQ439="7",BH439,0)</f>
        <v>0</v>
      </c>
      <c r="AE439" s="35">
        <f>IF(AQ439="7",BI439,0)</f>
        <v>0</v>
      </c>
      <c r="AF439" s="35">
        <f>IF(AQ439="2",BH439,0)</f>
        <v>0</v>
      </c>
      <c r="AG439" s="35">
        <f>IF(AQ439="2",BI439,0)</f>
        <v>0</v>
      </c>
      <c r="AH439" s="35">
        <f>IF(AQ439="0",BJ439,0)</f>
        <v>0</v>
      </c>
      <c r="AI439" s="21"/>
      <c r="AJ439" s="35">
        <f>IF(AN439=0,J439,0)</f>
        <v>0</v>
      </c>
      <c r="AK439" s="35">
        <f>IF(AN439=15,J439,0)</f>
        <v>0</v>
      </c>
      <c r="AL439" s="35">
        <f>IF(AN439=21,J439,0)</f>
        <v>0</v>
      </c>
      <c r="AN439" s="35">
        <v>15</v>
      </c>
      <c r="AO439" s="35">
        <f>G439*0.0737361819119079</f>
        <v>0</v>
      </c>
      <c r="AP439" s="35">
        <f>G439*(1-0.0737361819119079)</f>
        <v>0</v>
      </c>
      <c r="AQ439" s="37" t="s">
        <v>53</v>
      </c>
      <c r="AV439" s="35">
        <f>AW439+AX439</f>
        <v>0</v>
      </c>
      <c r="AW439" s="35">
        <f>F439*AO439</f>
        <v>0</v>
      </c>
      <c r="AX439" s="35">
        <f>F439*AP439</f>
        <v>0</v>
      </c>
      <c r="AY439" s="37" t="s">
        <v>851</v>
      </c>
      <c r="AZ439" s="37" t="s">
        <v>786</v>
      </c>
      <c r="BA439" s="21" t="s">
        <v>59</v>
      </c>
      <c r="BC439" s="35">
        <f>AW439+AX439</f>
        <v>0</v>
      </c>
      <c r="BD439" s="35">
        <f>G439/(100-BE439)*100</f>
        <v>0</v>
      </c>
      <c r="BE439" s="35">
        <v>0</v>
      </c>
      <c r="BF439" s="35">
        <f>L439</f>
        <v>0.04</v>
      </c>
      <c r="BH439" s="35">
        <f>F439*AO439</f>
        <v>0</v>
      </c>
      <c r="BI439" s="35">
        <f>F439*AP439</f>
        <v>0</v>
      </c>
      <c r="BJ439" s="35">
        <f>F439*G439</f>
        <v>0</v>
      </c>
      <c r="BK439" s="35"/>
      <c r="BL439" s="35">
        <v>96</v>
      </c>
    </row>
    <row r="440" spans="1:13" ht="15" customHeight="1">
      <c r="A440" s="38"/>
      <c r="C440" s="39" t="s">
        <v>852</v>
      </c>
      <c r="D440" s="39"/>
      <c r="F440" s="40">
        <v>0.7200000000000001</v>
      </c>
      <c r="M440" s="41"/>
    </row>
    <row r="441" spans="1:64" ht="15" customHeight="1">
      <c r="A441" s="34" t="s">
        <v>853</v>
      </c>
      <c r="B441" s="11" t="s">
        <v>854</v>
      </c>
      <c r="C441" s="11" t="s">
        <v>855</v>
      </c>
      <c r="D441" s="11"/>
      <c r="E441" s="11" t="s">
        <v>85</v>
      </c>
      <c r="F441" s="35">
        <v>8.98375</v>
      </c>
      <c r="G441" s="35">
        <v>0</v>
      </c>
      <c r="H441" s="35">
        <f>F441*AO441</f>
        <v>0</v>
      </c>
      <c r="I441" s="35">
        <f>F441*AP441</f>
        <v>0</v>
      </c>
      <c r="J441" s="35">
        <f>F441*G441</f>
        <v>0</v>
      </c>
      <c r="K441" s="35">
        <v>0.07717</v>
      </c>
      <c r="L441" s="35">
        <f>F441*K441</f>
        <v>0.72</v>
      </c>
      <c r="M441" s="36" t="s">
        <v>86</v>
      </c>
      <c r="Z441" s="35">
        <f>IF(AQ441="5",BJ441,0)</f>
        <v>0</v>
      </c>
      <c r="AB441" s="35">
        <f>IF(AQ441="1",BH441,0)</f>
        <v>0</v>
      </c>
      <c r="AC441" s="35">
        <f>IF(AQ441="1",BI441,0)</f>
        <v>0</v>
      </c>
      <c r="AD441" s="35">
        <f>IF(AQ441="7",BH441,0)</f>
        <v>0</v>
      </c>
      <c r="AE441" s="35">
        <f>IF(AQ441="7",BI441,0)</f>
        <v>0</v>
      </c>
      <c r="AF441" s="35">
        <f>IF(AQ441="2",BH441,0)</f>
        <v>0</v>
      </c>
      <c r="AG441" s="35">
        <f>IF(AQ441="2",BI441,0)</f>
        <v>0</v>
      </c>
      <c r="AH441" s="35">
        <f>IF(AQ441="0",BJ441,0)</f>
        <v>0</v>
      </c>
      <c r="AI441" s="21"/>
      <c r="AJ441" s="35">
        <f>IF(AN441=0,J441,0)</f>
        <v>0</v>
      </c>
      <c r="AK441" s="35">
        <f>IF(AN441=15,J441,0)</f>
        <v>0</v>
      </c>
      <c r="AL441" s="35">
        <f>IF(AN441=21,J441,0)</f>
        <v>0</v>
      </c>
      <c r="AN441" s="35">
        <v>15</v>
      </c>
      <c r="AO441" s="35">
        <f>G441*0.0772009271822705</f>
        <v>0</v>
      </c>
      <c r="AP441" s="35">
        <f>G441*(1-0.0772009271822705)</f>
        <v>0</v>
      </c>
      <c r="AQ441" s="37" t="s">
        <v>53</v>
      </c>
      <c r="AV441" s="35">
        <f>AW441+AX441</f>
        <v>0</v>
      </c>
      <c r="AW441" s="35">
        <f>F441*AO441</f>
        <v>0</v>
      </c>
      <c r="AX441" s="35">
        <f>F441*AP441</f>
        <v>0</v>
      </c>
      <c r="AY441" s="37" t="s">
        <v>851</v>
      </c>
      <c r="AZ441" s="37" t="s">
        <v>786</v>
      </c>
      <c r="BA441" s="21" t="s">
        <v>59</v>
      </c>
      <c r="BC441" s="35">
        <f>AW441+AX441</f>
        <v>0</v>
      </c>
      <c r="BD441" s="35">
        <f>G441/(100-BE441)*100</f>
        <v>0</v>
      </c>
      <c r="BE441" s="35">
        <v>0</v>
      </c>
      <c r="BF441" s="35">
        <f>L441</f>
        <v>0.72</v>
      </c>
      <c r="BH441" s="35">
        <f>F441*AO441</f>
        <v>0</v>
      </c>
      <c r="BI441" s="35">
        <f>F441*AP441</f>
        <v>0</v>
      </c>
      <c r="BJ441" s="35">
        <f>F441*G441</f>
        <v>0</v>
      </c>
      <c r="BK441" s="35"/>
      <c r="BL441" s="35">
        <v>96</v>
      </c>
    </row>
    <row r="442" spans="1:13" ht="15" customHeight="1">
      <c r="A442" s="38"/>
      <c r="C442" s="39" t="s">
        <v>856</v>
      </c>
      <c r="D442" s="39"/>
      <c r="F442" s="40">
        <v>2.06625</v>
      </c>
      <c r="M442" s="41"/>
    </row>
    <row r="443" spans="1:13" ht="15" customHeight="1">
      <c r="A443" s="38"/>
      <c r="C443" s="39" t="s">
        <v>857</v>
      </c>
      <c r="D443" s="39"/>
      <c r="F443" s="40">
        <v>1.7575</v>
      </c>
      <c r="M443" s="41"/>
    </row>
    <row r="444" spans="1:13" ht="15" customHeight="1">
      <c r="A444" s="38"/>
      <c r="C444" s="39" t="s">
        <v>858</v>
      </c>
      <c r="D444" s="39"/>
      <c r="F444" s="40">
        <v>5.16</v>
      </c>
      <c r="M444" s="41"/>
    </row>
    <row r="445" spans="1:47" ht="15" customHeight="1">
      <c r="A445" s="30"/>
      <c r="B445" s="31" t="s">
        <v>538</v>
      </c>
      <c r="C445" s="31" t="s">
        <v>859</v>
      </c>
      <c r="D445" s="31"/>
      <c r="E445" s="32" t="s">
        <v>4</v>
      </c>
      <c r="F445" s="32" t="s">
        <v>4</v>
      </c>
      <c r="G445" s="32" t="s">
        <v>4</v>
      </c>
      <c r="H445" s="3">
        <f>SUM(H446:H446)</f>
        <v>0</v>
      </c>
      <c r="I445" s="3">
        <f>SUM(I446:I446)</f>
        <v>0</v>
      </c>
      <c r="J445" s="3">
        <f>SUM(J446:J446)</f>
        <v>0</v>
      </c>
      <c r="K445" s="21"/>
      <c r="L445" s="3">
        <f>SUM(L446:L446)</f>
        <v>0</v>
      </c>
      <c r="M445" s="33"/>
      <c r="AI445" s="21"/>
      <c r="AS445" s="3">
        <f>SUM(AJ446:AJ446)</f>
        <v>0</v>
      </c>
      <c r="AT445" s="3">
        <f>SUM(AK446:AK446)</f>
        <v>0</v>
      </c>
      <c r="AU445" s="3">
        <f>SUM(AL446:AL446)</f>
        <v>0</v>
      </c>
    </row>
    <row r="446" spans="1:64" ht="15" customHeight="1">
      <c r="A446" s="34" t="s">
        <v>860</v>
      </c>
      <c r="B446" s="11" t="s">
        <v>861</v>
      </c>
      <c r="C446" s="11" t="s">
        <v>862</v>
      </c>
      <c r="D446" s="11"/>
      <c r="E446" s="11" t="s">
        <v>93</v>
      </c>
      <c r="F446" s="35">
        <v>3.36</v>
      </c>
      <c r="G446" s="35">
        <v>0</v>
      </c>
      <c r="H446" s="35">
        <f>F446*AO446</f>
        <v>0</v>
      </c>
      <c r="I446" s="35">
        <f>F446*AP446</f>
        <v>0</v>
      </c>
      <c r="J446" s="35">
        <f>F446*G446</f>
        <v>0</v>
      </c>
      <c r="K446" s="35">
        <v>0.00287</v>
      </c>
      <c r="L446" s="35">
        <f>F446*K446</f>
        <v>0</v>
      </c>
      <c r="M446" s="36" t="s">
        <v>57</v>
      </c>
      <c r="Z446" s="35">
        <f>IF(AQ446="5",BJ446,0)</f>
        <v>0</v>
      </c>
      <c r="AB446" s="35">
        <f>IF(AQ446="1",BH446,0)</f>
        <v>0</v>
      </c>
      <c r="AC446" s="35">
        <f>IF(AQ446="1",BI446,0)</f>
        <v>0</v>
      </c>
      <c r="AD446" s="35">
        <f>IF(AQ446="7",BH446,0)</f>
        <v>0</v>
      </c>
      <c r="AE446" s="35">
        <f>IF(AQ446="7",BI446,0)</f>
        <v>0</v>
      </c>
      <c r="AF446" s="35">
        <f>IF(AQ446="2",BH446,0)</f>
        <v>0</v>
      </c>
      <c r="AG446" s="35">
        <f>IF(AQ446="2",BI446,0)</f>
        <v>0</v>
      </c>
      <c r="AH446" s="35">
        <f>IF(AQ446="0",BJ446,0)</f>
        <v>0</v>
      </c>
      <c r="AI446" s="21"/>
      <c r="AJ446" s="35">
        <f>IF(AN446=0,J446,0)</f>
        <v>0</v>
      </c>
      <c r="AK446" s="35">
        <f>IF(AN446=15,J446,0)</f>
        <v>0</v>
      </c>
      <c r="AL446" s="35">
        <f>IF(AN446=21,J446,0)</f>
        <v>0</v>
      </c>
      <c r="AN446" s="35">
        <v>15</v>
      </c>
      <c r="AO446" s="35">
        <f>G446*0.344010926041981</f>
        <v>0</v>
      </c>
      <c r="AP446" s="35">
        <f>G446*(1-0.344010926041981)</f>
        <v>0</v>
      </c>
      <c r="AQ446" s="37" t="s">
        <v>53</v>
      </c>
      <c r="AV446" s="35">
        <f>AW446+AX446</f>
        <v>0</v>
      </c>
      <c r="AW446" s="35">
        <f>F446*AO446</f>
        <v>0</v>
      </c>
      <c r="AX446" s="35">
        <f>F446*AP446</f>
        <v>0</v>
      </c>
      <c r="AY446" s="37" t="s">
        <v>863</v>
      </c>
      <c r="AZ446" s="37" t="s">
        <v>786</v>
      </c>
      <c r="BA446" s="21" t="s">
        <v>59</v>
      </c>
      <c r="BC446" s="35">
        <f>AW446+AX446</f>
        <v>0</v>
      </c>
      <c r="BD446" s="35">
        <f>G446/(100-BE446)*100</f>
        <v>0</v>
      </c>
      <c r="BE446" s="35">
        <v>0</v>
      </c>
      <c r="BF446" s="35">
        <f>L446</f>
        <v>0</v>
      </c>
      <c r="BH446" s="35">
        <f>F446*AO446</f>
        <v>0</v>
      </c>
      <c r="BI446" s="35">
        <f>F446*AP446</f>
        <v>0</v>
      </c>
      <c r="BJ446" s="35">
        <f>F446*G446</f>
        <v>0</v>
      </c>
      <c r="BK446" s="35"/>
      <c r="BL446" s="35">
        <v>97</v>
      </c>
    </row>
    <row r="447" spans="1:13" ht="15" customHeight="1">
      <c r="A447" s="38"/>
      <c r="C447" s="39" t="s">
        <v>864</v>
      </c>
      <c r="D447" s="39" t="s">
        <v>865</v>
      </c>
      <c r="F447" s="40">
        <v>3.3600000000000003</v>
      </c>
      <c r="M447" s="41"/>
    </row>
    <row r="448" spans="1:47" ht="15" customHeight="1">
      <c r="A448" s="30"/>
      <c r="B448" s="31" t="s">
        <v>866</v>
      </c>
      <c r="C448" s="31" t="s">
        <v>867</v>
      </c>
      <c r="D448" s="31"/>
      <c r="E448" s="32" t="s">
        <v>4</v>
      </c>
      <c r="F448" s="32" t="s">
        <v>4</v>
      </c>
      <c r="G448" s="32" t="s">
        <v>4</v>
      </c>
      <c r="H448" s="3">
        <f>SUM(H449:H534)</f>
        <v>0</v>
      </c>
      <c r="I448" s="3">
        <f>SUM(I449:I534)</f>
        <v>0</v>
      </c>
      <c r="J448" s="3">
        <f>SUM(J449:J534)</f>
        <v>0</v>
      </c>
      <c r="K448" s="21"/>
      <c r="L448" s="3">
        <f>SUM(L449:L534)</f>
        <v>0.18</v>
      </c>
      <c r="M448" s="33"/>
      <c r="AI448" s="21"/>
      <c r="AS448" s="3">
        <f>SUM(AJ449:AJ534)</f>
        <v>0</v>
      </c>
      <c r="AT448" s="3">
        <f>SUM(AK449:AK534)</f>
        <v>0</v>
      </c>
      <c r="AU448" s="3">
        <f>SUM(AL449:AL534)</f>
        <v>0</v>
      </c>
    </row>
    <row r="449" spans="1:64" ht="15" customHeight="1">
      <c r="A449" s="34" t="s">
        <v>868</v>
      </c>
      <c r="B449" s="11" t="s">
        <v>869</v>
      </c>
      <c r="C449" s="11" t="s">
        <v>870</v>
      </c>
      <c r="D449" s="11"/>
      <c r="E449" s="11" t="s">
        <v>871</v>
      </c>
      <c r="F449" s="35">
        <v>10</v>
      </c>
      <c r="G449" s="35">
        <v>0</v>
      </c>
      <c r="H449" s="35">
        <f>F449*AO449</f>
        <v>0</v>
      </c>
      <c r="I449" s="35">
        <f>F449*AP449</f>
        <v>0</v>
      </c>
      <c r="J449" s="35">
        <f>F449*G449</f>
        <v>0</v>
      </c>
      <c r="K449" s="35">
        <v>0</v>
      </c>
      <c r="L449" s="35">
        <f>F449*K449</f>
        <v>0</v>
      </c>
      <c r="M449" s="36" t="s">
        <v>57</v>
      </c>
      <c r="Z449" s="35">
        <f>IF(AQ449="5",BJ449,0)</f>
        <v>0</v>
      </c>
      <c r="AB449" s="35">
        <f>IF(AQ449="1",BH449,0)</f>
        <v>0</v>
      </c>
      <c r="AC449" s="35">
        <f>IF(AQ449="1",BI449,0)</f>
        <v>0</v>
      </c>
      <c r="AD449" s="35">
        <f>IF(AQ449="7",BH449,0)</f>
        <v>0</v>
      </c>
      <c r="AE449" s="35">
        <f>IF(AQ449="7",BI449,0)</f>
        <v>0</v>
      </c>
      <c r="AF449" s="35">
        <f>IF(AQ449="2",BH449,0)</f>
        <v>0</v>
      </c>
      <c r="AG449" s="35">
        <f>IF(AQ449="2",BI449,0)</f>
        <v>0</v>
      </c>
      <c r="AH449" s="35">
        <f>IF(AQ449="0",BJ449,0)</f>
        <v>0</v>
      </c>
      <c r="AI449" s="21"/>
      <c r="AJ449" s="35">
        <f>IF(AN449=0,J449,0)</f>
        <v>0</v>
      </c>
      <c r="AK449" s="35">
        <f>IF(AN449=15,J449,0)</f>
        <v>0</v>
      </c>
      <c r="AL449" s="35">
        <f>IF(AN449=21,J449,0)</f>
        <v>0</v>
      </c>
      <c r="AN449" s="35">
        <v>15</v>
      </c>
      <c r="AO449" s="35">
        <f>G449*0</f>
        <v>0</v>
      </c>
      <c r="AP449" s="35">
        <f>G449*(1-0)</f>
        <v>0</v>
      </c>
      <c r="AQ449" s="37" t="s">
        <v>60</v>
      </c>
      <c r="AV449" s="35">
        <f>AW449+AX449</f>
        <v>0</v>
      </c>
      <c r="AW449" s="35">
        <f>F449*AO449</f>
        <v>0</v>
      </c>
      <c r="AX449" s="35">
        <f>F449*AP449</f>
        <v>0</v>
      </c>
      <c r="AY449" s="37" t="s">
        <v>872</v>
      </c>
      <c r="AZ449" s="37" t="s">
        <v>786</v>
      </c>
      <c r="BA449" s="21" t="s">
        <v>59</v>
      </c>
      <c r="BC449" s="35">
        <f>AW449+AX449</f>
        <v>0</v>
      </c>
      <c r="BD449" s="35">
        <f>G449/(100-BE449)*100</f>
        <v>0</v>
      </c>
      <c r="BE449" s="35">
        <v>0</v>
      </c>
      <c r="BF449" s="35">
        <f>L449</f>
        <v>0</v>
      </c>
      <c r="BH449" s="35">
        <f>F449*AO449</f>
        <v>0</v>
      </c>
      <c r="BI449" s="35">
        <f>F449*AP449</f>
        <v>0</v>
      </c>
      <c r="BJ449" s="35">
        <f>F449*G449</f>
        <v>0</v>
      </c>
      <c r="BK449" s="35"/>
      <c r="BL449" s="35"/>
    </row>
    <row r="450" spans="1:13" ht="15" customHeight="1">
      <c r="A450" s="38"/>
      <c r="C450" s="39" t="s">
        <v>106</v>
      </c>
      <c r="D450" s="39" t="s">
        <v>570</v>
      </c>
      <c r="F450" s="40">
        <v>10</v>
      </c>
      <c r="M450" s="41"/>
    </row>
    <row r="451" spans="1:64" ht="15" customHeight="1">
      <c r="A451" s="34" t="s">
        <v>873</v>
      </c>
      <c r="B451" s="11" t="s">
        <v>874</v>
      </c>
      <c r="C451" s="11" t="s">
        <v>875</v>
      </c>
      <c r="D451" s="11"/>
      <c r="E451" s="11" t="s">
        <v>163</v>
      </c>
      <c r="F451" s="35">
        <v>1</v>
      </c>
      <c r="G451" s="35">
        <v>0</v>
      </c>
      <c r="H451" s="35">
        <f>F451*AO451</f>
        <v>0</v>
      </c>
      <c r="I451" s="35">
        <f>F451*AP451</f>
        <v>0</v>
      </c>
      <c r="J451" s="35">
        <f>F451*G451</f>
        <v>0</v>
      </c>
      <c r="K451" s="35">
        <v>0</v>
      </c>
      <c r="L451" s="35">
        <f>F451*K451</f>
        <v>0</v>
      </c>
      <c r="M451" s="36" t="s">
        <v>57</v>
      </c>
      <c r="Z451" s="35">
        <f>IF(AQ451="5",BJ451,0)</f>
        <v>0</v>
      </c>
      <c r="AB451" s="35">
        <f>IF(AQ451="1",BH451,0)</f>
        <v>0</v>
      </c>
      <c r="AC451" s="35">
        <f>IF(AQ451="1",BI451,0)</f>
        <v>0</v>
      </c>
      <c r="AD451" s="35">
        <f>IF(AQ451="7",BH451,0)</f>
        <v>0</v>
      </c>
      <c r="AE451" s="35">
        <f>IF(AQ451="7",BI451,0)</f>
        <v>0</v>
      </c>
      <c r="AF451" s="35">
        <f>IF(AQ451="2",BH451,0)</f>
        <v>0</v>
      </c>
      <c r="AG451" s="35">
        <f>IF(AQ451="2",BI451,0)</f>
        <v>0</v>
      </c>
      <c r="AH451" s="35">
        <f>IF(AQ451="0",BJ451,0)</f>
        <v>0</v>
      </c>
      <c r="AI451" s="21"/>
      <c r="AJ451" s="35">
        <f>IF(AN451=0,J451,0)</f>
        <v>0</v>
      </c>
      <c r="AK451" s="35">
        <f>IF(AN451=15,J451,0)</f>
        <v>0</v>
      </c>
      <c r="AL451" s="35">
        <f>IF(AN451=21,J451,0)</f>
        <v>0</v>
      </c>
      <c r="AN451" s="35">
        <v>15</v>
      </c>
      <c r="AO451" s="35">
        <f>G451*0.765855604307938</f>
        <v>0</v>
      </c>
      <c r="AP451" s="35">
        <f>G451*(1-0.765855604307938)</f>
        <v>0</v>
      </c>
      <c r="AQ451" s="37" t="s">
        <v>60</v>
      </c>
      <c r="AV451" s="35">
        <f>AW451+AX451</f>
        <v>0</v>
      </c>
      <c r="AW451" s="35">
        <f>F451*AO451</f>
        <v>0</v>
      </c>
      <c r="AX451" s="35">
        <f>F451*AP451</f>
        <v>0</v>
      </c>
      <c r="AY451" s="37" t="s">
        <v>872</v>
      </c>
      <c r="AZ451" s="37" t="s">
        <v>786</v>
      </c>
      <c r="BA451" s="21" t="s">
        <v>59</v>
      </c>
      <c r="BC451" s="35">
        <f>AW451+AX451</f>
        <v>0</v>
      </c>
      <c r="BD451" s="35">
        <f>G451/(100-BE451)*100</f>
        <v>0</v>
      </c>
      <c r="BE451" s="35">
        <v>0</v>
      </c>
      <c r="BF451" s="35">
        <f>L451</f>
        <v>0</v>
      </c>
      <c r="BH451" s="35">
        <f>F451*AO451</f>
        <v>0</v>
      </c>
      <c r="BI451" s="35">
        <f>F451*AP451</f>
        <v>0</v>
      </c>
      <c r="BJ451" s="35">
        <f>F451*G451</f>
        <v>0</v>
      </c>
      <c r="BK451" s="35"/>
      <c r="BL451" s="35"/>
    </row>
    <row r="452" spans="1:13" ht="15" customHeight="1">
      <c r="A452" s="38"/>
      <c r="C452" s="39" t="s">
        <v>53</v>
      </c>
      <c r="D452" s="39" t="s">
        <v>876</v>
      </c>
      <c r="F452" s="40">
        <v>1</v>
      </c>
      <c r="M452" s="41"/>
    </row>
    <row r="453" spans="1:64" ht="15" customHeight="1">
      <c r="A453" s="34" t="s">
        <v>877</v>
      </c>
      <c r="B453" s="11" t="s">
        <v>878</v>
      </c>
      <c r="C453" s="11" t="s">
        <v>879</v>
      </c>
      <c r="D453" s="11"/>
      <c r="E453" s="11" t="s">
        <v>93</v>
      </c>
      <c r="F453" s="35">
        <v>290</v>
      </c>
      <c r="G453" s="35">
        <v>0</v>
      </c>
      <c r="H453" s="35">
        <f>F453*AO453</f>
        <v>0</v>
      </c>
      <c r="I453" s="35">
        <f>F453*AP453</f>
        <v>0</v>
      </c>
      <c r="J453" s="35">
        <f>F453*G453</f>
        <v>0</v>
      </c>
      <c r="K453" s="35">
        <v>7E-05</v>
      </c>
      <c r="L453" s="35">
        <f>F453*K453</f>
        <v>0</v>
      </c>
      <c r="M453" s="36" t="s">
        <v>57</v>
      </c>
      <c r="Z453" s="35">
        <f>IF(AQ453="5",BJ453,0)</f>
        <v>0</v>
      </c>
      <c r="AB453" s="35">
        <f>IF(AQ453="1",BH453,0)</f>
        <v>0</v>
      </c>
      <c r="AC453" s="35">
        <f>IF(AQ453="1",BI453,0)</f>
        <v>0</v>
      </c>
      <c r="AD453" s="35">
        <f>IF(AQ453="7",BH453,0)</f>
        <v>0</v>
      </c>
      <c r="AE453" s="35">
        <f>IF(AQ453="7",BI453,0)</f>
        <v>0</v>
      </c>
      <c r="AF453" s="35">
        <f>IF(AQ453="2",BH453,0)</f>
        <v>0</v>
      </c>
      <c r="AG453" s="35">
        <f>IF(AQ453="2",BI453,0)</f>
        <v>0</v>
      </c>
      <c r="AH453" s="35">
        <f>IF(AQ453="0",BJ453,0)</f>
        <v>0</v>
      </c>
      <c r="AI453" s="21"/>
      <c r="AJ453" s="35">
        <f>IF(AN453=0,J453,0)</f>
        <v>0</v>
      </c>
      <c r="AK453" s="35">
        <f>IF(AN453=15,J453,0)</f>
        <v>0</v>
      </c>
      <c r="AL453" s="35">
        <f>IF(AN453=21,J453,0)</f>
        <v>0</v>
      </c>
      <c r="AN453" s="35">
        <v>15</v>
      </c>
      <c r="AO453" s="35">
        <f>G453*0.146017699115044</f>
        <v>0</v>
      </c>
      <c r="AP453" s="35">
        <f>G453*(1-0.146017699115044)</f>
        <v>0</v>
      </c>
      <c r="AQ453" s="37" t="s">
        <v>60</v>
      </c>
      <c r="AV453" s="35">
        <f>AW453+AX453</f>
        <v>0</v>
      </c>
      <c r="AW453" s="35">
        <f>F453*AO453</f>
        <v>0</v>
      </c>
      <c r="AX453" s="35">
        <f>F453*AP453</f>
        <v>0</v>
      </c>
      <c r="AY453" s="37" t="s">
        <v>872</v>
      </c>
      <c r="AZ453" s="37" t="s">
        <v>786</v>
      </c>
      <c r="BA453" s="21" t="s">
        <v>59</v>
      </c>
      <c r="BC453" s="35">
        <f>AW453+AX453</f>
        <v>0</v>
      </c>
      <c r="BD453" s="35">
        <f>G453/(100-BE453)*100</f>
        <v>0</v>
      </c>
      <c r="BE453" s="35">
        <v>0</v>
      </c>
      <c r="BF453" s="35">
        <f>L453</f>
        <v>0</v>
      </c>
      <c r="BH453" s="35">
        <f>F453*AO453</f>
        <v>0</v>
      </c>
      <c r="BI453" s="35">
        <f>F453*AP453</f>
        <v>0</v>
      </c>
      <c r="BJ453" s="35">
        <f>F453*G453</f>
        <v>0</v>
      </c>
      <c r="BK453" s="35"/>
      <c r="BL453" s="35"/>
    </row>
    <row r="454" spans="1:13" ht="15" customHeight="1">
      <c r="A454" s="38"/>
      <c r="C454" s="39" t="s">
        <v>880</v>
      </c>
      <c r="D454" s="39" t="s">
        <v>458</v>
      </c>
      <c r="F454" s="40">
        <v>290</v>
      </c>
      <c r="M454" s="41"/>
    </row>
    <row r="455" spans="1:64" ht="15" customHeight="1">
      <c r="A455" s="34" t="s">
        <v>881</v>
      </c>
      <c r="B455" s="11" t="s">
        <v>882</v>
      </c>
      <c r="C455" s="11" t="s">
        <v>883</v>
      </c>
      <c r="D455" s="11"/>
      <c r="E455" s="11" t="s">
        <v>93</v>
      </c>
      <c r="F455" s="35">
        <v>40</v>
      </c>
      <c r="G455" s="35">
        <v>0</v>
      </c>
      <c r="H455" s="35">
        <f>F455*AO455</f>
        <v>0</v>
      </c>
      <c r="I455" s="35">
        <f>F455*AP455</f>
        <v>0</v>
      </c>
      <c r="J455" s="35">
        <f>F455*G455</f>
        <v>0</v>
      </c>
      <c r="K455" s="35">
        <v>0.00017</v>
      </c>
      <c r="L455" s="35">
        <f>F455*K455</f>
        <v>0</v>
      </c>
      <c r="M455" s="36" t="s">
        <v>57</v>
      </c>
      <c r="Z455" s="35">
        <f>IF(AQ455="5",BJ455,0)</f>
        <v>0</v>
      </c>
      <c r="AB455" s="35">
        <f>IF(AQ455="1",BH455,0)</f>
        <v>0</v>
      </c>
      <c r="AC455" s="35">
        <f>IF(AQ455="1",BI455,0)</f>
        <v>0</v>
      </c>
      <c r="AD455" s="35">
        <f>IF(AQ455="7",BH455,0)</f>
        <v>0</v>
      </c>
      <c r="AE455" s="35">
        <f>IF(AQ455="7",BI455,0)</f>
        <v>0</v>
      </c>
      <c r="AF455" s="35">
        <f>IF(AQ455="2",BH455,0)</f>
        <v>0</v>
      </c>
      <c r="AG455" s="35">
        <f>IF(AQ455="2",BI455,0)</f>
        <v>0</v>
      </c>
      <c r="AH455" s="35">
        <f>IF(AQ455="0",BJ455,0)</f>
        <v>0</v>
      </c>
      <c r="AI455" s="21"/>
      <c r="AJ455" s="35">
        <f>IF(AN455=0,J455,0)</f>
        <v>0</v>
      </c>
      <c r="AK455" s="35">
        <f>IF(AN455=15,J455,0)</f>
        <v>0</v>
      </c>
      <c r="AL455" s="35">
        <f>IF(AN455=21,J455,0)</f>
        <v>0</v>
      </c>
      <c r="AN455" s="35">
        <v>15</v>
      </c>
      <c r="AO455" s="35">
        <f>G455*0.201604715899787</f>
        <v>0</v>
      </c>
      <c r="AP455" s="35">
        <f>G455*(1-0.201604715899787)</f>
        <v>0</v>
      </c>
      <c r="AQ455" s="37" t="s">
        <v>60</v>
      </c>
      <c r="AV455" s="35">
        <f>AW455+AX455</f>
        <v>0</v>
      </c>
      <c r="AW455" s="35">
        <f>F455*AO455</f>
        <v>0</v>
      </c>
      <c r="AX455" s="35">
        <f>F455*AP455</f>
        <v>0</v>
      </c>
      <c r="AY455" s="37" t="s">
        <v>872</v>
      </c>
      <c r="AZ455" s="37" t="s">
        <v>786</v>
      </c>
      <c r="BA455" s="21" t="s">
        <v>59</v>
      </c>
      <c r="BC455" s="35">
        <f>AW455+AX455</f>
        <v>0</v>
      </c>
      <c r="BD455" s="35">
        <f>G455/(100-BE455)*100</f>
        <v>0</v>
      </c>
      <c r="BE455" s="35">
        <v>0</v>
      </c>
      <c r="BF455" s="35">
        <f>L455</f>
        <v>0</v>
      </c>
      <c r="BH455" s="35">
        <f>F455*AO455</f>
        <v>0</v>
      </c>
      <c r="BI455" s="35">
        <f>F455*AP455</f>
        <v>0</v>
      </c>
      <c r="BJ455" s="35">
        <f>F455*G455</f>
        <v>0</v>
      </c>
      <c r="BK455" s="35"/>
      <c r="BL455" s="35"/>
    </row>
    <row r="456" spans="1:13" ht="15" customHeight="1">
      <c r="A456" s="38"/>
      <c r="C456" s="39" t="s">
        <v>288</v>
      </c>
      <c r="D456" s="39" t="s">
        <v>876</v>
      </c>
      <c r="F456" s="40">
        <v>40</v>
      </c>
      <c r="M456" s="41"/>
    </row>
    <row r="457" spans="1:64" ht="15" customHeight="1">
      <c r="A457" s="34" t="s">
        <v>884</v>
      </c>
      <c r="B457" s="11" t="s">
        <v>885</v>
      </c>
      <c r="C457" s="11" t="s">
        <v>886</v>
      </c>
      <c r="D457" s="11"/>
      <c r="E457" s="11" t="s">
        <v>93</v>
      </c>
      <c r="F457" s="35">
        <v>250</v>
      </c>
      <c r="G457" s="35">
        <v>0</v>
      </c>
      <c r="H457" s="35">
        <f>F457*AO457</f>
        <v>0</v>
      </c>
      <c r="I457" s="35">
        <f>F457*AP457</f>
        <v>0</v>
      </c>
      <c r="J457" s="35">
        <f>F457*G457</f>
        <v>0</v>
      </c>
      <c r="K457" s="35">
        <v>0</v>
      </c>
      <c r="L457" s="35">
        <f>F457*K457</f>
        <v>0</v>
      </c>
      <c r="M457" s="36" t="s">
        <v>57</v>
      </c>
      <c r="Z457" s="35">
        <f>IF(AQ457="5",BJ457,0)</f>
        <v>0</v>
      </c>
      <c r="AB457" s="35">
        <f>IF(AQ457="1",BH457,0)</f>
        <v>0</v>
      </c>
      <c r="AC457" s="35">
        <f>IF(AQ457="1",BI457,0)</f>
        <v>0</v>
      </c>
      <c r="AD457" s="35">
        <f>IF(AQ457="7",BH457,0)</f>
        <v>0</v>
      </c>
      <c r="AE457" s="35">
        <f>IF(AQ457="7",BI457,0)</f>
        <v>0</v>
      </c>
      <c r="AF457" s="35">
        <f>IF(AQ457="2",BH457,0)</f>
        <v>0</v>
      </c>
      <c r="AG457" s="35">
        <f>IF(AQ457="2",BI457,0)</f>
        <v>0</v>
      </c>
      <c r="AH457" s="35">
        <f>IF(AQ457="0",BJ457,0)</f>
        <v>0</v>
      </c>
      <c r="AI457" s="21"/>
      <c r="AJ457" s="35">
        <f>IF(AN457=0,J457,0)</f>
        <v>0</v>
      </c>
      <c r="AK457" s="35">
        <f>IF(AN457=15,J457,0)</f>
        <v>0</v>
      </c>
      <c r="AL457" s="35">
        <f>IF(AN457=21,J457,0)</f>
        <v>0</v>
      </c>
      <c r="AN457" s="35">
        <v>15</v>
      </c>
      <c r="AO457" s="35">
        <f>G457*0.603221625624884</f>
        <v>0</v>
      </c>
      <c r="AP457" s="35">
        <f>G457*(1-0.603221625624884)</f>
        <v>0</v>
      </c>
      <c r="AQ457" s="37" t="s">
        <v>60</v>
      </c>
      <c r="AV457" s="35">
        <f>AW457+AX457</f>
        <v>0</v>
      </c>
      <c r="AW457" s="35">
        <f>F457*AO457</f>
        <v>0</v>
      </c>
      <c r="AX457" s="35">
        <f>F457*AP457</f>
        <v>0</v>
      </c>
      <c r="AY457" s="37" t="s">
        <v>872</v>
      </c>
      <c r="AZ457" s="37" t="s">
        <v>786</v>
      </c>
      <c r="BA457" s="21" t="s">
        <v>59</v>
      </c>
      <c r="BC457" s="35">
        <f>AW457+AX457</f>
        <v>0</v>
      </c>
      <c r="BD457" s="35">
        <f>G457/(100-BE457)*100</f>
        <v>0</v>
      </c>
      <c r="BE457" s="35">
        <v>0</v>
      </c>
      <c r="BF457" s="35">
        <f>L457</f>
        <v>0</v>
      </c>
      <c r="BH457" s="35">
        <f>F457*AO457</f>
        <v>0</v>
      </c>
      <c r="BI457" s="35">
        <f>F457*AP457</f>
        <v>0</v>
      </c>
      <c r="BJ457" s="35">
        <f>F457*G457</f>
        <v>0</v>
      </c>
      <c r="BK457" s="35"/>
      <c r="BL457" s="35"/>
    </row>
    <row r="458" spans="1:13" ht="15" customHeight="1">
      <c r="A458" s="38"/>
      <c r="C458" s="39" t="s">
        <v>887</v>
      </c>
      <c r="D458" s="39" t="s">
        <v>876</v>
      </c>
      <c r="F458" s="40">
        <v>250.00000000000003</v>
      </c>
      <c r="M458" s="41"/>
    </row>
    <row r="459" spans="1:64" ht="15" customHeight="1">
      <c r="A459" s="34" t="s">
        <v>888</v>
      </c>
      <c r="B459" s="11" t="s">
        <v>889</v>
      </c>
      <c r="C459" s="11" t="s">
        <v>890</v>
      </c>
      <c r="D459" s="11"/>
      <c r="E459" s="11" t="s">
        <v>163</v>
      </c>
      <c r="F459" s="35">
        <v>70</v>
      </c>
      <c r="G459" s="35">
        <v>0</v>
      </c>
      <c r="H459" s="35">
        <f>F459*AO459</f>
        <v>0</v>
      </c>
      <c r="I459" s="35">
        <f>F459*AP459</f>
        <v>0</v>
      </c>
      <c r="J459" s="35">
        <f>F459*G459</f>
        <v>0</v>
      </c>
      <c r="K459" s="35">
        <v>2E-05</v>
      </c>
      <c r="L459" s="35">
        <f>F459*K459</f>
        <v>0</v>
      </c>
      <c r="M459" s="36" t="s">
        <v>57</v>
      </c>
      <c r="Z459" s="35">
        <f>IF(AQ459="5",BJ459,0)</f>
        <v>0</v>
      </c>
      <c r="AB459" s="35">
        <f>IF(AQ459="1",BH459,0)</f>
        <v>0</v>
      </c>
      <c r="AC459" s="35">
        <f>IF(AQ459="1",BI459,0)</f>
        <v>0</v>
      </c>
      <c r="AD459" s="35">
        <f>IF(AQ459="7",BH459,0)</f>
        <v>0</v>
      </c>
      <c r="AE459" s="35">
        <f>IF(AQ459="7",BI459,0)</f>
        <v>0</v>
      </c>
      <c r="AF459" s="35">
        <f>IF(AQ459="2",BH459,0)</f>
        <v>0</v>
      </c>
      <c r="AG459" s="35">
        <f>IF(AQ459="2",BI459,0)</f>
        <v>0</v>
      </c>
      <c r="AH459" s="35">
        <f>IF(AQ459="0",BJ459,0)</f>
        <v>0</v>
      </c>
      <c r="AI459" s="21"/>
      <c r="AJ459" s="35">
        <f>IF(AN459=0,J459,0)</f>
        <v>0</v>
      </c>
      <c r="AK459" s="35">
        <f>IF(AN459=15,J459,0)</f>
        <v>0</v>
      </c>
      <c r="AL459" s="35">
        <f>IF(AN459=21,J459,0)</f>
        <v>0</v>
      </c>
      <c r="AN459" s="35">
        <v>15</v>
      </c>
      <c r="AO459" s="35">
        <f>G459*0.279092295273119</f>
        <v>0</v>
      </c>
      <c r="AP459" s="35">
        <f>G459*(1-0.279092295273119)</f>
        <v>0</v>
      </c>
      <c r="AQ459" s="37" t="s">
        <v>60</v>
      </c>
      <c r="AV459" s="35">
        <f>AW459+AX459</f>
        <v>0</v>
      </c>
      <c r="AW459" s="35">
        <f>F459*AO459</f>
        <v>0</v>
      </c>
      <c r="AX459" s="35">
        <f>F459*AP459</f>
        <v>0</v>
      </c>
      <c r="AY459" s="37" t="s">
        <v>872</v>
      </c>
      <c r="AZ459" s="37" t="s">
        <v>786</v>
      </c>
      <c r="BA459" s="21" t="s">
        <v>59</v>
      </c>
      <c r="BC459" s="35">
        <f>AW459+AX459</f>
        <v>0</v>
      </c>
      <c r="BD459" s="35">
        <f>G459/(100-BE459)*100</f>
        <v>0</v>
      </c>
      <c r="BE459" s="35">
        <v>0</v>
      </c>
      <c r="BF459" s="35">
        <f>L459</f>
        <v>0</v>
      </c>
      <c r="BH459" s="35">
        <f>F459*AO459</f>
        <v>0</v>
      </c>
      <c r="BI459" s="35">
        <f>F459*AP459</f>
        <v>0</v>
      </c>
      <c r="BJ459" s="35">
        <f>F459*G459</f>
        <v>0</v>
      </c>
      <c r="BK459" s="35"/>
      <c r="BL459" s="35"/>
    </row>
    <row r="460" spans="1:13" ht="15" customHeight="1">
      <c r="A460" s="38"/>
      <c r="C460" s="39" t="s">
        <v>426</v>
      </c>
      <c r="D460" s="39" t="s">
        <v>876</v>
      </c>
      <c r="F460" s="40">
        <v>70</v>
      </c>
      <c r="M460" s="41"/>
    </row>
    <row r="461" spans="1:64" ht="15" customHeight="1">
      <c r="A461" s="34" t="s">
        <v>891</v>
      </c>
      <c r="B461" s="11" t="s">
        <v>892</v>
      </c>
      <c r="C461" s="11" t="s">
        <v>893</v>
      </c>
      <c r="D461" s="11"/>
      <c r="E461" s="11" t="s">
        <v>163</v>
      </c>
      <c r="F461" s="35">
        <v>70</v>
      </c>
      <c r="G461" s="35">
        <v>0</v>
      </c>
      <c r="H461" s="35">
        <f>F461*AO461</f>
        <v>0</v>
      </c>
      <c r="I461" s="35">
        <f>F461*AP461</f>
        <v>0</v>
      </c>
      <c r="J461" s="35">
        <f>F461*G461</f>
        <v>0</v>
      </c>
      <c r="K461" s="35">
        <v>4E-05</v>
      </c>
      <c r="L461" s="35">
        <f>F461*K461</f>
        <v>0</v>
      </c>
      <c r="M461" s="36" t="s">
        <v>57</v>
      </c>
      <c r="Z461" s="35">
        <f>IF(AQ461="5",BJ461,0)</f>
        <v>0</v>
      </c>
      <c r="AB461" s="35">
        <f>IF(AQ461="1",BH461,0)</f>
        <v>0</v>
      </c>
      <c r="AC461" s="35">
        <f>IF(AQ461="1",BI461,0)</f>
        <v>0</v>
      </c>
      <c r="AD461" s="35">
        <f>IF(AQ461="7",BH461,0)</f>
        <v>0</v>
      </c>
      <c r="AE461" s="35">
        <f>IF(AQ461="7",BI461,0)</f>
        <v>0</v>
      </c>
      <c r="AF461" s="35">
        <f>IF(AQ461="2",BH461,0)</f>
        <v>0</v>
      </c>
      <c r="AG461" s="35">
        <f>IF(AQ461="2",BI461,0)</f>
        <v>0</v>
      </c>
      <c r="AH461" s="35">
        <f>IF(AQ461="0",BJ461,0)</f>
        <v>0</v>
      </c>
      <c r="AI461" s="21"/>
      <c r="AJ461" s="35">
        <f>IF(AN461=0,J461,0)</f>
        <v>0</v>
      </c>
      <c r="AK461" s="35">
        <f>IF(AN461=15,J461,0)</f>
        <v>0</v>
      </c>
      <c r="AL461" s="35">
        <f>IF(AN461=21,J461,0)</f>
        <v>0</v>
      </c>
      <c r="AN461" s="35">
        <v>15</v>
      </c>
      <c r="AO461" s="35">
        <f>G461*0.119667013527575</f>
        <v>0</v>
      </c>
      <c r="AP461" s="35">
        <f>G461*(1-0.119667013527575)</f>
        <v>0</v>
      </c>
      <c r="AQ461" s="37" t="s">
        <v>60</v>
      </c>
      <c r="AV461" s="35">
        <f>AW461+AX461</f>
        <v>0</v>
      </c>
      <c r="AW461" s="35">
        <f>F461*AO461</f>
        <v>0</v>
      </c>
      <c r="AX461" s="35">
        <f>F461*AP461</f>
        <v>0</v>
      </c>
      <c r="AY461" s="37" t="s">
        <v>872</v>
      </c>
      <c r="AZ461" s="37" t="s">
        <v>786</v>
      </c>
      <c r="BA461" s="21" t="s">
        <v>59</v>
      </c>
      <c r="BC461" s="35">
        <f>AW461+AX461</f>
        <v>0</v>
      </c>
      <c r="BD461" s="35">
        <f>G461/(100-BE461)*100</f>
        <v>0</v>
      </c>
      <c r="BE461" s="35">
        <v>0</v>
      </c>
      <c r="BF461" s="35">
        <f>L461</f>
        <v>0</v>
      </c>
      <c r="BH461" s="35">
        <f>F461*AO461</f>
        <v>0</v>
      </c>
      <c r="BI461" s="35">
        <f>F461*AP461</f>
        <v>0</v>
      </c>
      <c r="BJ461" s="35">
        <f>F461*G461</f>
        <v>0</v>
      </c>
      <c r="BK461" s="35"/>
      <c r="BL461" s="35"/>
    </row>
    <row r="462" spans="1:13" ht="15" customHeight="1">
      <c r="A462" s="38"/>
      <c r="C462" s="39" t="s">
        <v>426</v>
      </c>
      <c r="D462" s="39" t="s">
        <v>876</v>
      </c>
      <c r="F462" s="40">
        <v>70</v>
      </c>
      <c r="M462" s="41"/>
    </row>
    <row r="463" spans="1:64" ht="15" customHeight="1">
      <c r="A463" s="34" t="s">
        <v>894</v>
      </c>
      <c r="B463" s="11" t="s">
        <v>895</v>
      </c>
      <c r="C463" s="11" t="s">
        <v>896</v>
      </c>
      <c r="D463" s="11"/>
      <c r="E463" s="11" t="s">
        <v>163</v>
      </c>
      <c r="F463" s="35">
        <v>36</v>
      </c>
      <c r="G463" s="35">
        <v>0</v>
      </c>
      <c r="H463" s="35">
        <f>F463*AO463</f>
        <v>0</v>
      </c>
      <c r="I463" s="35">
        <f>F463*AP463</f>
        <v>0</v>
      </c>
      <c r="J463" s="35">
        <f>F463*G463</f>
        <v>0</v>
      </c>
      <c r="K463" s="35">
        <v>0.00022</v>
      </c>
      <c r="L463" s="35">
        <f>F463*K463</f>
        <v>0</v>
      </c>
      <c r="M463" s="36" t="s">
        <v>57</v>
      </c>
      <c r="Z463" s="35">
        <f>IF(AQ463="5",BJ463,0)</f>
        <v>0</v>
      </c>
      <c r="AB463" s="35">
        <f>IF(AQ463="1",BH463,0)</f>
        <v>0</v>
      </c>
      <c r="AC463" s="35">
        <f>IF(AQ463="1",BI463,0)</f>
        <v>0</v>
      </c>
      <c r="AD463" s="35">
        <f>IF(AQ463="7",BH463,0)</f>
        <v>0</v>
      </c>
      <c r="AE463" s="35">
        <f>IF(AQ463="7",BI463,0)</f>
        <v>0</v>
      </c>
      <c r="AF463" s="35">
        <f>IF(AQ463="2",BH463,0)</f>
        <v>0</v>
      </c>
      <c r="AG463" s="35">
        <f>IF(AQ463="2",BI463,0)</f>
        <v>0</v>
      </c>
      <c r="AH463" s="35">
        <f>IF(AQ463="0",BJ463,0)</f>
        <v>0</v>
      </c>
      <c r="AI463" s="21"/>
      <c r="AJ463" s="35">
        <f>IF(AN463=0,J463,0)</f>
        <v>0</v>
      </c>
      <c r="AK463" s="35">
        <f>IF(AN463=15,J463,0)</f>
        <v>0</v>
      </c>
      <c r="AL463" s="35">
        <f>IF(AN463=21,J463,0)</f>
        <v>0</v>
      </c>
      <c r="AN463" s="35">
        <v>15</v>
      </c>
      <c r="AO463" s="35">
        <f>G463*0.342459546925566</f>
        <v>0</v>
      </c>
      <c r="AP463" s="35">
        <f>G463*(1-0.342459546925566)</f>
        <v>0</v>
      </c>
      <c r="AQ463" s="37" t="s">
        <v>60</v>
      </c>
      <c r="AV463" s="35">
        <f>AW463+AX463</f>
        <v>0</v>
      </c>
      <c r="AW463" s="35">
        <f>F463*AO463</f>
        <v>0</v>
      </c>
      <c r="AX463" s="35">
        <f>F463*AP463</f>
        <v>0</v>
      </c>
      <c r="AY463" s="37" t="s">
        <v>872</v>
      </c>
      <c r="AZ463" s="37" t="s">
        <v>786</v>
      </c>
      <c r="BA463" s="21" t="s">
        <v>59</v>
      </c>
      <c r="BC463" s="35">
        <f>AW463+AX463</f>
        <v>0</v>
      </c>
      <c r="BD463" s="35">
        <f>G463/(100-BE463)*100</f>
        <v>0</v>
      </c>
      <c r="BE463" s="35">
        <v>0</v>
      </c>
      <c r="BF463" s="35">
        <f>L463</f>
        <v>0</v>
      </c>
      <c r="BH463" s="35">
        <f>F463*AO463</f>
        <v>0</v>
      </c>
      <c r="BI463" s="35">
        <f>F463*AP463</f>
        <v>0</v>
      </c>
      <c r="BJ463" s="35">
        <f>F463*G463</f>
        <v>0</v>
      </c>
      <c r="BK463" s="35"/>
      <c r="BL463" s="35"/>
    </row>
    <row r="464" spans="1:13" ht="15" customHeight="1">
      <c r="A464" s="38"/>
      <c r="C464" s="39" t="s">
        <v>257</v>
      </c>
      <c r="D464" s="39" t="s">
        <v>876</v>
      </c>
      <c r="F464" s="40">
        <v>36</v>
      </c>
      <c r="M464" s="41"/>
    </row>
    <row r="465" spans="1:64" ht="15" customHeight="1">
      <c r="A465" s="34" t="s">
        <v>897</v>
      </c>
      <c r="B465" s="11" t="s">
        <v>898</v>
      </c>
      <c r="C465" s="11" t="s">
        <v>896</v>
      </c>
      <c r="D465" s="11"/>
      <c r="E465" s="11" t="s">
        <v>163</v>
      </c>
      <c r="F465" s="35">
        <v>5</v>
      </c>
      <c r="G465" s="35">
        <v>0</v>
      </c>
      <c r="H465" s="35">
        <f>F465*AO465</f>
        <v>0</v>
      </c>
      <c r="I465" s="35">
        <f>F465*AP465</f>
        <v>0</v>
      </c>
      <c r="J465" s="35">
        <f>F465*G465</f>
        <v>0</v>
      </c>
      <c r="K465" s="35">
        <v>0.00013</v>
      </c>
      <c r="L465" s="35">
        <f>F465*K465</f>
        <v>0</v>
      </c>
      <c r="M465" s="36" t="s">
        <v>57</v>
      </c>
      <c r="Z465" s="35">
        <f>IF(AQ465="5",BJ465,0)</f>
        <v>0</v>
      </c>
      <c r="AB465" s="35">
        <f>IF(AQ465="1",BH465,0)</f>
        <v>0</v>
      </c>
      <c r="AC465" s="35">
        <f>IF(AQ465="1",BI465,0)</f>
        <v>0</v>
      </c>
      <c r="AD465" s="35">
        <f>IF(AQ465="7",BH465,0)</f>
        <v>0</v>
      </c>
      <c r="AE465" s="35">
        <f>IF(AQ465="7",BI465,0)</f>
        <v>0</v>
      </c>
      <c r="AF465" s="35">
        <f>IF(AQ465="2",BH465,0)</f>
        <v>0</v>
      </c>
      <c r="AG465" s="35">
        <f>IF(AQ465="2",BI465,0)</f>
        <v>0</v>
      </c>
      <c r="AH465" s="35">
        <f>IF(AQ465="0",BJ465,0)</f>
        <v>0</v>
      </c>
      <c r="AI465" s="21"/>
      <c r="AJ465" s="35">
        <f>IF(AN465=0,J465,0)</f>
        <v>0</v>
      </c>
      <c r="AK465" s="35">
        <f>IF(AN465=15,J465,0)</f>
        <v>0</v>
      </c>
      <c r="AL465" s="35">
        <f>IF(AN465=21,J465,0)</f>
        <v>0</v>
      </c>
      <c r="AN465" s="35">
        <v>15</v>
      </c>
      <c r="AO465" s="35">
        <f>G465*0.244721189591078</f>
        <v>0</v>
      </c>
      <c r="AP465" s="35">
        <f>G465*(1-0.244721189591078)</f>
        <v>0</v>
      </c>
      <c r="AQ465" s="37" t="s">
        <v>60</v>
      </c>
      <c r="AV465" s="35">
        <f>AW465+AX465</f>
        <v>0</v>
      </c>
      <c r="AW465" s="35">
        <f>F465*AO465</f>
        <v>0</v>
      </c>
      <c r="AX465" s="35">
        <f>F465*AP465</f>
        <v>0</v>
      </c>
      <c r="AY465" s="37" t="s">
        <v>872</v>
      </c>
      <c r="AZ465" s="37" t="s">
        <v>786</v>
      </c>
      <c r="BA465" s="21" t="s">
        <v>59</v>
      </c>
      <c r="BC465" s="35">
        <f>AW465+AX465</f>
        <v>0</v>
      </c>
      <c r="BD465" s="35">
        <f>G465/(100-BE465)*100</f>
        <v>0</v>
      </c>
      <c r="BE465" s="35">
        <v>0</v>
      </c>
      <c r="BF465" s="35">
        <f>L465</f>
        <v>0</v>
      </c>
      <c r="BH465" s="35">
        <f>F465*AO465</f>
        <v>0</v>
      </c>
      <c r="BI465" s="35">
        <f>F465*AP465</f>
        <v>0</v>
      </c>
      <c r="BJ465" s="35">
        <f>F465*G465</f>
        <v>0</v>
      </c>
      <c r="BK465" s="35"/>
      <c r="BL465" s="35"/>
    </row>
    <row r="466" spans="1:13" ht="15" customHeight="1">
      <c r="A466" s="38"/>
      <c r="C466" s="39" t="s">
        <v>70</v>
      </c>
      <c r="D466" s="39" t="s">
        <v>876</v>
      </c>
      <c r="F466" s="40">
        <v>5</v>
      </c>
      <c r="M466" s="41"/>
    </row>
    <row r="467" spans="1:64" ht="15" customHeight="1">
      <c r="A467" s="34" t="s">
        <v>899</v>
      </c>
      <c r="B467" s="11" t="s">
        <v>900</v>
      </c>
      <c r="C467" s="11" t="s">
        <v>901</v>
      </c>
      <c r="D467" s="11"/>
      <c r="E467" s="11" t="s">
        <v>871</v>
      </c>
      <c r="F467" s="35">
        <v>35</v>
      </c>
      <c r="G467" s="35">
        <v>0</v>
      </c>
      <c r="H467" s="35">
        <f>F467*AO467</f>
        <v>0</v>
      </c>
      <c r="I467" s="35">
        <f>F467*AP467</f>
        <v>0</v>
      </c>
      <c r="J467" s="35">
        <f>F467*G467</f>
        <v>0</v>
      </c>
      <c r="K467" s="35">
        <v>0</v>
      </c>
      <c r="L467" s="35">
        <f>F467*K467</f>
        <v>0</v>
      </c>
      <c r="M467" s="36" t="s">
        <v>57</v>
      </c>
      <c r="Z467" s="35">
        <f>IF(AQ467="5",BJ467,0)</f>
        <v>0</v>
      </c>
      <c r="AB467" s="35">
        <f>IF(AQ467="1",BH467,0)</f>
        <v>0</v>
      </c>
      <c r="AC467" s="35">
        <f>IF(AQ467="1",BI467,0)</f>
        <v>0</v>
      </c>
      <c r="AD467" s="35">
        <f>IF(AQ467="7",BH467,0)</f>
        <v>0</v>
      </c>
      <c r="AE467" s="35">
        <f>IF(AQ467="7",BI467,0)</f>
        <v>0</v>
      </c>
      <c r="AF467" s="35">
        <f>IF(AQ467="2",BH467,0)</f>
        <v>0</v>
      </c>
      <c r="AG467" s="35">
        <f>IF(AQ467="2",BI467,0)</f>
        <v>0</v>
      </c>
      <c r="AH467" s="35">
        <f>IF(AQ467="0",BJ467,0)</f>
        <v>0</v>
      </c>
      <c r="AI467" s="21"/>
      <c r="AJ467" s="35">
        <f>IF(AN467=0,J467,0)</f>
        <v>0</v>
      </c>
      <c r="AK467" s="35">
        <f>IF(AN467=15,J467,0)</f>
        <v>0</v>
      </c>
      <c r="AL467" s="35">
        <f>IF(AN467=21,J467,0)</f>
        <v>0</v>
      </c>
      <c r="AN467" s="35">
        <v>15</v>
      </c>
      <c r="AO467" s="35">
        <f>G467*0</f>
        <v>0</v>
      </c>
      <c r="AP467" s="35">
        <f>G467*(1-0)</f>
        <v>0</v>
      </c>
      <c r="AQ467" s="37" t="s">
        <v>60</v>
      </c>
      <c r="AV467" s="35">
        <f>AW467+AX467</f>
        <v>0</v>
      </c>
      <c r="AW467" s="35">
        <f>F467*AO467</f>
        <v>0</v>
      </c>
      <c r="AX467" s="35">
        <f>F467*AP467</f>
        <v>0</v>
      </c>
      <c r="AY467" s="37" t="s">
        <v>872</v>
      </c>
      <c r="AZ467" s="37" t="s">
        <v>786</v>
      </c>
      <c r="BA467" s="21" t="s">
        <v>59</v>
      </c>
      <c r="BC467" s="35">
        <f>AW467+AX467</f>
        <v>0</v>
      </c>
      <c r="BD467" s="35">
        <f>G467/(100-BE467)*100</f>
        <v>0</v>
      </c>
      <c r="BE467" s="35">
        <v>0</v>
      </c>
      <c r="BF467" s="35">
        <f>L467</f>
        <v>0</v>
      </c>
      <c r="BH467" s="35">
        <f>F467*AO467</f>
        <v>0</v>
      </c>
      <c r="BI467" s="35">
        <f>F467*AP467</f>
        <v>0</v>
      </c>
      <c r="BJ467" s="35">
        <f>F467*G467</f>
        <v>0</v>
      </c>
      <c r="BK467" s="35"/>
      <c r="BL467" s="35"/>
    </row>
    <row r="468" spans="1:13" ht="15" customHeight="1">
      <c r="A468" s="38"/>
      <c r="C468" s="39" t="s">
        <v>253</v>
      </c>
      <c r="D468" s="39"/>
      <c r="F468" s="40">
        <v>35</v>
      </c>
      <c r="M468" s="41"/>
    </row>
    <row r="469" spans="1:64" ht="15" customHeight="1">
      <c r="A469" s="34" t="s">
        <v>902</v>
      </c>
      <c r="B469" s="11" t="s">
        <v>903</v>
      </c>
      <c r="C469" s="11" t="s">
        <v>904</v>
      </c>
      <c r="D469" s="11"/>
      <c r="E469" s="11" t="s">
        <v>93</v>
      </c>
      <c r="F469" s="35">
        <v>40</v>
      </c>
      <c r="G469" s="35">
        <v>0</v>
      </c>
      <c r="H469" s="35">
        <f>F469*AO469</f>
        <v>0</v>
      </c>
      <c r="I469" s="35">
        <f>F469*AP469</f>
        <v>0</v>
      </c>
      <c r="J469" s="35">
        <f>F469*G469</f>
        <v>0</v>
      </c>
      <c r="K469" s="35">
        <v>0</v>
      </c>
      <c r="L469" s="35">
        <f>F469*K469</f>
        <v>0</v>
      </c>
      <c r="M469" s="36" t="s">
        <v>57</v>
      </c>
      <c r="Z469" s="35">
        <f>IF(AQ469="5",BJ469,0)</f>
        <v>0</v>
      </c>
      <c r="AB469" s="35">
        <f>IF(AQ469="1",BH469,0)</f>
        <v>0</v>
      </c>
      <c r="AC469" s="35">
        <f>IF(AQ469="1",BI469,0)</f>
        <v>0</v>
      </c>
      <c r="AD469" s="35">
        <f>IF(AQ469="7",BH469,0)</f>
        <v>0</v>
      </c>
      <c r="AE469" s="35">
        <f>IF(AQ469="7",BI469,0)</f>
        <v>0</v>
      </c>
      <c r="AF469" s="35">
        <f>IF(AQ469="2",BH469,0)</f>
        <v>0</v>
      </c>
      <c r="AG469" s="35">
        <f>IF(AQ469="2",BI469,0)</f>
        <v>0</v>
      </c>
      <c r="AH469" s="35">
        <f>IF(AQ469="0",BJ469,0)</f>
        <v>0</v>
      </c>
      <c r="AI469" s="21"/>
      <c r="AJ469" s="35">
        <f>IF(AN469=0,J469,0)</f>
        <v>0</v>
      </c>
      <c r="AK469" s="35">
        <f>IF(AN469=15,J469,0)</f>
        <v>0</v>
      </c>
      <c r="AL469" s="35">
        <f>IF(AN469=21,J469,0)</f>
        <v>0</v>
      </c>
      <c r="AN469" s="35">
        <v>15</v>
      </c>
      <c r="AO469" s="35">
        <f>G469*0.690322580645161</f>
        <v>0</v>
      </c>
      <c r="AP469" s="35">
        <f>G469*(1-0.690322580645161)</f>
        <v>0</v>
      </c>
      <c r="AQ469" s="37" t="s">
        <v>60</v>
      </c>
      <c r="AV469" s="35">
        <f>AW469+AX469</f>
        <v>0</v>
      </c>
      <c r="AW469" s="35">
        <f>F469*AO469</f>
        <v>0</v>
      </c>
      <c r="AX469" s="35">
        <f>F469*AP469</f>
        <v>0</v>
      </c>
      <c r="AY469" s="37" t="s">
        <v>872</v>
      </c>
      <c r="AZ469" s="37" t="s">
        <v>786</v>
      </c>
      <c r="BA469" s="21" t="s">
        <v>59</v>
      </c>
      <c r="BC469" s="35">
        <f>AW469+AX469</f>
        <v>0</v>
      </c>
      <c r="BD469" s="35">
        <f>G469/(100-BE469)*100</f>
        <v>0</v>
      </c>
      <c r="BE469" s="35">
        <v>0</v>
      </c>
      <c r="BF469" s="35">
        <f>L469</f>
        <v>0</v>
      </c>
      <c r="BH469" s="35">
        <f>F469*AO469</f>
        <v>0</v>
      </c>
      <c r="BI469" s="35">
        <f>F469*AP469</f>
        <v>0</v>
      </c>
      <c r="BJ469" s="35">
        <f>F469*G469</f>
        <v>0</v>
      </c>
      <c r="BK469" s="35"/>
      <c r="BL469" s="35"/>
    </row>
    <row r="470" spans="1:13" ht="15" customHeight="1">
      <c r="A470" s="38"/>
      <c r="C470" s="39" t="s">
        <v>288</v>
      </c>
      <c r="D470" s="39" t="s">
        <v>876</v>
      </c>
      <c r="F470" s="40">
        <v>40</v>
      </c>
      <c r="M470" s="41"/>
    </row>
    <row r="471" spans="1:64" ht="15" customHeight="1">
      <c r="A471" s="34" t="s">
        <v>905</v>
      </c>
      <c r="B471" s="11" t="s">
        <v>906</v>
      </c>
      <c r="C471" s="11" t="s">
        <v>907</v>
      </c>
      <c r="D471" s="11"/>
      <c r="E471" s="11" t="s">
        <v>93</v>
      </c>
      <c r="F471" s="35">
        <v>490</v>
      </c>
      <c r="G471" s="35">
        <v>0</v>
      </c>
      <c r="H471" s="35">
        <f>F471*AO471</f>
        <v>0</v>
      </c>
      <c r="I471" s="35">
        <f>F471*AP471</f>
        <v>0</v>
      </c>
      <c r="J471" s="35">
        <f>F471*G471</f>
        <v>0</v>
      </c>
      <c r="K471" s="35">
        <v>3E-05</v>
      </c>
      <c r="L471" s="35">
        <f>F471*K471</f>
        <v>0</v>
      </c>
      <c r="M471" s="36" t="s">
        <v>57</v>
      </c>
      <c r="Z471" s="35">
        <f>IF(AQ471="5",BJ471,0)</f>
        <v>0</v>
      </c>
      <c r="AB471" s="35">
        <f>IF(AQ471="1",BH471,0)</f>
        <v>0</v>
      </c>
      <c r="AC471" s="35">
        <f>IF(AQ471="1",BI471,0)</f>
        <v>0</v>
      </c>
      <c r="AD471" s="35">
        <f>IF(AQ471="7",BH471,0)</f>
        <v>0</v>
      </c>
      <c r="AE471" s="35">
        <f>IF(AQ471="7",BI471,0)</f>
        <v>0</v>
      </c>
      <c r="AF471" s="35">
        <f>IF(AQ471="2",BH471,0)</f>
        <v>0</v>
      </c>
      <c r="AG471" s="35">
        <f>IF(AQ471="2",BI471,0)</f>
        <v>0</v>
      </c>
      <c r="AH471" s="35">
        <f>IF(AQ471="0",BJ471,0)</f>
        <v>0</v>
      </c>
      <c r="AI471" s="21"/>
      <c r="AJ471" s="35">
        <f>IF(AN471=0,J471,0)</f>
        <v>0</v>
      </c>
      <c r="AK471" s="35">
        <f>IF(AN471=15,J471,0)</f>
        <v>0</v>
      </c>
      <c r="AL471" s="35">
        <f>IF(AN471=21,J471,0)</f>
        <v>0</v>
      </c>
      <c r="AN471" s="35">
        <v>15</v>
      </c>
      <c r="AO471" s="35">
        <f>G471*0.221071428571429</f>
        <v>0</v>
      </c>
      <c r="AP471" s="35">
        <f>G471*(1-0.221071428571429)</f>
        <v>0</v>
      </c>
      <c r="AQ471" s="37" t="s">
        <v>60</v>
      </c>
      <c r="AV471" s="35">
        <f>AW471+AX471</f>
        <v>0</v>
      </c>
      <c r="AW471" s="35">
        <f>F471*AO471</f>
        <v>0</v>
      </c>
      <c r="AX471" s="35">
        <f>F471*AP471</f>
        <v>0</v>
      </c>
      <c r="AY471" s="37" t="s">
        <v>872</v>
      </c>
      <c r="AZ471" s="37" t="s">
        <v>786</v>
      </c>
      <c r="BA471" s="21" t="s">
        <v>59</v>
      </c>
      <c r="BC471" s="35">
        <f>AW471+AX471</f>
        <v>0</v>
      </c>
      <c r="BD471" s="35">
        <f>G471/(100-BE471)*100</f>
        <v>0</v>
      </c>
      <c r="BE471" s="35">
        <v>0</v>
      </c>
      <c r="BF471" s="35">
        <f>L471</f>
        <v>0</v>
      </c>
      <c r="BH471" s="35">
        <f>F471*AO471</f>
        <v>0</v>
      </c>
      <c r="BI471" s="35">
        <f>F471*AP471</f>
        <v>0</v>
      </c>
      <c r="BJ471" s="35">
        <f>F471*G471</f>
        <v>0</v>
      </c>
      <c r="BK471" s="35"/>
      <c r="BL471" s="35"/>
    </row>
    <row r="472" spans="1:13" ht="15" customHeight="1">
      <c r="A472" s="38"/>
      <c r="C472" s="39" t="s">
        <v>908</v>
      </c>
      <c r="D472" s="39" t="s">
        <v>876</v>
      </c>
      <c r="F472" s="40">
        <v>490.00000000000006</v>
      </c>
      <c r="M472" s="41"/>
    </row>
    <row r="473" spans="1:64" ht="15" customHeight="1">
      <c r="A473" s="34" t="s">
        <v>909</v>
      </c>
      <c r="B473" s="11" t="s">
        <v>910</v>
      </c>
      <c r="C473" s="11" t="s">
        <v>911</v>
      </c>
      <c r="D473" s="11"/>
      <c r="E473" s="11" t="s">
        <v>93</v>
      </c>
      <c r="F473" s="35">
        <v>950</v>
      </c>
      <c r="G473" s="35">
        <v>0</v>
      </c>
      <c r="H473" s="35">
        <f>F473*AO473</f>
        <v>0</v>
      </c>
      <c r="I473" s="35">
        <f>F473*AP473</f>
        <v>0</v>
      </c>
      <c r="J473" s="35">
        <f>F473*G473</f>
        <v>0</v>
      </c>
      <c r="K473" s="35">
        <v>0.00016</v>
      </c>
      <c r="L473" s="35">
        <f>F473*K473</f>
        <v>0</v>
      </c>
      <c r="M473" s="36" t="s">
        <v>57</v>
      </c>
      <c r="Z473" s="35">
        <f>IF(AQ473="5",BJ473,0)</f>
        <v>0</v>
      </c>
      <c r="AB473" s="35">
        <f>IF(AQ473="1",BH473,0)</f>
        <v>0</v>
      </c>
      <c r="AC473" s="35">
        <f>IF(AQ473="1",BI473,0)</f>
        <v>0</v>
      </c>
      <c r="AD473" s="35">
        <f>IF(AQ473="7",BH473,0)</f>
        <v>0</v>
      </c>
      <c r="AE473" s="35">
        <f>IF(AQ473="7",BI473,0)</f>
        <v>0</v>
      </c>
      <c r="AF473" s="35">
        <f>IF(AQ473="2",BH473,0)</f>
        <v>0</v>
      </c>
      <c r="AG473" s="35">
        <f>IF(AQ473="2",BI473,0)</f>
        <v>0</v>
      </c>
      <c r="AH473" s="35">
        <f>IF(AQ473="0",BJ473,0)</f>
        <v>0</v>
      </c>
      <c r="AI473" s="21"/>
      <c r="AJ473" s="35">
        <f>IF(AN473=0,J473,0)</f>
        <v>0</v>
      </c>
      <c r="AK473" s="35">
        <f>IF(AN473=15,J473,0)</f>
        <v>0</v>
      </c>
      <c r="AL473" s="35">
        <f>IF(AN473=21,J473,0)</f>
        <v>0</v>
      </c>
      <c r="AN473" s="35">
        <v>15</v>
      </c>
      <c r="AO473" s="35">
        <f>G473*0.29936170212766</f>
        <v>0</v>
      </c>
      <c r="AP473" s="35">
        <f>G473*(1-0.29936170212766)</f>
        <v>0</v>
      </c>
      <c r="AQ473" s="37" t="s">
        <v>60</v>
      </c>
      <c r="AV473" s="35">
        <f>AW473+AX473</f>
        <v>0</v>
      </c>
      <c r="AW473" s="35">
        <f>F473*AO473</f>
        <v>0</v>
      </c>
      <c r="AX473" s="35">
        <f>F473*AP473</f>
        <v>0</v>
      </c>
      <c r="AY473" s="37" t="s">
        <v>872</v>
      </c>
      <c r="AZ473" s="37" t="s">
        <v>786</v>
      </c>
      <c r="BA473" s="21" t="s">
        <v>59</v>
      </c>
      <c r="BC473" s="35">
        <f>AW473+AX473</f>
        <v>0</v>
      </c>
      <c r="BD473" s="35">
        <f>G473/(100-BE473)*100</f>
        <v>0</v>
      </c>
      <c r="BE473" s="35">
        <v>0</v>
      </c>
      <c r="BF473" s="35">
        <f>L473</f>
        <v>0</v>
      </c>
      <c r="BH473" s="35">
        <f>F473*AO473</f>
        <v>0</v>
      </c>
      <c r="BI473" s="35">
        <f>F473*AP473</f>
        <v>0</v>
      </c>
      <c r="BJ473" s="35">
        <f>F473*G473</f>
        <v>0</v>
      </c>
      <c r="BK473" s="35"/>
      <c r="BL473" s="35"/>
    </row>
    <row r="474" spans="1:13" ht="15" customHeight="1">
      <c r="A474" s="38"/>
      <c r="C474" s="39" t="s">
        <v>912</v>
      </c>
      <c r="D474" s="39" t="s">
        <v>876</v>
      </c>
      <c r="F474" s="40">
        <v>950.0000000000001</v>
      </c>
      <c r="M474" s="41"/>
    </row>
    <row r="475" spans="1:64" ht="15" customHeight="1">
      <c r="A475" s="34" t="s">
        <v>913</v>
      </c>
      <c r="B475" s="11" t="s">
        <v>914</v>
      </c>
      <c r="C475" s="11" t="s">
        <v>915</v>
      </c>
      <c r="D475" s="11"/>
      <c r="E475" s="11" t="s">
        <v>163</v>
      </c>
      <c r="F475" s="35">
        <v>422</v>
      </c>
      <c r="G475" s="35">
        <v>0</v>
      </c>
      <c r="H475" s="35">
        <f>F475*AO475</f>
        <v>0</v>
      </c>
      <c r="I475" s="35">
        <f>F475*AP475</f>
        <v>0</v>
      </c>
      <c r="J475" s="35">
        <f>F475*G475</f>
        <v>0</v>
      </c>
      <c r="K475" s="35">
        <v>0</v>
      </c>
      <c r="L475" s="35">
        <f>F475*K475</f>
        <v>0</v>
      </c>
      <c r="M475" s="36" t="s">
        <v>57</v>
      </c>
      <c r="Z475" s="35">
        <f>IF(AQ475="5",BJ475,0)</f>
        <v>0</v>
      </c>
      <c r="AB475" s="35">
        <f>IF(AQ475="1",BH475,0)</f>
        <v>0</v>
      </c>
      <c r="AC475" s="35">
        <f>IF(AQ475="1",BI475,0)</f>
        <v>0</v>
      </c>
      <c r="AD475" s="35">
        <f>IF(AQ475="7",BH475,0)</f>
        <v>0</v>
      </c>
      <c r="AE475" s="35">
        <f>IF(AQ475="7",BI475,0)</f>
        <v>0</v>
      </c>
      <c r="AF475" s="35">
        <f>IF(AQ475="2",BH475,0)</f>
        <v>0</v>
      </c>
      <c r="AG475" s="35">
        <f>IF(AQ475="2",BI475,0)</f>
        <v>0</v>
      </c>
      <c r="AH475" s="35">
        <f>IF(AQ475="0",BJ475,0)</f>
        <v>0</v>
      </c>
      <c r="AI475" s="21"/>
      <c r="AJ475" s="35">
        <f>IF(AN475=0,J475,0)</f>
        <v>0</v>
      </c>
      <c r="AK475" s="35">
        <f>IF(AN475=15,J475,0)</f>
        <v>0</v>
      </c>
      <c r="AL475" s="35">
        <f>IF(AN475=21,J475,0)</f>
        <v>0</v>
      </c>
      <c r="AN475" s="35">
        <v>15</v>
      </c>
      <c r="AO475" s="35">
        <f>G475*0</f>
        <v>0</v>
      </c>
      <c r="AP475" s="35">
        <f>G475*(1-0)</f>
        <v>0</v>
      </c>
      <c r="AQ475" s="37" t="s">
        <v>60</v>
      </c>
      <c r="AV475" s="35">
        <f>AW475+AX475</f>
        <v>0</v>
      </c>
      <c r="AW475" s="35">
        <f>F475*AO475</f>
        <v>0</v>
      </c>
      <c r="AX475" s="35">
        <f>F475*AP475</f>
        <v>0</v>
      </c>
      <c r="AY475" s="37" t="s">
        <v>872</v>
      </c>
      <c r="AZ475" s="37" t="s">
        <v>786</v>
      </c>
      <c r="BA475" s="21" t="s">
        <v>59</v>
      </c>
      <c r="BC475" s="35">
        <f>AW475+AX475</f>
        <v>0</v>
      </c>
      <c r="BD475" s="35">
        <f>G475/(100-BE475)*100</f>
        <v>0</v>
      </c>
      <c r="BE475" s="35">
        <v>0</v>
      </c>
      <c r="BF475" s="35">
        <f>L475</f>
        <v>0</v>
      </c>
      <c r="BH475" s="35">
        <f>F475*AO475</f>
        <v>0</v>
      </c>
      <c r="BI475" s="35">
        <f>F475*AP475</f>
        <v>0</v>
      </c>
      <c r="BJ475" s="35">
        <f>F475*G475</f>
        <v>0</v>
      </c>
      <c r="BK475" s="35"/>
      <c r="BL475" s="35"/>
    </row>
    <row r="476" spans="1:13" ht="15" customHeight="1">
      <c r="A476" s="38"/>
      <c r="C476" s="39" t="s">
        <v>916</v>
      </c>
      <c r="D476" s="39"/>
      <c r="F476" s="40">
        <v>422.00000000000006</v>
      </c>
      <c r="M476" s="41"/>
    </row>
    <row r="477" spans="1:64" ht="15" customHeight="1">
      <c r="A477" s="34" t="s">
        <v>917</v>
      </c>
      <c r="B477" s="11" t="s">
        <v>918</v>
      </c>
      <c r="C477" s="11" t="s">
        <v>919</v>
      </c>
      <c r="D477" s="11"/>
      <c r="E477" s="11" t="s">
        <v>163</v>
      </c>
      <c r="F477" s="35">
        <v>70</v>
      </c>
      <c r="G477" s="35">
        <v>0</v>
      </c>
      <c r="H477" s="35">
        <f>F477*AO477</f>
        <v>0</v>
      </c>
      <c r="I477" s="35">
        <f>F477*AP477</f>
        <v>0</v>
      </c>
      <c r="J477" s="35">
        <f>F477*G477</f>
        <v>0</v>
      </c>
      <c r="K477" s="35">
        <v>0</v>
      </c>
      <c r="L477" s="35">
        <f>F477*K477</f>
        <v>0</v>
      </c>
      <c r="M477" s="36" t="s">
        <v>57</v>
      </c>
      <c r="Z477" s="35">
        <f>IF(AQ477="5",BJ477,0)</f>
        <v>0</v>
      </c>
      <c r="AB477" s="35">
        <f>IF(AQ477="1",BH477,0)</f>
        <v>0</v>
      </c>
      <c r="AC477" s="35">
        <f>IF(AQ477="1",BI477,0)</f>
        <v>0</v>
      </c>
      <c r="AD477" s="35">
        <f>IF(AQ477="7",BH477,0)</f>
        <v>0</v>
      </c>
      <c r="AE477" s="35">
        <f>IF(AQ477="7",BI477,0)</f>
        <v>0</v>
      </c>
      <c r="AF477" s="35">
        <f>IF(AQ477="2",BH477,0)</f>
        <v>0</v>
      </c>
      <c r="AG477" s="35">
        <f>IF(AQ477="2",BI477,0)</f>
        <v>0</v>
      </c>
      <c r="AH477" s="35">
        <f>IF(AQ477="0",BJ477,0)</f>
        <v>0</v>
      </c>
      <c r="AI477" s="21"/>
      <c r="AJ477" s="35">
        <f>IF(AN477=0,J477,0)</f>
        <v>0</v>
      </c>
      <c r="AK477" s="35">
        <f>IF(AN477=15,J477,0)</f>
        <v>0</v>
      </c>
      <c r="AL477" s="35">
        <f>IF(AN477=21,J477,0)</f>
        <v>0</v>
      </c>
      <c r="AN477" s="35">
        <v>15</v>
      </c>
      <c r="AO477" s="35">
        <f>G477*0</f>
        <v>0</v>
      </c>
      <c r="AP477" s="35">
        <f>G477*(1-0)</f>
        <v>0</v>
      </c>
      <c r="AQ477" s="37" t="s">
        <v>60</v>
      </c>
      <c r="AV477" s="35">
        <f>AW477+AX477</f>
        <v>0</v>
      </c>
      <c r="AW477" s="35">
        <f>F477*AO477</f>
        <v>0</v>
      </c>
      <c r="AX477" s="35">
        <f>F477*AP477</f>
        <v>0</v>
      </c>
      <c r="AY477" s="37" t="s">
        <v>872</v>
      </c>
      <c r="AZ477" s="37" t="s">
        <v>786</v>
      </c>
      <c r="BA477" s="21" t="s">
        <v>59</v>
      </c>
      <c r="BC477" s="35">
        <f>AW477+AX477</f>
        <v>0</v>
      </c>
      <c r="BD477" s="35">
        <f>G477/(100-BE477)*100</f>
        <v>0</v>
      </c>
      <c r="BE477" s="35">
        <v>0</v>
      </c>
      <c r="BF477" s="35">
        <f>L477</f>
        <v>0</v>
      </c>
      <c r="BH477" s="35">
        <f>F477*AO477</f>
        <v>0</v>
      </c>
      <c r="BI477" s="35">
        <f>F477*AP477</f>
        <v>0</v>
      </c>
      <c r="BJ477" s="35">
        <f>F477*G477</f>
        <v>0</v>
      </c>
      <c r="BK477" s="35"/>
      <c r="BL477" s="35"/>
    </row>
    <row r="478" spans="1:13" ht="15" customHeight="1">
      <c r="A478" s="38"/>
      <c r="C478" s="39" t="s">
        <v>426</v>
      </c>
      <c r="D478" s="39"/>
      <c r="F478" s="40">
        <v>70</v>
      </c>
      <c r="M478" s="41"/>
    </row>
    <row r="479" spans="1:64" ht="15" customHeight="1">
      <c r="A479" s="34" t="s">
        <v>920</v>
      </c>
      <c r="B479" s="11" t="s">
        <v>921</v>
      </c>
      <c r="C479" s="11" t="s">
        <v>922</v>
      </c>
      <c r="D479" s="11"/>
      <c r="E479" s="11" t="s">
        <v>163</v>
      </c>
      <c r="F479" s="35">
        <v>1</v>
      </c>
      <c r="G479" s="35">
        <v>0</v>
      </c>
      <c r="H479" s="35">
        <f>F479*AO479</f>
        <v>0</v>
      </c>
      <c r="I479" s="35">
        <f>F479*AP479</f>
        <v>0</v>
      </c>
      <c r="J479" s="35">
        <f>F479*G479</f>
        <v>0</v>
      </c>
      <c r="K479" s="35">
        <v>0</v>
      </c>
      <c r="L479" s="35">
        <f>F479*K479</f>
        <v>0</v>
      </c>
      <c r="M479" s="36" t="s">
        <v>57</v>
      </c>
      <c r="Z479" s="35">
        <f>IF(AQ479="5",BJ479,0)</f>
        <v>0</v>
      </c>
      <c r="AB479" s="35">
        <f>IF(AQ479="1",BH479,0)</f>
        <v>0</v>
      </c>
      <c r="AC479" s="35">
        <f>IF(AQ479="1",BI479,0)</f>
        <v>0</v>
      </c>
      <c r="AD479" s="35">
        <f>IF(AQ479="7",BH479,0)</f>
        <v>0</v>
      </c>
      <c r="AE479" s="35">
        <f>IF(AQ479="7",BI479,0)</f>
        <v>0</v>
      </c>
      <c r="AF479" s="35">
        <f>IF(AQ479="2",BH479,0)</f>
        <v>0</v>
      </c>
      <c r="AG479" s="35">
        <f>IF(AQ479="2",BI479,0)</f>
        <v>0</v>
      </c>
      <c r="AH479" s="35">
        <f>IF(AQ479="0",BJ479,0)</f>
        <v>0</v>
      </c>
      <c r="AI479" s="21"/>
      <c r="AJ479" s="35">
        <f>IF(AN479=0,J479,0)</f>
        <v>0</v>
      </c>
      <c r="AK479" s="35">
        <f>IF(AN479=15,J479,0)</f>
        <v>0</v>
      </c>
      <c r="AL479" s="35">
        <f>IF(AN479=21,J479,0)</f>
        <v>0</v>
      </c>
      <c r="AN479" s="35">
        <v>15</v>
      </c>
      <c r="AO479" s="35">
        <f>G479*0</f>
        <v>0</v>
      </c>
      <c r="AP479" s="35">
        <f>G479*(1-0)</f>
        <v>0</v>
      </c>
      <c r="AQ479" s="37" t="s">
        <v>60</v>
      </c>
      <c r="AV479" s="35">
        <f>AW479+AX479</f>
        <v>0</v>
      </c>
      <c r="AW479" s="35">
        <f>F479*AO479</f>
        <v>0</v>
      </c>
      <c r="AX479" s="35">
        <f>F479*AP479</f>
        <v>0</v>
      </c>
      <c r="AY479" s="37" t="s">
        <v>872</v>
      </c>
      <c r="AZ479" s="37" t="s">
        <v>786</v>
      </c>
      <c r="BA479" s="21" t="s">
        <v>59</v>
      </c>
      <c r="BC479" s="35">
        <f>AW479+AX479</f>
        <v>0</v>
      </c>
      <c r="BD479" s="35">
        <f>G479/(100-BE479)*100</f>
        <v>0</v>
      </c>
      <c r="BE479" s="35">
        <v>0</v>
      </c>
      <c r="BF479" s="35">
        <f>L479</f>
        <v>0</v>
      </c>
      <c r="BH479" s="35">
        <f>F479*AO479</f>
        <v>0</v>
      </c>
      <c r="BI479" s="35">
        <f>F479*AP479</f>
        <v>0</v>
      </c>
      <c r="BJ479" s="35">
        <f>F479*G479</f>
        <v>0</v>
      </c>
      <c r="BK479" s="35"/>
      <c r="BL479" s="35"/>
    </row>
    <row r="480" spans="1:13" ht="15" customHeight="1">
      <c r="A480" s="38"/>
      <c r="C480" s="39" t="s">
        <v>53</v>
      </c>
      <c r="D480" s="39"/>
      <c r="F480" s="40">
        <v>1</v>
      </c>
      <c r="M480" s="41"/>
    </row>
    <row r="481" spans="1:64" ht="15" customHeight="1">
      <c r="A481" s="34" t="s">
        <v>923</v>
      </c>
      <c r="B481" s="11" t="s">
        <v>869</v>
      </c>
      <c r="C481" s="11" t="s">
        <v>924</v>
      </c>
      <c r="D481" s="11"/>
      <c r="E481" s="11" t="s">
        <v>163</v>
      </c>
      <c r="F481" s="35">
        <v>1</v>
      </c>
      <c r="G481" s="35">
        <v>0</v>
      </c>
      <c r="H481" s="35">
        <f>F481*AO481</f>
        <v>0</v>
      </c>
      <c r="I481" s="35">
        <f>F481*AP481</f>
        <v>0</v>
      </c>
      <c r="J481" s="35">
        <f>F481*G481</f>
        <v>0</v>
      </c>
      <c r="K481" s="35">
        <v>0</v>
      </c>
      <c r="L481" s="35">
        <f>F481*K481</f>
        <v>0</v>
      </c>
      <c r="M481" s="36" t="s">
        <v>57</v>
      </c>
      <c r="Z481" s="35">
        <f>IF(AQ481="5",BJ481,0)</f>
        <v>0</v>
      </c>
      <c r="AB481" s="35">
        <f>IF(AQ481="1",BH481,0)</f>
        <v>0</v>
      </c>
      <c r="AC481" s="35">
        <f>IF(AQ481="1",BI481,0)</f>
        <v>0</v>
      </c>
      <c r="AD481" s="35">
        <f>IF(AQ481="7",BH481,0)</f>
        <v>0</v>
      </c>
      <c r="AE481" s="35">
        <f>IF(AQ481="7",BI481,0)</f>
        <v>0</v>
      </c>
      <c r="AF481" s="35">
        <f>IF(AQ481="2",BH481,0)</f>
        <v>0</v>
      </c>
      <c r="AG481" s="35">
        <f>IF(AQ481="2",BI481,0)</f>
        <v>0</v>
      </c>
      <c r="AH481" s="35">
        <f>IF(AQ481="0",BJ481,0)</f>
        <v>0</v>
      </c>
      <c r="AI481" s="21"/>
      <c r="AJ481" s="35">
        <f>IF(AN481=0,J481,0)</f>
        <v>0</v>
      </c>
      <c r="AK481" s="35">
        <f>IF(AN481=15,J481,0)</f>
        <v>0</v>
      </c>
      <c r="AL481" s="35">
        <f>IF(AN481=21,J481,0)</f>
        <v>0</v>
      </c>
      <c r="AN481" s="35">
        <v>15</v>
      </c>
      <c r="AO481" s="35">
        <f>G481*1</f>
        <v>0</v>
      </c>
      <c r="AP481" s="35">
        <f>G481*(1-1)</f>
        <v>0</v>
      </c>
      <c r="AQ481" s="37" t="s">
        <v>60</v>
      </c>
      <c r="AV481" s="35">
        <f>AW481+AX481</f>
        <v>0</v>
      </c>
      <c r="AW481" s="35">
        <f>F481*AO481</f>
        <v>0</v>
      </c>
      <c r="AX481" s="35">
        <f>F481*AP481</f>
        <v>0</v>
      </c>
      <c r="AY481" s="37" t="s">
        <v>872</v>
      </c>
      <c r="AZ481" s="37" t="s">
        <v>786</v>
      </c>
      <c r="BA481" s="21" t="s">
        <v>59</v>
      </c>
      <c r="BC481" s="35">
        <f>AW481+AX481</f>
        <v>0</v>
      </c>
      <c r="BD481" s="35">
        <f>G481/(100-BE481)*100</f>
        <v>0</v>
      </c>
      <c r="BE481" s="35">
        <v>0</v>
      </c>
      <c r="BF481" s="35">
        <f>L481</f>
        <v>0</v>
      </c>
      <c r="BH481" s="35">
        <f>F481*AO481</f>
        <v>0</v>
      </c>
      <c r="BI481" s="35">
        <f>F481*AP481</f>
        <v>0</v>
      </c>
      <c r="BJ481" s="35">
        <f>F481*G481</f>
        <v>0</v>
      </c>
      <c r="BK481" s="35"/>
      <c r="BL481" s="35"/>
    </row>
    <row r="482" spans="1:13" ht="15" customHeight="1">
      <c r="A482" s="38"/>
      <c r="C482" s="39" t="s">
        <v>53</v>
      </c>
      <c r="D482" s="39"/>
      <c r="F482" s="40">
        <v>1</v>
      </c>
      <c r="M482" s="41"/>
    </row>
    <row r="483" spans="1:64" ht="15" customHeight="1">
      <c r="A483" s="34" t="s">
        <v>925</v>
      </c>
      <c r="B483" s="11" t="s">
        <v>926</v>
      </c>
      <c r="C483" s="11" t="s">
        <v>927</v>
      </c>
      <c r="D483" s="11"/>
      <c r="E483" s="11" t="s">
        <v>163</v>
      </c>
      <c r="F483" s="35">
        <v>23</v>
      </c>
      <c r="G483" s="35">
        <v>0</v>
      </c>
      <c r="H483" s="35">
        <f>F483*AO483</f>
        <v>0</v>
      </c>
      <c r="I483" s="35">
        <f>F483*AP483</f>
        <v>0</v>
      </c>
      <c r="J483" s="35">
        <f>F483*G483</f>
        <v>0</v>
      </c>
      <c r="K483" s="35">
        <v>4E-05</v>
      </c>
      <c r="L483" s="35">
        <f>F483*K483</f>
        <v>0</v>
      </c>
      <c r="M483" s="36" t="s">
        <v>57</v>
      </c>
      <c r="Z483" s="35">
        <f>IF(AQ483="5",BJ483,0)</f>
        <v>0</v>
      </c>
      <c r="AB483" s="35">
        <f>IF(AQ483="1",BH483,0)</f>
        <v>0</v>
      </c>
      <c r="AC483" s="35">
        <f>IF(AQ483="1",BI483,0)</f>
        <v>0</v>
      </c>
      <c r="AD483" s="35">
        <f>IF(AQ483="7",BH483,0)</f>
        <v>0</v>
      </c>
      <c r="AE483" s="35">
        <f>IF(AQ483="7",BI483,0)</f>
        <v>0</v>
      </c>
      <c r="AF483" s="35">
        <f>IF(AQ483="2",BH483,0)</f>
        <v>0</v>
      </c>
      <c r="AG483" s="35">
        <f>IF(AQ483="2",BI483,0)</f>
        <v>0</v>
      </c>
      <c r="AH483" s="35">
        <f>IF(AQ483="0",BJ483,0)</f>
        <v>0</v>
      </c>
      <c r="AI483" s="21"/>
      <c r="AJ483" s="35">
        <f>IF(AN483=0,J483,0)</f>
        <v>0</v>
      </c>
      <c r="AK483" s="35">
        <f>IF(AN483=15,J483,0)</f>
        <v>0</v>
      </c>
      <c r="AL483" s="35">
        <f>IF(AN483=21,J483,0)</f>
        <v>0</v>
      </c>
      <c r="AN483" s="35">
        <v>15</v>
      </c>
      <c r="AO483" s="35">
        <f>G483*0.440194931773879</f>
        <v>0</v>
      </c>
      <c r="AP483" s="35">
        <f>G483*(1-0.440194931773879)</f>
        <v>0</v>
      </c>
      <c r="AQ483" s="37" t="s">
        <v>60</v>
      </c>
      <c r="AV483" s="35">
        <f>AW483+AX483</f>
        <v>0</v>
      </c>
      <c r="AW483" s="35">
        <f>F483*AO483</f>
        <v>0</v>
      </c>
      <c r="AX483" s="35">
        <f>F483*AP483</f>
        <v>0</v>
      </c>
      <c r="AY483" s="37" t="s">
        <v>872</v>
      </c>
      <c r="AZ483" s="37" t="s">
        <v>786</v>
      </c>
      <c r="BA483" s="21" t="s">
        <v>59</v>
      </c>
      <c r="BC483" s="35">
        <f>AW483+AX483</f>
        <v>0</v>
      </c>
      <c r="BD483" s="35">
        <f>G483/(100-BE483)*100</f>
        <v>0</v>
      </c>
      <c r="BE483" s="35">
        <v>0</v>
      </c>
      <c r="BF483" s="35">
        <f>L483</f>
        <v>0</v>
      </c>
      <c r="BH483" s="35">
        <f>F483*AO483</f>
        <v>0</v>
      </c>
      <c r="BI483" s="35">
        <f>F483*AP483</f>
        <v>0</v>
      </c>
      <c r="BJ483" s="35">
        <f>F483*G483</f>
        <v>0</v>
      </c>
      <c r="BK483" s="35"/>
      <c r="BL483" s="35"/>
    </row>
    <row r="484" spans="1:13" ht="15" customHeight="1">
      <c r="A484" s="38"/>
      <c r="C484" s="39" t="s">
        <v>184</v>
      </c>
      <c r="D484" s="39"/>
      <c r="F484" s="40">
        <v>23.000000000000004</v>
      </c>
      <c r="M484" s="41"/>
    </row>
    <row r="485" spans="1:64" ht="15" customHeight="1">
      <c r="A485" s="34" t="s">
        <v>928</v>
      </c>
      <c r="B485" s="11" t="s">
        <v>929</v>
      </c>
      <c r="C485" s="11" t="s">
        <v>930</v>
      </c>
      <c r="D485" s="11"/>
      <c r="E485" s="11" t="s">
        <v>163</v>
      </c>
      <c r="F485" s="35">
        <v>36</v>
      </c>
      <c r="G485" s="35">
        <v>0</v>
      </c>
      <c r="H485" s="35">
        <f>F485*AO485</f>
        <v>0</v>
      </c>
      <c r="I485" s="35">
        <f>F485*AP485</f>
        <v>0</v>
      </c>
      <c r="J485" s="35">
        <f>F485*G485</f>
        <v>0</v>
      </c>
      <c r="K485" s="35">
        <v>4E-05</v>
      </c>
      <c r="L485" s="35">
        <f>F485*K485</f>
        <v>0</v>
      </c>
      <c r="M485" s="36" t="s">
        <v>57</v>
      </c>
      <c r="Z485" s="35">
        <f>IF(AQ485="5",BJ485,0)</f>
        <v>0</v>
      </c>
      <c r="AB485" s="35">
        <f>IF(AQ485="1",BH485,0)</f>
        <v>0</v>
      </c>
      <c r="AC485" s="35">
        <f>IF(AQ485="1",BI485,0)</f>
        <v>0</v>
      </c>
      <c r="AD485" s="35">
        <f>IF(AQ485="7",BH485,0)</f>
        <v>0</v>
      </c>
      <c r="AE485" s="35">
        <f>IF(AQ485="7",BI485,0)</f>
        <v>0</v>
      </c>
      <c r="AF485" s="35">
        <f>IF(AQ485="2",BH485,0)</f>
        <v>0</v>
      </c>
      <c r="AG485" s="35">
        <f>IF(AQ485="2",BI485,0)</f>
        <v>0</v>
      </c>
      <c r="AH485" s="35">
        <f>IF(AQ485="0",BJ485,0)</f>
        <v>0</v>
      </c>
      <c r="AI485" s="21"/>
      <c r="AJ485" s="35">
        <f>IF(AN485=0,J485,0)</f>
        <v>0</v>
      </c>
      <c r="AK485" s="35">
        <f>IF(AN485=15,J485,0)</f>
        <v>0</v>
      </c>
      <c r="AL485" s="35">
        <f>IF(AN485=21,J485,0)</f>
        <v>0</v>
      </c>
      <c r="AN485" s="35">
        <v>15</v>
      </c>
      <c r="AO485" s="35">
        <f>G485*0.485896147403685</f>
        <v>0</v>
      </c>
      <c r="AP485" s="35">
        <f>G485*(1-0.485896147403685)</f>
        <v>0</v>
      </c>
      <c r="AQ485" s="37" t="s">
        <v>60</v>
      </c>
      <c r="AV485" s="35">
        <f>AW485+AX485</f>
        <v>0</v>
      </c>
      <c r="AW485" s="35">
        <f>F485*AO485</f>
        <v>0</v>
      </c>
      <c r="AX485" s="35">
        <f>F485*AP485</f>
        <v>0</v>
      </c>
      <c r="AY485" s="37" t="s">
        <v>872</v>
      </c>
      <c r="AZ485" s="37" t="s">
        <v>786</v>
      </c>
      <c r="BA485" s="21" t="s">
        <v>59</v>
      </c>
      <c r="BC485" s="35">
        <f>AW485+AX485</f>
        <v>0</v>
      </c>
      <c r="BD485" s="35">
        <f>G485/(100-BE485)*100</f>
        <v>0</v>
      </c>
      <c r="BE485" s="35">
        <v>0</v>
      </c>
      <c r="BF485" s="35">
        <f>L485</f>
        <v>0</v>
      </c>
      <c r="BH485" s="35">
        <f>F485*AO485</f>
        <v>0</v>
      </c>
      <c r="BI485" s="35">
        <f>F485*AP485</f>
        <v>0</v>
      </c>
      <c r="BJ485" s="35">
        <f>F485*G485</f>
        <v>0</v>
      </c>
      <c r="BK485" s="35"/>
      <c r="BL485" s="35"/>
    </row>
    <row r="486" spans="1:13" ht="15" customHeight="1">
      <c r="A486" s="38"/>
      <c r="C486" s="39" t="s">
        <v>257</v>
      </c>
      <c r="D486" s="39"/>
      <c r="F486" s="40">
        <v>36</v>
      </c>
      <c r="M486" s="41"/>
    </row>
    <row r="487" spans="1:64" ht="15" customHeight="1">
      <c r="A487" s="34" t="s">
        <v>931</v>
      </c>
      <c r="B487" s="11" t="s">
        <v>932</v>
      </c>
      <c r="C487" s="11" t="s">
        <v>933</v>
      </c>
      <c r="D487" s="11"/>
      <c r="E487" s="11" t="s">
        <v>56</v>
      </c>
      <c r="F487" s="35">
        <v>1</v>
      </c>
      <c r="G487" s="35">
        <v>0</v>
      </c>
      <c r="H487" s="35">
        <f>F487*AO487</f>
        <v>0</v>
      </c>
      <c r="I487" s="35">
        <f>F487*AP487</f>
        <v>0</v>
      </c>
      <c r="J487" s="35">
        <f>F487*G487</f>
        <v>0</v>
      </c>
      <c r="K487" s="35">
        <v>0</v>
      </c>
      <c r="L487" s="35">
        <f>F487*K487</f>
        <v>0</v>
      </c>
      <c r="M487" s="36" t="s">
        <v>57</v>
      </c>
      <c r="Z487" s="35">
        <f>IF(AQ487="5",BJ487,0)</f>
        <v>0</v>
      </c>
      <c r="AB487" s="35">
        <f>IF(AQ487="1",BH487,0)</f>
        <v>0</v>
      </c>
      <c r="AC487" s="35">
        <f>IF(AQ487="1",BI487,0)</f>
        <v>0</v>
      </c>
      <c r="AD487" s="35">
        <f>IF(AQ487="7",BH487,0)</f>
        <v>0</v>
      </c>
      <c r="AE487" s="35">
        <f>IF(AQ487="7",BI487,0)</f>
        <v>0</v>
      </c>
      <c r="AF487" s="35">
        <f>IF(AQ487="2",BH487,0)</f>
        <v>0</v>
      </c>
      <c r="AG487" s="35">
        <f>IF(AQ487="2",BI487,0)</f>
        <v>0</v>
      </c>
      <c r="AH487" s="35">
        <f>IF(AQ487="0",BJ487,0)</f>
        <v>0</v>
      </c>
      <c r="AI487" s="21"/>
      <c r="AJ487" s="35">
        <f>IF(AN487=0,J487,0)</f>
        <v>0</v>
      </c>
      <c r="AK487" s="35">
        <f>IF(AN487=15,J487,0)</f>
        <v>0</v>
      </c>
      <c r="AL487" s="35">
        <f>IF(AN487=21,J487,0)</f>
        <v>0</v>
      </c>
      <c r="AN487" s="35">
        <v>15</v>
      </c>
      <c r="AO487" s="35">
        <f>G487*0</f>
        <v>0</v>
      </c>
      <c r="AP487" s="35">
        <f>G487*(1-0)</f>
        <v>0</v>
      </c>
      <c r="AQ487" s="37" t="s">
        <v>60</v>
      </c>
      <c r="AV487" s="35">
        <f>AW487+AX487</f>
        <v>0</v>
      </c>
      <c r="AW487" s="35">
        <f>F487*AO487</f>
        <v>0</v>
      </c>
      <c r="AX487" s="35">
        <f>F487*AP487</f>
        <v>0</v>
      </c>
      <c r="AY487" s="37" t="s">
        <v>872</v>
      </c>
      <c r="AZ487" s="37" t="s">
        <v>786</v>
      </c>
      <c r="BA487" s="21" t="s">
        <v>59</v>
      </c>
      <c r="BC487" s="35">
        <f>AW487+AX487</f>
        <v>0</v>
      </c>
      <c r="BD487" s="35">
        <f>G487/(100-BE487)*100</f>
        <v>0</v>
      </c>
      <c r="BE487" s="35">
        <v>0</v>
      </c>
      <c r="BF487" s="35">
        <f>L487</f>
        <v>0</v>
      </c>
      <c r="BH487" s="35">
        <f>F487*AO487</f>
        <v>0</v>
      </c>
      <c r="BI487" s="35">
        <f>F487*AP487</f>
        <v>0</v>
      </c>
      <c r="BJ487" s="35">
        <f>F487*G487</f>
        <v>0</v>
      </c>
      <c r="BK487" s="35"/>
      <c r="BL487" s="35"/>
    </row>
    <row r="488" spans="1:13" ht="15" customHeight="1">
      <c r="A488" s="38"/>
      <c r="C488" s="39" t="s">
        <v>53</v>
      </c>
      <c r="D488" s="39"/>
      <c r="F488" s="40">
        <v>1</v>
      </c>
      <c r="M488" s="41"/>
    </row>
    <row r="489" spans="1:64" ht="15" customHeight="1">
      <c r="A489" s="34" t="s">
        <v>934</v>
      </c>
      <c r="B489" s="11" t="s">
        <v>935</v>
      </c>
      <c r="C489" s="11" t="s">
        <v>936</v>
      </c>
      <c r="D489" s="11"/>
      <c r="E489" s="11" t="s">
        <v>56</v>
      </c>
      <c r="F489" s="35">
        <v>1</v>
      </c>
      <c r="G489" s="35">
        <v>0</v>
      </c>
      <c r="H489" s="35">
        <f>F489*AO489</f>
        <v>0</v>
      </c>
      <c r="I489" s="35">
        <f>F489*AP489</f>
        <v>0</v>
      </c>
      <c r="J489" s="35">
        <f>F489*G489</f>
        <v>0</v>
      </c>
      <c r="K489" s="35">
        <v>0</v>
      </c>
      <c r="L489" s="35">
        <f>F489*K489</f>
        <v>0</v>
      </c>
      <c r="M489" s="36" t="s">
        <v>57</v>
      </c>
      <c r="Z489" s="35">
        <f>IF(AQ489="5",BJ489,0)</f>
        <v>0</v>
      </c>
      <c r="AB489" s="35">
        <f>IF(AQ489="1",BH489,0)</f>
        <v>0</v>
      </c>
      <c r="AC489" s="35">
        <f>IF(AQ489="1",BI489,0)</f>
        <v>0</v>
      </c>
      <c r="AD489" s="35">
        <f>IF(AQ489="7",BH489,0)</f>
        <v>0</v>
      </c>
      <c r="AE489" s="35">
        <f>IF(AQ489="7",BI489,0)</f>
        <v>0</v>
      </c>
      <c r="AF489" s="35">
        <f>IF(AQ489="2",BH489,0)</f>
        <v>0</v>
      </c>
      <c r="AG489" s="35">
        <f>IF(AQ489="2",BI489,0)</f>
        <v>0</v>
      </c>
      <c r="AH489" s="35">
        <f>IF(AQ489="0",BJ489,0)</f>
        <v>0</v>
      </c>
      <c r="AI489" s="21"/>
      <c r="AJ489" s="35">
        <f>IF(AN489=0,J489,0)</f>
        <v>0</v>
      </c>
      <c r="AK489" s="35">
        <f>IF(AN489=15,J489,0)</f>
        <v>0</v>
      </c>
      <c r="AL489" s="35">
        <f>IF(AN489=21,J489,0)</f>
        <v>0</v>
      </c>
      <c r="AN489" s="35">
        <v>15</v>
      </c>
      <c r="AO489" s="35">
        <f>G489*0</f>
        <v>0</v>
      </c>
      <c r="AP489" s="35">
        <f>G489*(1-0)</f>
        <v>0</v>
      </c>
      <c r="AQ489" s="37" t="s">
        <v>60</v>
      </c>
      <c r="AV489" s="35">
        <f>AW489+AX489</f>
        <v>0</v>
      </c>
      <c r="AW489" s="35">
        <f>F489*AO489</f>
        <v>0</v>
      </c>
      <c r="AX489" s="35">
        <f>F489*AP489</f>
        <v>0</v>
      </c>
      <c r="AY489" s="37" t="s">
        <v>872</v>
      </c>
      <c r="AZ489" s="37" t="s">
        <v>786</v>
      </c>
      <c r="BA489" s="21" t="s">
        <v>59</v>
      </c>
      <c r="BC489" s="35">
        <f>AW489+AX489</f>
        <v>0</v>
      </c>
      <c r="BD489" s="35">
        <f>G489/(100-BE489)*100</f>
        <v>0</v>
      </c>
      <c r="BE489" s="35">
        <v>0</v>
      </c>
      <c r="BF489" s="35">
        <f>L489</f>
        <v>0</v>
      </c>
      <c r="BH489" s="35">
        <f>F489*AO489</f>
        <v>0</v>
      </c>
      <c r="BI489" s="35">
        <f>F489*AP489</f>
        <v>0</v>
      </c>
      <c r="BJ489" s="35">
        <f>F489*G489</f>
        <v>0</v>
      </c>
      <c r="BK489" s="35"/>
      <c r="BL489" s="35"/>
    </row>
    <row r="490" spans="1:13" ht="15" customHeight="1">
      <c r="A490" s="38"/>
      <c r="C490" s="39" t="s">
        <v>53</v>
      </c>
      <c r="D490" s="39"/>
      <c r="F490" s="40">
        <v>1</v>
      </c>
      <c r="M490" s="41"/>
    </row>
    <row r="491" spans="1:64" ht="15" customHeight="1">
      <c r="A491" s="34" t="s">
        <v>937</v>
      </c>
      <c r="B491" s="11" t="s">
        <v>938</v>
      </c>
      <c r="C491" s="11" t="s">
        <v>939</v>
      </c>
      <c r="D491" s="11"/>
      <c r="E491" s="11" t="s">
        <v>56</v>
      </c>
      <c r="F491" s="35">
        <v>1</v>
      </c>
      <c r="G491" s="35">
        <v>0</v>
      </c>
      <c r="H491" s="35">
        <f>F491*AO491</f>
        <v>0</v>
      </c>
      <c r="I491" s="35">
        <f>F491*AP491</f>
        <v>0</v>
      </c>
      <c r="J491" s="35">
        <f>F491*G491</f>
        <v>0</v>
      </c>
      <c r="K491" s="35">
        <v>0</v>
      </c>
      <c r="L491" s="35">
        <f>F491*K491</f>
        <v>0</v>
      </c>
      <c r="M491" s="36" t="s">
        <v>57</v>
      </c>
      <c r="Z491" s="35">
        <f>IF(AQ491="5",BJ491,0)</f>
        <v>0</v>
      </c>
      <c r="AB491" s="35">
        <f>IF(AQ491="1",BH491,0)</f>
        <v>0</v>
      </c>
      <c r="AC491" s="35">
        <f>IF(AQ491="1",BI491,0)</f>
        <v>0</v>
      </c>
      <c r="AD491" s="35">
        <f>IF(AQ491="7",BH491,0)</f>
        <v>0</v>
      </c>
      <c r="AE491" s="35">
        <f>IF(AQ491="7",BI491,0)</f>
        <v>0</v>
      </c>
      <c r="AF491" s="35">
        <f>IF(AQ491="2",BH491,0)</f>
        <v>0</v>
      </c>
      <c r="AG491" s="35">
        <f>IF(AQ491="2",BI491,0)</f>
        <v>0</v>
      </c>
      <c r="AH491" s="35">
        <f>IF(AQ491="0",BJ491,0)</f>
        <v>0</v>
      </c>
      <c r="AI491" s="21"/>
      <c r="AJ491" s="35">
        <f>IF(AN491=0,J491,0)</f>
        <v>0</v>
      </c>
      <c r="AK491" s="35">
        <f>IF(AN491=15,J491,0)</f>
        <v>0</v>
      </c>
      <c r="AL491" s="35">
        <f>IF(AN491=21,J491,0)</f>
        <v>0</v>
      </c>
      <c r="AN491" s="35">
        <v>15</v>
      </c>
      <c r="AO491" s="35">
        <f>G491*0</f>
        <v>0</v>
      </c>
      <c r="AP491" s="35">
        <f>G491*(1-0)</f>
        <v>0</v>
      </c>
      <c r="AQ491" s="37" t="s">
        <v>60</v>
      </c>
      <c r="AV491" s="35">
        <f>AW491+AX491</f>
        <v>0</v>
      </c>
      <c r="AW491" s="35">
        <f>F491*AO491</f>
        <v>0</v>
      </c>
      <c r="AX491" s="35">
        <f>F491*AP491</f>
        <v>0</v>
      </c>
      <c r="AY491" s="37" t="s">
        <v>872</v>
      </c>
      <c r="AZ491" s="37" t="s">
        <v>786</v>
      </c>
      <c r="BA491" s="21" t="s">
        <v>59</v>
      </c>
      <c r="BC491" s="35">
        <f>AW491+AX491</f>
        <v>0</v>
      </c>
      <c r="BD491" s="35">
        <f>G491/(100-BE491)*100</f>
        <v>0</v>
      </c>
      <c r="BE491" s="35">
        <v>0</v>
      </c>
      <c r="BF491" s="35">
        <f>L491</f>
        <v>0</v>
      </c>
      <c r="BH491" s="35">
        <f>F491*AO491</f>
        <v>0</v>
      </c>
      <c r="BI491" s="35">
        <f>F491*AP491</f>
        <v>0</v>
      </c>
      <c r="BJ491" s="35">
        <f>F491*G491</f>
        <v>0</v>
      </c>
      <c r="BK491" s="35"/>
      <c r="BL491" s="35"/>
    </row>
    <row r="492" spans="1:13" ht="15" customHeight="1">
      <c r="A492" s="38"/>
      <c r="C492" s="39" t="s">
        <v>53</v>
      </c>
      <c r="D492" s="39"/>
      <c r="F492" s="40">
        <v>1</v>
      </c>
      <c r="M492" s="41"/>
    </row>
    <row r="493" spans="1:64" ht="15" customHeight="1">
      <c r="A493" s="34" t="s">
        <v>940</v>
      </c>
      <c r="B493" s="11" t="s">
        <v>941</v>
      </c>
      <c r="C493" s="11" t="s">
        <v>942</v>
      </c>
      <c r="D493" s="11"/>
      <c r="E493" s="11" t="s">
        <v>93</v>
      </c>
      <c r="F493" s="35">
        <v>40</v>
      </c>
      <c r="G493" s="35">
        <v>0</v>
      </c>
      <c r="H493" s="35">
        <f>F493*AO493</f>
        <v>0</v>
      </c>
      <c r="I493" s="35">
        <f>F493*AP493</f>
        <v>0</v>
      </c>
      <c r="J493" s="35">
        <f>F493*G493</f>
        <v>0</v>
      </c>
      <c r="K493" s="35">
        <v>0.00105</v>
      </c>
      <c r="L493" s="35">
        <f>F493*K493</f>
        <v>0</v>
      </c>
      <c r="M493" s="36" t="s">
        <v>57</v>
      </c>
      <c r="Z493" s="35">
        <f>IF(AQ493="5",BJ493,0)</f>
        <v>0</v>
      </c>
      <c r="AB493" s="35">
        <f>IF(AQ493="1",BH493,0)</f>
        <v>0</v>
      </c>
      <c r="AC493" s="35">
        <f>IF(AQ493="1",BI493,0)</f>
        <v>0</v>
      </c>
      <c r="AD493" s="35">
        <f>IF(AQ493="7",BH493,0)</f>
        <v>0</v>
      </c>
      <c r="AE493" s="35">
        <f>IF(AQ493="7",BI493,0)</f>
        <v>0</v>
      </c>
      <c r="AF493" s="35">
        <f>IF(AQ493="2",BH493,0)</f>
        <v>0</v>
      </c>
      <c r="AG493" s="35">
        <f>IF(AQ493="2",BI493,0)</f>
        <v>0</v>
      </c>
      <c r="AH493" s="35">
        <f>IF(AQ493="0",BJ493,0)</f>
        <v>0</v>
      </c>
      <c r="AI493" s="21"/>
      <c r="AJ493" s="35">
        <f>IF(AN493=0,J493,0)</f>
        <v>0</v>
      </c>
      <c r="AK493" s="35">
        <f>IF(AN493=15,J493,0)</f>
        <v>0</v>
      </c>
      <c r="AL493" s="35">
        <f>IF(AN493=21,J493,0)</f>
        <v>0</v>
      </c>
      <c r="AN493" s="35">
        <v>15</v>
      </c>
      <c r="AO493" s="35">
        <f>G493*0.318785425101215</f>
        <v>0</v>
      </c>
      <c r="AP493" s="35">
        <f>G493*(1-0.318785425101215)</f>
        <v>0</v>
      </c>
      <c r="AQ493" s="37" t="s">
        <v>60</v>
      </c>
      <c r="AV493" s="35">
        <f>AW493+AX493</f>
        <v>0</v>
      </c>
      <c r="AW493" s="35">
        <f>F493*AO493</f>
        <v>0</v>
      </c>
      <c r="AX493" s="35">
        <f>F493*AP493</f>
        <v>0</v>
      </c>
      <c r="AY493" s="37" t="s">
        <v>872</v>
      </c>
      <c r="AZ493" s="37" t="s">
        <v>786</v>
      </c>
      <c r="BA493" s="21" t="s">
        <v>59</v>
      </c>
      <c r="BC493" s="35">
        <f>AW493+AX493</f>
        <v>0</v>
      </c>
      <c r="BD493" s="35">
        <f>G493/(100-BE493)*100</f>
        <v>0</v>
      </c>
      <c r="BE493" s="35">
        <v>0</v>
      </c>
      <c r="BF493" s="35">
        <f>L493</f>
        <v>0</v>
      </c>
      <c r="BH493" s="35">
        <f>F493*AO493</f>
        <v>0</v>
      </c>
      <c r="BI493" s="35">
        <f>F493*AP493</f>
        <v>0</v>
      </c>
      <c r="BJ493" s="35">
        <f>F493*G493</f>
        <v>0</v>
      </c>
      <c r="BK493" s="35"/>
      <c r="BL493" s="35"/>
    </row>
    <row r="494" spans="1:13" ht="15" customHeight="1">
      <c r="A494" s="38"/>
      <c r="C494" s="39" t="s">
        <v>288</v>
      </c>
      <c r="D494" s="39" t="s">
        <v>876</v>
      </c>
      <c r="F494" s="40">
        <v>40</v>
      </c>
      <c r="M494" s="41"/>
    </row>
    <row r="495" spans="1:64" ht="15" customHeight="1">
      <c r="A495" s="34" t="s">
        <v>943</v>
      </c>
      <c r="B495" s="11" t="s">
        <v>944</v>
      </c>
      <c r="C495" s="11" t="s">
        <v>945</v>
      </c>
      <c r="D495" s="11"/>
      <c r="E495" s="11" t="s">
        <v>163</v>
      </c>
      <c r="F495" s="35">
        <v>190</v>
      </c>
      <c r="G495" s="35">
        <v>0</v>
      </c>
      <c r="H495" s="35">
        <f>F495*AO495</f>
        <v>0</v>
      </c>
      <c r="I495" s="35">
        <f>F495*AP495</f>
        <v>0</v>
      </c>
      <c r="J495" s="35">
        <f>F495*G495</f>
        <v>0</v>
      </c>
      <c r="K495" s="35">
        <v>0</v>
      </c>
      <c r="L495" s="35">
        <f>F495*K495</f>
        <v>0</v>
      </c>
      <c r="M495" s="36" t="s">
        <v>57</v>
      </c>
      <c r="Z495" s="35">
        <f>IF(AQ495="5",BJ495,0)</f>
        <v>0</v>
      </c>
      <c r="AB495" s="35">
        <f>IF(AQ495="1",BH495,0)</f>
        <v>0</v>
      </c>
      <c r="AC495" s="35">
        <f>IF(AQ495="1",BI495,0)</f>
        <v>0</v>
      </c>
      <c r="AD495" s="35">
        <f>IF(AQ495="7",BH495,0)</f>
        <v>0</v>
      </c>
      <c r="AE495" s="35">
        <f>IF(AQ495="7",BI495,0)</f>
        <v>0</v>
      </c>
      <c r="AF495" s="35">
        <f>IF(AQ495="2",BH495,0)</f>
        <v>0</v>
      </c>
      <c r="AG495" s="35">
        <f>IF(AQ495="2",BI495,0)</f>
        <v>0</v>
      </c>
      <c r="AH495" s="35">
        <f>IF(AQ495="0",BJ495,0)</f>
        <v>0</v>
      </c>
      <c r="AI495" s="21"/>
      <c r="AJ495" s="35">
        <f>IF(AN495=0,J495,0)</f>
        <v>0</v>
      </c>
      <c r="AK495" s="35">
        <f>IF(AN495=15,J495,0)</f>
        <v>0</v>
      </c>
      <c r="AL495" s="35">
        <f>IF(AN495=21,J495,0)</f>
        <v>0</v>
      </c>
      <c r="AN495" s="35">
        <v>15</v>
      </c>
      <c r="AO495" s="35">
        <f>G495*0</f>
        <v>0</v>
      </c>
      <c r="AP495" s="35">
        <f>G495*(1-0)</f>
        <v>0</v>
      </c>
      <c r="AQ495" s="37" t="s">
        <v>60</v>
      </c>
      <c r="AV495" s="35">
        <f>AW495+AX495</f>
        <v>0</v>
      </c>
      <c r="AW495" s="35">
        <f>F495*AO495</f>
        <v>0</v>
      </c>
      <c r="AX495" s="35">
        <f>F495*AP495</f>
        <v>0</v>
      </c>
      <c r="AY495" s="37" t="s">
        <v>872</v>
      </c>
      <c r="AZ495" s="37" t="s">
        <v>786</v>
      </c>
      <c r="BA495" s="21" t="s">
        <v>59</v>
      </c>
      <c r="BC495" s="35">
        <f>AW495+AX495</f>
        <v>0</v>
      </c>
      <c r="BD495" s="35">
        <f>G495/(100-BE495)*100</f>
        <v>0</v>
      </c>
      <c r="BE495" s="35">
        <v>0</v>
      </c>
      <c r="BF495" s="35">
        <f>L495</f>
        <v>0</v>
      </c>
      <c r="BH495" s="35">
        <f>F495*AO495</f>
        <v>0</v>
      </c>
      <c r="BI495" s="35">
        <f>F495*AP495</f>
        <v>0</v>
      </c>
      <c r="BJ495" s="35">
        <f>F495*G495</f>
        <v>0</v>
      </c>
      <c r="BK495" s="35"/>
      <c r="BL495" s="35"/>
    </row>
    <row r="496" spans="1:13" ht="15" customHeight="1">
      <c r="A496" s="38"/>
      <c r="C496" s="39" t="s">
        <v>884</v>
      </c>
      <c r="D496" s="39"/>
      <c r="F496" s="40">
        <v>175.00000000000003</v>
      </c>
      <c r="M496" s="41"/>
    </row>
    <row r="497" spans="1:13" ht="15" customHeight="1">
      <c r="A497" s="38"/>
      <c r="C497" s="39" t="s">
        <v>136</v>
      </c>
      <c r="D497" s="39"/>
      <c r="F497" s="40">
        <v>15.000000000000002</v>
      </c>
      <c r="M497" s="41"/>
    </row>
    <row r="498" spans="1:64" ht="15" customHeight="1">
      <c r="A498" s="34" t="s">
        <v>946</v>
      </c>
      <c r="B498" s="11" t="s">
        <v>918</v>
      </c>
      <c r="C498" s="11" t="s">
        <v>919</v>
      </c>
      <c r="D498" s="11"/>
      <c r="E498" s="11" t="s">
        <v>163</v>
      </c>
      <c r="F498" s="35">
        <v>6</v>
      </c>
      <c r="G498" s="35">
        <v>0</v>
      </c>
      <c r="H498" s="35">
        <f>F498*AO498</f>
        <v>0</v>
      </c>
      <c r="I498" s="35">
        <f>F498*AP498</f>
        <v>0</v>
      </c>
      <c r="J498" s="35">
        <f>F498*G498</f>
        <v>0</v>
      </c>
      <c r="K498" s="35">
        <v>0</v>
      </c>
      <c r="L498" s="35">
        <f>F498*K498</f>
        <v>0</v>
      </c>
      <c r="M498" s="36" t="s">
        <v>57</v>
      </c>
      <c r="Z498" s="35">
        <f>IF(AQ498="5",BJ498,0)</f>
        <v>0</v>
      </c>
      <c r="AB498" s="35">
        <f>IF(AQ498="1",BH498,0)</f>
        <v>0</v>
      </c>
      <c r="AC498" s="35">
        <f>IF(AQ498="1",BI498,0)</f>
        <v>0</v>
      </c>
      <c r="AD498" s="35">
        <f>IF(AQ498="7",BH498,0)</f>
        <v>0</v>
      </c>
      <c r="AE498" s="35">
        <f>IF(AQ498="7",BI498,0)</f>
        <v>0</v>
      </c>
      <c r="AF498" s="35">
        <f>IF(AQ498="2",BH498,0)</f>
        <v>0</v>
      </c>
      <c r="AG498" s="35">
        <f>IF(AQ498="2",BI498,0)</f>
        <v>0</v>
      </c>
      <c r="AH498" s="35">
        <f>IF(AQ498="0",BJ498,0)</f>
        <v>0</v>
      </c>
      <c r="AI498" s="21"/>
      <c r="AJ498" s="35">
        <f>IF(AN498=0,J498,0)</f>
        <v>0</v>
      </c>
      <c r="AK498" s="35">
        <f>IF(AN498=15,J498,0)</f>
        <v>0</v>
      </c>
      <c r="AL498" s="35">
        <f>IF(AN498=21,J498,0)</f>
        <v>0</v>
      </c>
      <c r="AN498" s="35">
        <v>15</v>
      </c>
      <c r="AO498" s="35">
        <f>G498*0</f>
        <v>0</v>
      </c>
      <c r="AP498" s="35">
        <f>G498*(1-0)</f>
        <v>0</v>
      </c>
      <c r="AQ498" s="37" t="s">
        <v>60</v>
      </c>
      <c r="AV498" s="35">
        <f>AW498+AX498</f>
        <v>0</v>
      </c>
      <c r="AW498" s="35">
        <f>F498*AO498</f>
        <v>0</v>
      </c>
      <c r="AX498" s="35">
        <f>F498*AP498</f>
        <v>0</v>
      </c>
      <c r="AY498" s="37" t="s">
        <v>872</v>
      </c>
      <c r="AZ498" s="37" t="s">
        <v>786</v>
      </c>
      <c r="BA498" s="21" t="s">
        <v>59</v>
      </c>
      <c r="BC498" s="35">
        <f>AW498+AX498</f>
        <v>0</v>
      </c>
      <c r="BD498" s="35">
        <f>G498/(100-BE498)*100</f>
        <v>0</v>
      </c>
      <c r="BE498" s="35">
        <v>0</v>
      </c>
      <c r="BF498" s="35">
        <f>L498</f>
        <v>0</v>
      </c>
      <c r="BH498" s="35">
        <f>F498*AO498</f>
        <v>0</v>
      </c>
      <c r="BI498" s="35">
        <f>F498*AP498</f>
        <v>0</v>
      </c>
      <c r="BJ498" s="35">
        <f>F498*G498</f>
        <v>0</v>
      </c>
      <c r="BK498" s="35"/>
      <c r="BL498" s="35"/>
    </row>
    <row r="499" spans="1:13" ht="15" customHeight="1">
      <c r="A499" s="38"/>
      <c r="C499" s="39" t="s">
        <v>74</v>
      </c>
      <c r="D499" s="39" t="s">
        <v>876</v>
      </c>
      <c r="F499" s="40">
        <v>6.000000000000001</v>
      </c>
      <c r="M499" s="41"/>
    </row>
    <row r="500" spans="1:64" ht="15" customHeight="1">
      <c r="A500" s="34" t="s">
        <v>947</v>
      </c>
      <c r="B500" s="11" t="s">
        <v>948</v>
      </c>
      <c r="C500" s="11" t="s">
        <v>949</v>
      </c>
      <c r="D500" s="11"/>
      <c r="E500" s="11" t="s">
        <v>93</v>
      </c>
      <c r="F500" s="35">
        <v>20</v>
      </c>
      <c r="G500" s="35">
        <v>0</v>
      </c>
      <c r="H500" s="35">
        <f>F500*AO500</f>
        <v>0</v>
      </c>
      <c r="I500" s="35">
        <f>F500*AP500</f>
        <v>0</v>
      </c>
      <c r="J500" s="35">
        <f>F500*G500</f>
        <v>0</v>
      </c>
      <c r="K500" s="35">
        <v>0.00099</v>
      </c>
      <c r="L500" s="35">
        <f>F500*K500</f>
        <v>0</v>
      </c>
      <c r="M500" s="36" t="s">
        <v>57</v>
      </c>
      <c r="Z500" s="35">
        <f>IF(AQ500="5",BJ500,0)</f>
        <v>0</v>
      </c>
      <c r="AB500" s="35">
        <f>IF(AQ500="1",BH500,0)</f>
        <v>0</v>
      </c>
      <c r="AC500" s="35">
        <f>IF(AQ500="1",BI500,0)</f>
        <v>0</v>
      </c>
      <c r="AD500" s="35">
        <f>IF(AQ500="7",BH500,0)</f>
        <v>0</v>
      </c>
      <c r="AE500" s="35">
        <f>IF(AQ500="7",BI500,0)</f>
        <v>0</v>
      </c>
      <c r="AF500" s="35">
        <f>IF(AQ500="2",BH500,0)</f>
        <v>0</v>
      </c>
      <c r="AG500" s="35">
        <f>IF(AQ500="2",BI500,0)</f>
        <v>0</v>
      </c>
      <c r="AH500" s="35">
        <f>IF(AQ500="0",BJ500,0)</f>
        <v>0</v>
      </c>
      <c r="AI500" s="21"/>
      <c r="AJ500" s="35">
        <f>IF(AN500=0,J500,0)</f>
        <v>0</v>
      </c>
      <c r="AK500" s="35">
        <f>IF(AN500=15,J500,0)</f>
        <v>0</v>
      </c>
      <c r="AL500" s="35">
        <f>IF(AN500=21,J500,0)</f>
        <v>0</v>
      </c>
      <c r="AN500" s="35">
        <v>15</v>
      </c>
      <c r="AO500" s="35">
        <f>G500*0.190591549295775</f>
        <v>0</v>
      </c>
      <c r="AP500" s="35">
        <f>G500*(1-0.190591549295775)</f>
        <v>0</v>
      </c>
      <c r="AQ500" s="37" t="s">
        <v>60</v>
      </c>
      <c r="AV500" s="35">
        <f>AW500+AX500</f>
        <v>0</v>
      </c>
      <c r="AW500" s="35">
        <f>F500*AO500</f>
        <v>0</v>
      </c>
      <c r="AX500" s="35">
        <f>F500*AP500</f>
        <v>0</v>
      </c>
      <c r="AY500" s="37" t="s">
        <v>872</v>
      </c>
      <c r="AZ500" s="37" t="s">
        <v>786</v>
      </c>
      <c r="BA500" s="21" t="s">
        <v>59</v>
      </c>
      <c r="BC500" s="35">
        <f>AW500+AX500</f>
        <v>0</v>
      </c>
      <c r="BD500" s="35">
        <f>G500/(100-BE500)*100</f>
        <v>0</v>
      </c>
      <c r="BE500" s="35">
        <v>0</v>
      </c>
      <c r="BF500" s="35">
        <f>L500</f>
        <v>0</v>
      </c>
      <c r="BH500" s="35">
        <f>F500*AO500</f>
        <v>0</v>
      </c>
      <c r="BI500" s="35">
        <f>F500*AP500</f>
        <v>0</v>
      </c>
      <c r="BJ500" s="35">
        <f>F500*G500</f>
        <v>0</v>
      </c>
      <c r="BK500" s="35"/>
      <c r="BL500" s="35"/>
    </row>
    <row r="501" spans="1:13" ht="15" customHeight="1">
      <c r="A501" s="38"/>
      <c r="C501" s="39" t="s">
        <v>165</v>
      </c>
      <c r="D501" s="39" t="s">
        <v>950</v>
      </c>
      <c r="F501" s="40">
        <v>20</v>
      </c>
      <c r="M501" s="41"/>
    </row>
    <row r="502" spans="1:64" ht="15" customHeight="1">
      <c r="A502" s="34" t="s">
        <v>951</v>
      </c>
      <c r="B502" s="11" t="s">
        <v>952</v>
      </c>
      <c r="C502" s="11" t="s">
        <v>953</v>
      </c>
      <c r="D502" s="11"/>
      <c r="E502" s="11" t="s">
        <v>163</v>
      </c>
      <c r="F502" s="35">
        <v>1</v>
      </c>
      <c r="G502" s="35">
        <v>0</v>
      </c>
      <c r="H502" s="35">
        <f>F502*AO502</f>
        <v>0</v>
      </c>
      <c r="I502" s="35">
        <f>F502*AP502</f>
        <v>0</v>
      </c>
      <c r="J502" s="35">
        <f>F502*G502</f>
        <v>0</v>
      </c>
      <c r="K502" s="35">
        <v>0</v>
      </c>
      <c r="L502" s="35">
        <f>F502*K502</f>
        <v>0</v>
      </c>
      <c r="M502" s="36" t="s">
        <v>57</v>
      </c>
      <c r="Z502" s="35">
        <f>IF(AQ502="5",BJ502,0)</f>
        <v>0</v>
      </c>
      <c r="AB502" s="35">
        <f>IF(AQ502="1",BH502,0)</f>
        <v>0</v>
      </c>
      <c r="AC502" s="35">
        <f>IF(AQ502="1",BI502,0)</f>
        <v>0</v>
      </c>
      <c r="AD502" s="35">
        <f>IF(AQ502="7",BH502,0)</f>
        <v>0</v>
      </c>
      <c r="AE502" s="35">
        <f>IF(AQ502="7",BI502,0)</f>
        <v>0</v>
      </c>
      <c r="AF502" s="35">
        <f>IF(AQ502="2",BH502,0)</f>
        <v>0</v>
      </c>
      <c r="AG502" s="35">
        <f>IF(AQ502="2",BI502,0)</f>
        <v>0</v>
      </c>
      <c r="AH502" s="35">
        <f>IF(AQ502="0",BJ502,0)</f>
        <v>0</v>
      </c>
      <c r="AI502" s="21"/>
      <c r="AJ502" s="35">
        <f>IF(AN502=0,J502,0)</f>
        <v>0</v>
      </c>
      <c r="AK502" s="35">
        <f>IF(AN502=15,J502,0)</f>
        <v>0</v>
      </c>
      <c r="AL502" s="35">
        <f>IF(AN502=21,J502,0)</f>
        <v>0</v>
      </c>
      <c r="AN502" s="35">
        <v>15</v>
      </c>
      <c r="AO502" s="35">
        <f>G502*0.657142857142857</f>
        <v>0</v>
      </c>
      <c r="AP502" s="35">
        <f>G502*(1-0.657142857142857)</f>
        <v>0</v>
      </c>
      <c r="AQ502" s="37" t="s">
        <v>60</v>
      </c>
      <c r="AV502" s="35">
        <f>AW502+AX502</f>
        <v>0</v>
      </c>
      <c r="AW502" s="35">
        <f>F502*AO502</f>
        <v>0</v>
      </c>
      <c r="AX502" s="35">
        <f>F502*AP502</f>
        <v>0</v>
      </c>
      <c r="AY502" s="37" t="s">
        <v>872</v>
      </c>
      <c r="AZ502" s="37" t="s">
        <v>786</v>
      </c>
      <c r="BA502" s="21" t="s">
        <v>59</v>
      </c>
      <c r="BC502" s="35">
        <f>AW502+AX502</f>
        <v>0</v>
      </c>
      <c r="BD502" s="35">
        <f>G502/(100-BE502)*100</f>
        <v>0</v>
      </c>
      <c r="BE502" s="35">
        <v>0</v>
      </c>
      <c r="BF502" s="35">
        <f>L502</f>
        <v>0</v>
      </c>
      <c r="BH502" s="35">
        <f>F502*AO502</f>
        <v>0</v>
      </c>
      <c r="BI502" s="35">
        <f>F502*AP502</f>
        <v>0</v>
      </c>
      <c r="BJ502" s="35">
        <f>F502*G502</f>
        <v>0</v>
      </c>
      <c r="BK502" s="35"/>
      <c r="BL502" s="35"/>
    </row>
    <row r="503" spans="1:13" ht="15" customHeight="1">
      <c r="A503" s="38"/>
      <c r="C503" s="39" t="s">
        <v>53</v>
      </c>
      <c r="D503" s="39"/>
      <c r="F503" s="40">
        <v>1</v>
      </c>
      <c r="M503" s="41"/>
    </row>
    <row r="504" spans="1:64" ht="15" customHeight="1">
      <c r="A504" s="34" t="s">
        <v>954</v>
      </c>
      <c r="B504" s="11" t="s">
        <v>955</v>
      </c>
      <c r="C504" s="11" t="s">
        <v>956</v>
      </c>
      <c r="D504" s="11"/>
      <c r="E504" s="11" t="s">
        <v>93</v>
      </c>
      <c r="F504" s="35">
        <v>580</v>
      </c>
      <c r="G504" s="35">
        <v>0</v>
      </c>
      <c r="H504" s="35">
        <f>F504*AO504</f>
        <v>0</v>
      </c>
      <c r="I504" s="35">
        <f>F504*AP504</f>
        <v>0</v>
      </c>
      <c r="J504" s="35">
        <f>F504*G504</f>
        <v>0</v>
      </c>
      <c r="K504" s="35">
        <v>0.00047</v>
      </c>
      <c r="L504" s="35">
        <f>F504*K504</f>
        <v>0</v>
      </c>
      <c r="M504" s="36" t="s">
        <v>57</v>
      </c>
      <c r="Z504" s="35">
        <f>IF(AQ504="5",BJ504,0)</f>
        <v>0</v>
      </c>
      <c r="AB504" s="35">
        <f>IF(AQ504="1",BH504,0)</f>
        <v>0</v>
      </c>
      <c r="AC504" s="35">
        <f>IF(AQ504="1",BI504,0)</f>
        <v>0</v>
      </c>
      <c r="AD504" s="35">
        <f>IF(AQ504="7",BH504,0)</f>
        <v>0</v>
      </c>
      <c r="AE504" s="35">
        <f>IF(AQ504="7",BI504,0)</f>
        <v>0</v>
      </c>
      <c r="AF504" s="35">
        <f>IF(AQ504="2",BH504,0)</f>
        <v>0</v>
      </c>
      <c r="AG504" s="35">
        <f>IF(AQ504="2",BI504,0)</f>
        <v>0</v>
      </c>
      <c r="AH504" s="35">
        <f>IF(AQ504="0",BJ504,0)</f>
        <v>0</v>
      </c>
      <c r="AI504" s="21"/>
      <c r="AJ504" s="35">
        <f>IF(AN504=0,J504,0)</f>
        <v>0</v>
      </c>
      <c r="AK504" s="35">
        <f>IF(AN504=15,J504,0)</f>
        <v>0</v>
      </c>
      <c r="AL504" s="35">
        <f>IF(AN504=21,J504,0)</f>
        <v>0</v>
      </c>
      <c r="AN504" s="35">
        <v>15</v>
      </c>
      <c r="AO504" s="35">
        <f>G504*0.480340063761955</f>
        <v>0</v>
      </c>
      <c r="AP504" s="35">
        <f>G504*(1-0.480340063761955)</f>
        <v>0</v>
      </c>
      <c r="AQ504" s="37" t="s">
        <v>60</v>
      </c>
      <c r="AV504" s="35">
        <f>AW504+AX504</f>
        <v>0</v>
      </c>
      <c r="AW504" s="35">
        <f>F504*AO504</f>
        <v>0</v>
      </c>
      <c r="AX504" s="35">
        <f>F504*AP504</f>
        <v>0</v>
      </c>
      <c r="AY504" s="37" t="s">
        <v>872</v>
      </c>
      <c r="AZ504" s="37" t="s">
        <v>786</v>
      </c>
      <c r="BA504" s="21" t="s">
        <v>59</v>
      </c>
      <c r="BC504" s="35">
        <f>AW504+AX504</f>
        <v>0</v>
      </c>
      <c r="BD504" s="35">
        <f>G504/(100-BE504)*100</f>
        <v>0</v>
      </c>
      <c r="BE504" s="35">
        <v>0</v>
      </c>
      <c r="BF504" s="35">
        <f>L504</f>
        <v>0</v>
      </c>
      <c r="BH504" s="35">
        <f>F504*AO504</f>
        <v>0</v>
      </c>
      <c r="BI504" s="35">
        <f>F504*AP504</f>
        <v>0</v>
      </c>
      <c r="BJ504" s="35">
        <f>F504*G504</f>
        <v>0</v>
      </c>
      <c r="BK504" s="35"/>
      <c r="BL504" s="35"/>
    </row>
    <row r="505" spans="1:13" ht="15" customHeight="1">
      <c r="A505" s="38"/>
      <c r="C505" s="39" t="s">
        <v>957</v>
      </c>
      <c r="D505" s="39"/>
      <c r="F505" s="40">
        <v>580</v>
      </c>
      <c r="M505" s="41"/>
    </row>
    <row r="506" spans="1:64" ht="15" customHeight="1">
      <c r="A506" s="34" t="s">
        <v>958</v>
      </c>
      <c r="B506" s="11" t="s">
        <v>959</v>
      </c>
      <c r="C506" s="11" t="s">
        <v>960</v>
      </c>
      <c r="D506" s="11"/>
      <c r="E506" s="11" t="s">
        <v>163</v>
      </c>
      <c r="F506" s="35">
        <v>1</v>
      </c>
      <c r="G506" s="35">
        <v>0</v>
      </c>
      <c r="H506" s="35">
        <f>F506*AO506</f>
        <v>0</v>
      </c>
      <c r="I506" s="35">
        <f>F506*AP506</f>
        <v>0</v>
      </c>
      <c r="J506" s="35">
        <f>F506*G506</f>
        <v>0</v>
      </c>
      <c r="K506" s="35">
        <v>0</v>
      </c>
      <c r="L506" s="35">
        <f>F506*K506</f>
        <v>0</v>
      </c>
      <c r="M506" s="36" t="s">
        <v>57</v>
      </c>
      <c r="Z506" s="35">
        <f>IF(AQ506="5",BJ506,0)</f>
        <v>0</v>
      </c>
      <c r="AB506" s="35">
        <f>IF(AQ506="1",BH506,0)</f>
        <v>0</v>
      </c>
      <c r="AC506" s="35">
        <f>IF(AQ506="1",BI506,0)</f>
        <v>0</v>
      </c>
      <c r="AD506" s="35">
        <f>IF(AQ506="7",BH506,0)</f>
        <v>0</v>
      </c>
      <c r="AE506" s="35">
        <f>IF(AQ506="7",BI506,0)</f>
        <v>0</v>
      </c>
      <c r="AF506" s="35">
        <f>IF(AQ506="2",BH506,0)</f>
        <v>0</v>
      </c>
      <c r="AG506" s="35">
        <f>IF(AQ506="2",BI506,0)</f>
        <v>0</v>
      </c>
      <c r="AH506" s="35">
        <f>IF(AQ506="0",BJ506,0)</f>
        <v>0</v>
      </c>
      <c r="AI506" s="21"/>
      <c r="AJ506" s="35">
        <f>IF(AN506=0,J506,0)</f>
        <v>0</v>
      </c>
      <c r="AK506" s="35">
        <f>IF(AN506=15,J506,0)</f>
        <v>0</v>
      </c>
      <c r="AL506" s="35">
        <f>IF(AN506=21,J506,0)</f>
        <v>0</v>
      </c>
      <c r="AN506" s="35">
        <v>15</v>
      </c>
      <c r="AO506" s="35">
        <f>G506*0</f>
        <v>0</v>
      </c>
      <c r="AP506" s="35">
        <f>G506*(1-0)</f>
        <v>0</v>
      </c>
      <c r="AQ506" s="37" t="s">
        <v>53</v>
      </c>
      <c r="AV506" s="35">
        <f>AW506+AX506</f>
        <v>0</v>
      </c>
      <c r="AW506" s="35">
        <f>F506*AO506</f>
        <v>0</v>
      </c>
      <c r="AX506" s="35">
        <f>F506*AP506</f>
        <v>0</v>
      </c>
      <c r="AY506" s="37" t="s">
        <v>872</v>
      </c>
      <c r="AZ506" s="37" t="s">
        <v>786</v>
      </c>
      <c r="BA506" s="21" t="s">
        <v>59</v>
      </c>
      <c r="BC506" s="35">
        <f>AW506+AX506</f>
        <v>0</v>
      </c>
      <c r="BD506" s="35">
        <f>G506/(100-BE506)*100</f>
        <v>0</v>
      </c>
      <c r="BE506" s="35">
        <v>0</v>
      </c>
      <c r="BF506" s="35">
        <f>L506</f>
        <v>0</v>
      </c>
      <c r="BH506" s="35">
        <f>F506*AO506</f>
        <v>0</v>
      </c>
      <c r="BI506" s="35">
        <f>F506*AP506</f>
        <v>0</v>
      </c>
      <c r="BJ506" s="35">
        <f>F506*G506</f>
        <v>0</v>
      </c>
      <c r="BK506" s="35"/>
      <c r="BL506" s="35"/>
    </row>
    <row r="507" spans="1:13" ht="15" customHeight="1">
      <c r="A507" s="38"/>
      <c r="C507" s="39" t="s">
        <v>53</v>
      </c>
      <c r="D507" s="39"/>
      <c r="F507" s="40">
        <v>1</v>
      </c>
      <c r="M507" s="41"/>
    </row>
    <row r="508" spans="1:64" ht="15" customHeight="1">
      <c r="A508" s="34" t="s">
        <v>961</v>
      </c>
      <c r="B508" s="11" t="s">
        <v>962</v>
      </c>
      <c r="C508" s="11" t="s">
        <v>963</v>
      </c>
      <c r="D508" s="11"/>
      <c r="E508" s="11" t="s">
        <v>784</v>
      </c>
      <c r="F508" s="35">
        <v>20</v>
      </c>
      <c r="G508" s="35">
        <v>0</v>
      </c>
      <c r="H508" s="35">
        <f>F508*AO508</f>
        <v>0</v>
      </c>
      <c r="I508" s="35">
        <f>F508*AP508</f>
        <v>0</v>
      </c>
      <c r="J508" s="35">
        <f>F508*G508</f>
        <v>0</v>
      </c>
      <c r="K508" s="35">
        <v>0</v>
      </c>
      <c r="L508" s="35">
        <f>F508*K508</f>
        <v>0</v>
      </c>
      <c r="M508" s="36" t="s">
        <v>57</v>
      </c>
      <c r="Z508" s="35">
        <f>IF(AQ508="5",BJ508,0)</f>
        <v>0</v>
      </c>
      <c r="AB508" s="35">
        <f>IF(AQ508="1",BH508,0)</f>
        <v>0</v>
      </c>
      <c r="AC508" s="35">
        <f>IF(AQ508="1",BI508,0)</f>
        <v>0</v>
      </c>
      <c r="AD508" s="35">
        <f>IF(AQ508="7",BH508,0)</f>
        <v>0</v>
      </c>
      <c r="AE508" s="35">
        <f>IF(AQ508="7",BI508,0)</f>
        <v>0</v>
      </c>
      <c r="AF508" s="35">
        <f>IF(AQ508="2",BH508,0)</f>
        <v>0</v>
      </c>
      <c r="AG508" s="35">
        <f>IF(AQ508="2",BI508,0)</f>
        <v>0</v>
      </c>
      <c r="AH508" s="35">
        <f>IF(AQ508="0",BJ508,0)</f>
        <v>0</v>
      </c>
      <c r="AI508" s="21"/>
      <c r="AJ508" s="35">
        <f>IF(AN508=0,J508,0)</f>
        <v>0</v>
      </c>
      <c r="AK508" s="35">
        <f>IF(AN508=15,J508,0)</f>
        <v>0</v>
      </c>
      <c r="AL508" s="35">
        <f>IF(AN508=21,J508,0)</f>
        <v>0</v>
      </c>
      <c r="AN508" s="35">
        <v>15</v>
      </c>
      <c r="AO508" s="35">
        <f>G508*0</f>
        <v>0</v>
      </c>
      <c r="AP508" s="35">
        <f>G508*(1-0)</f>
        <v>0</v>
      </c>
      <c r="AQ508" s="37" t="s">
        <v>53</v>
      </c>
      <c r="AV508" s="35">
        <f>AW508+AX508</f>
        <v>0</v>
      </c>
      <c r="AW508" s="35">
        <f>F508*AO508</f>
        <v>0</v>
      </c>
      <c r="AX508" s="35">
        <f>F508*AP508</f>
        <v>0</v>
      </c>
      <c r="AY508" s="37" t="s">
        <v>872</v>
      </c>
      <c r="AZ508" s="37" t="s">
        <v>786</v>
      </c>
      <c r="BA508" s="21" t="s">
        <v>59</v>
      </c>
      <c r="BC508" s="35">
        <f>AW508+AX508</f>
        <v>0</v>
      </c>
      <c r="BD508" s="35">
        <f>G508/(100-BE508)*100</f>
        <v>0</v>
      </c>
      <c r="BE508" s="35">
        <v>0</v>
      </c>
      <c r="BF508" s="35">
        <f>L508</f>
        <v>0</v>
      </c>
      <c r="BH508" s="35">
        <f>F508*AO508</f>
        <v>0</v>
      </c>
      <c r="BI508" s="35">
        <f>F508*AP508</f>
        <v>0</v>
      </c>
      <c r="BJ508" s="35">
        <f>F508*G508</f>
        <v>0</v>
      </c>
      <c r="BK508" s="35"/>
      <c r="BL508" s="35"/>
    </row>
    <row r="509" spans="1:13" ht="15" customHeight="1">
      <c r="A509" s="38"/>
      <c r="C509" s="39" t="s">
        <v>165</v>
      </c>
      <c r="D509" s="39"/>
      <c r="F509" s="40">
        <v>20</v>
      </c>
      <c r="M509" s="41"/>
    </row>
    <row r="510" spans="1:64" ht="15" customHeight="1">
      <c r="A510" s="34" t="s">
        <v>964</v>
      </c>
      <c r="B510" s="11" t="s">
        <v>965</v>
      </c>
      <c r="C510" s="11" t="s">
        <v>966</v>
      </c>
      <c r="D510" s="11"/>
      <c r="E510" s="11" t="s">
        <v>163</v>
      </c>
      <c r="F510" s="35">
        <v>140</v>
      </c>
      <c r="G510" s="35">
        <v>0</v>
      </c>
      <c r="H510" s="35">
        <f>F510*AO510</f>
        <v>0</v>
      </c>
      <c r="I510" s="35">
        <f>F510*AP510</f>
        <v>0</v>
      </c>
      <c r="J510" s="35">
        <f>F510*G510</f>
        <v>0</v>
      </c>
      <c r="K510" s="35">
        <v>0</v>
      </c>
      <c r="L510" s="35">
        <f>F510*K510</f>
        <v>0</v>
      </c>
      <c r="M510" s="36" t="s">
        <v>57</v>
      </c>
      <c r="Z510" s="35">
        <f>IF(AQ510="5",BJ510,0)</f>
        <v>0</v>
      </c>
      <c r="AB510" s="35">
        <f>IF(AQ510="1",BH510,0)</f>
        <v>0</v>
      </c>
      <c r="AC510" s="35">
        <f>IF(AQ510="1",BI510,0)</f>
        <v>0</v>
      </c>
      <c r="AD510" s="35">
        <f>IF(AQ510="7",BH510,0)</f>
        <v>0</v>
      </c>
      <c r="AE510" s="35">
        <f>IF(AQ510="7",BI510,0)</f>
        <v>0</v>
      </c>
      <c r="AF510" s="35">
        <f>IF(AQ510="2",BH510,0)</f>
        <v>0</v>
      </c>
      <c r="AG510" s="35">
        <f>IF(AQ510="2",BI510,0)</f>
        <v>0</v>
      </c>
      <c r="AH510" s="35">
        <f>IF(AQ510="0",BJ510,0)</f>
        <v>0</v>
      </c>
      <c r="AI510" s="21"/>
      <c r="AJ510" s="35">
        <f>IF(AN510=0,J510,0)</f>
        <v>0</v>
      </c>
      <c r="AK510" s="35">
        <f>IF(AN510=15,J510,0)</f>
        <v>0</v>
      </c>
      <c r="AL510" s="35">
        <f>IF(AN510=21,J510,0)</f>
        <v>0</v>
      </c>
      <c r="AN510" s="35">
        <v>15</v>
      </c>
      <c r="AO510" s="35">
        <f>G510*1</f>
        <v>0</v>
      </c>
      <c r="AP510" s="35">
        <f>G510*(1-1)</f>
        <v>0</v>
      </c>
      <c r="AQ510" s="37" t="s">
        <v>53</v>
      </c>
      <c r="AV510" s="35">
        <f>AW510+AX510</f>
        <v>0</v>
      </c>
      <c r="AW510" s="35">
        <f>F510*AO510</f>
        <v>0</v>
      </c>
      <c r="AX510" s="35">
        <f>F510*AP510</f>
        <v>0</v>
      </c>
      <c r="AY510" s="37" t="s">
        <v>872</v>
      </c>
      <c r="AZ510" s="37" t="s">
        <v>786</v>
      </c>
      <c r="BA510" s="21" t="s">
        <v>59</v>
      </c>
      <c r="BC510" s="35">
        <f>AW510+AX510</f>
        <v>0</v>
      </c>
      <c r="BD510" s="35">
        <f>G510/(100-BE510)*100</f>
        <v>0</v>
      </c>
      <c r="BE510" s="35">
        <v>0</v>
      </c>
      <c r="BF510" s="35">
        <f>L510</f>
        <v>0</v>
      </c>
      <c r="BH510" s="35">
        <f>F510*AO510</f>
        <v>0</v>
      </c>
      <c r="BI510" s="35">
        <f>F510*AP510</f>
        <v>0</v>
      </c>
      <c r="BJ510" s="35">
        <f>F510*G510</f>
        <v>0</v>
      </c>
      <c r="BK510" s="35"/>
      <c r="BL510" s="35"/>
    </row>
    <row r="511" spans="1:13" ht="15" customHeight="1">
      <c r="A511" s="38"/>
      <c r="C511" s="39" t="s">
        <v>693</v>
      </c>
      <c r="D511" s="39"/>
      <c r="F511" s="40">
        <v>140</v>
      </c>
      <c r="M511" s="41"/>
    </row>
    <row r="512" spans="1:64" ht="15" customHeight="1">
      <c r="A512" s="34" t="s">
        <v>967</v>
      </c>
      <c r="B512" s="11" t="s">
        <v>968</v>
      </c>
      <c r="C512" s="11" t="s">
        <v>969</v>
      </c>
      <c r="D512" s="11"/>
      <c r="E512" s="11" t="s">
        <v>163</v>
      </c>
      <c r="F512" s="35">
        <v>72</v>
      </c>
      <c r="G512" s="35">
        <v>0</v>
      </c>
      <c r="H512" s="35">
        <f>F512*AO512</f>
        <v>0</v>
      </c>
      <c r="I512" s="35">
        <f>F512*AP512</f>
        <v>0</v>
      </c>
      <c r="J512" s="35">
        <f>F512*G512</f>
        <v>0</v>
      </c>
      <c r="K512" s="35">
        <v>0</v>
      </c>
      <c r="L512" s="35">
        <f>F512*K512</f>
        <v>0</v>
      </c>
      <c r="M512" s="36" t="s">
        <v>57</v>
      </c>
      <c r="Z512" s="35">
        <f>IF(AQ512="5",BJ512,0)</f>
        <v>0</v>
      </c>
      <c r="AB512" s="35">
        <f>IF(AQ512="1",BH512,0)</f>
        <v>0</v>
      </c>
      <c r="AC512" s="35">
        <f>IF(AQ512="1",BI512,0)</f>
        <v>0</v>
      </c>
      <c r="AD512" s="35">
        <f>IF(AQ512="7",BH512,0)</f>
        <v>0</v>
      </c>
      <c r="AE512" s="35">
        <f>IF(AQ512="7",BI512,0)</f>
        <v>0</v>
      </c>
      <c r="AF512" s="35">
        <f>IF(AQ512="2",BH512,0)</f>
        <v>0</v>
      </c>
      <c r="AG512" s="35">
        <f>IF(AQ512="2",BI512,0)</f>
        <v>0</v>
      </c>
      <c r="AH512" s="35">
        <f>IF(AQ512="0",BJ512,0)</f>
        <v>0</v>
      </c>
      <c r="AI512" s="21"/>
      <c r="AJ512" s="35">
        <f>IF(AN512=0,J512,0)</f>
        <v>0</v>
      </c>
      <c r="AK512" s="35">
        <f>IF(AN512=15,J512,0)</f>
        <v>0</v>
      </c>
      <c r="AL512" s="35">
        <f>IF(AN512=21,J512,0)</f>
        <v>0</v>
      </c>
      <c r="AN512" s="35">
        <v>15</v>
      </c>
      <c r="AO512" s="35">
        <f>G512*1</f>
        <v>0</v>
      </c>
      <c r="AP512" s="35">
        <f>G512*(1-1)</f>
        <v>0</v>
      </c>
      <c r="AQ512" s="37" t="s">
        <v>53</v>
      </c>
      <c r="AV512" s="35">
        <f>AW512+AX512</f>
        <v>0</v>
      </c>
      <c r="AW512" s="35">
        <f>F512*AO512</f>
        <v>0</v>
      </c>
      <c r="AX512" s="35">
        <f>F512*AP512</f>
        <v>0</v>
      </c>
      <c r="AY512" s="37" t="s">
        <v>872</v>
      </c>
      <c r="AZ512" s="37" t="s">
        <v>786</v>
      </c>
      <c r="BA512" s="21" t="s">
        <v>59</v>
      </c>
      <c r="BC512" s="35">
        <f>AW512+AX512</f>
        <v>0</v>
      </c>
      <c r="BD512" s="35">
        <f>G512/(100-BE512)*100</f>
        <v>0</v>
      </c>
      <c r="BE512" s="35">
        <v>0</v>
      </c>
      <c r="BF512" s="35">
        <f>L512</f>
        <v>0</v>
      </c>
      <c r="BH512" s="35">
        <f>F512*AO512</f>
        <v>0</v>
      </c>
      <c r="BI512" s="35">
        <f>F512*AP512</f>
        <v>0</v>
      </c>
      <c r="BJ512" s="35">
        <f>F512*G512</f>
        <v>0</v>
      </c>
      <c r="BK512" s="35"/>
      <c r="BL512" s="35"/>
    </row>
    <row r="513" spans="1:13" ht="15" customHeight="1">
      <c r="A513" s="38"/>
      <c r="C513" s="39" t="s">
        <v>432</v>
      </c>
      <c r="D513" s="39"/>
      <c r="F513" s="40">
        <v>72</v>
      </c>
      <c r="M513" s="41"/>
    </row>
    <row r="514" spans="1:64" ht="15" customHeight="1">
      <c r="A514" s="34" t="s">
        <v>970</v>
      </c>
      <c r="B514" s="11" t="s">
        <v>971</v>
      </c>
      <c r="C514" s="11" t="s">
        <v>972</v>
      </c>
      <c r="D514" s="11"/>
      <c r="E514" s="11" t="s">
        <v>973</v>
      </c>
      <c r="F514" s="35">
        <v>50</v>
      </c>
      <c r="G514" s="35">
        <v>0</v>
      </c>
      <c r="H514" s="35">
        <f>F514*AO514</f>
        <v>0</v>
      </c>
      <c r="I514" s="35">
        <f>F514*AP514</f>
        <v>0</v>
      </c>
      <c r="J514" s="35">
        <f>F514*G514</f>
        <v>0</v>
      </c>
      <c r="K514" s="35">
        <v>0</v>
      </c>
      <c r="L514" s="35">
        <f>F514*K514</f>
        <v>0</v>
      </c>
      <c r="M514" s="36" t="s">
        <v>57</v>
      </c>
      <c r="Z514" s="35">
        <f>IF(AQ514="5",BJ514,0)</f>
        <v>0</v>
      </c>
      <c r="AB514" s="35">
        <f>IF(AQ514="1",BH514,0)</f>
        <v>0</v>
      </c>
      <c r="AC514" s="35">
        <f>IF(AQ514="1",BI514,0)</f>
        <v>0</v>
      </c>
      <c r="AD514" s="35">
        <f>IF(AQ514="7",BH514,0)</f>
        <v>0</v>
      </c>
      <c r="AE514" s="35">
        <f>IF(AQ514="7",BI514,0)</f>
        <v>0</v>
      </c>
      <c r="AF514" s="35">
        <f>IF(AQ514="2",BH514,0)</f>
        <v>0</v>
      </c>
      <c r="AG514" s="35">
        <f>IF(AQ514="2",BI514,0)</f>
        <v>0</v>
      </c>
      <c r="AH514" s="35">
        <f>IF(AQ514="0",BJ514,0)</f>
        <v>0</v>
      </c>
      <c r="AI514" s="21"/>
      <c r="AJ514" s="35">
        <f>IF(AN514=0,J514,0)</f>
        <v>0</v>
      </c>
      <c r="AK514" s="35">
        <f>IF(AN514=15,J514,0)</f>
        <v>0</v>
      </c>
      <c r="AL514" s="35">
        <f>IF(AN514=21,J514,0)</f>
        <v>0</v>
      </c>
      <c r="AN514" s="35">
        <v>15</v>
      </c>
      <c r="AO514" s="35">
        <f>G514*1</f>
        <v>0</v>
      </c>
      <c r="AP514" s="35">
        <f>G514*(1-1)</f>
        <v>0</v>
      </c>
      <c r="AQ514" s="37" t="s">
        <v>53</v>
      </c>
      <c r="AV514" s="35">
        <f>AW514+AX514</f>
        <v>0</v>
      </c>
      <c r="AW514" s="35">
        <f>F514*AO514</f>
        <v>0</v>
      </c>
      <c r="AX514" s="35">
        <f>F514*AP514</f>
        <v>0</v>
      </c>
      <c r="AY514" s="37" t="s">
        <v>872</v>
      </c>
      <c r="AZ514" s="37" t="s">
        <v>786</v>
      </c>
      <c r="BA514" s="21" t="s">
        <v>59</v>
      </c>
      <c r="BC514" s="35">
        <f>AW514+AX514</f>
        <v>0</v>
      </c>
      <c r="BD514" s="35">
        <f>G514/(100-BE514)*100</f>
        <v>0</v>
      </c>
      <c r="BE514" s="35">
        <v>0</v>
      </c>
      <c r="BF514" s="35">
        <f>L514</f>
        <v>0</v>
      </c>
      <c r="BH514" s="35">
        <f>F514*AO514</f>
        <v>0</v>
      </c>
      <c r="BI514" s="35">
        <f>F514*AP514</f>
        <v>0</v>
      </c>
      <c r="BJ514" s="35">
        <f>F514*G514</f>
        <v>0</v>
      </c>
      <c r="BK514" s="35"/>
      <c r="BL514" s="35"/>
    </row>
    <row r="515" spans="1:13" ht="15" customHeight="1">
      <c r="A515" s="38"/>
      <c r="C515" s="39" t="s">
        <v>223</v>
      </c>
      <c r="D515" s="39"/>
      <c r="F515" s="40">
        <v>50.00000000000001</v>
      </c>
      <c r="M515" s="41"/>
    </row>
    <row r="516" spans="1:64" ht="15" customHeight="1">
      <c r="A516" s="34" t="s">
        <v>974</v>
      </c>
      <c r="B516" s="11" t="s">
        <v>975</v>
      </c>
      <c r="C516" s="11" t="s">
        <v>976</v>
      </c>
      <c r="D516" s="11"/>
      <c r="E516" s="11" t="s">
        <v>93</v>
      </c>
      <c r="F516" s="35">
        <v>580</v>
      </c>
      <c r="G516" s="35">
        <v>0</v>
      </c>
      <c r="H516" s="35">
        <f>F516*AO516</f>
        <v>0</v>
      </c>
      <c r="I516" s="35">
        <f>F516*AP516</f>
        <v>0</v>
      </c>
      <c r="J516" s="35">
        <f>F516*G516</f>
        <v>0</v>
      </c>
      <c r="K516" s="35">
        <v>0.00014</v>
      </c>
      <c r="L516" s="35">
        <f>F516*K516</f>
        <v>0</v>
      </c>
      <c r="M516" s="36" t="s">
        <v>57</v>
      </c>
      <c r="Z516" s="35">
        <f>IF(AQ516="5",BJ516,0)</f>
        <v>0</v>
      </c>
      <c r="AB516" s="35">
        <f>IF(AQ516="1",BH516,0)</f>
        <v>0</v>
      </c>
      <c r="AC516" s="35">
        <f>IF(AQ516="1",BI516,0)</f>
        <v>0</v>
      </c>
      <c r="AD516" s="35">
        <f>IF(AQ516="7",BH516,0)</f>
        <v>0</v>
      </c>
      <c r="AE516" s="35">
        <f>IF(AQ516="7",BI516,0)</f>
        <v>0</v>
      </c>
      <c r="AF516" s="35">
        <f>IF(AQ516="2",BH516,0)</f>
        <v>0</v>
      </c>
      <c r="AG516" s="35">
        <f>IF(AQ516="2",BI516,0)</f>
        <v>0</v>
      </c>
      <c r="AH516" s="35">
        <f>IF(AQ516="0",BJ516,0)</f>
        <v>0</v>
      </c>
      <c r="AI516" s="21"/>
      <c r="AJ516" s="35">
        <f>IF(AN516=0,J516,0)</f>
        <v>0</v>
      </c>
      <c r="AK516" s="35">
        <f>IF(AN516=15,J516,0)</f>
        <v>0</v>
      </c>
      <c r="AL516" s="35">
        <f>IF(AN516=21,J516,0)</f>
        <v>0</v>
      </c>
      <c r="AN516" s="35">
        <v>15</v>
      </c>
      <c r="AO516" s="35">
        <f>G516*0.253968253968254</f>
        <v>0</v>
      </c>
      <c r="AP516" s="35">
        <f>G516*(1-0.253968253968254)</f>
        <v>0</v>
      </c>
      <c r="AQ516" s="37" t="s">
        <v>60</v>
      </c>
      <c r="AV516" s="35">
        <f>AW516+AX516</f>
        <v>0</v>
      </c>
      <c r="AW516" s="35">
        <f>F516*AO516</f>
        <v>0</v>
      </c>
      <c r="AX516" s="35">
        <f>F516*AP516</f>
        <v>0</v>
      </c>
      <c r="AY516" s="37" t="s">
        <v>872</v>
      </c>
      <c r="AZ516" s="37" t="s">
        <v>786</v>
      </c>
      <c r="BA516" s="21" t="s">
        <v>59</v>
      </c>
      <c r="BC516" s="35">
        <f>AW516+AX516</f>
        <v>0</v>
      </c>
      <c r="BD516" s="35">
        <f>G516/(100-BE516)*100</f>
        <v>0</v>
      </c>
      <c r="BE516" s="35">
        <v>0</v>
      </c>
      <c r="BF516" s="35">
        <f>L516</f>
        <v>0</v>
      </c>
      <c r="BH516" s="35">
        <f>F516*AO516</f>
        <v>0</v>
      </c>
      <c r="BI516" s="35">
        <f>F516*AP516</f>
        <v>0</v>
      </c>
      <c r="BJ516" s="35">
        <f>F516*G516</f>
        <v>0</v>
      </c>
      <c r="BK516" s="35"/>
      <c r="BL516" s="35"/>
    </row>
    <row r="517" spans="1:13" ht="15" customHeight="1">
      <c r="A517" s="38"/>
      <c r="C517" s="39" t="s">
        <v>957</v>
      </c>
      <c r="D517" s="39" t="s">
        <v>876</v>
      </c>
      <c r="F517" s="40">
        <v>580</v>
      </c>
      <c r="M517" s="41"/>
    </row>
    <row r="518" spans="1:64" ht="15" customHeight="1">
      <c r="A518" s="34" t="s">
        <v>977</v>
      </c>
      <c r="B518" s="11" t="s">
        <v>910</v>
      </c>
      <c r="C518" s="11" t="s">
        <v>911</v>
      </c>
      <c r="D518" s="11"/>
      <c r="E518" s="11" t="s">
        <v>93</v>
      </c>
      <c r="F518" s="35">
        <v>100</v>
      </c>
      <c r="G518" s="35">
        <v>0</v>
      </c>
      <c r="H518" s="35">
        <f>F518*AO518</f>
        <v>0</v>
      </c>
      <c r="I518" s="35">
        <f>F518*AP518</f>
        <v>0</v>
      </c>
      <c r="J518" s="35">
        <f>F518*G518</f>
        <v>0</v>
      </c>
      <c r="K518" s="35">
        <v>0.00016</v>
      </c>
      <c r="L518" s="35">
        <f>F518*K518</f>
        <v>0</v>
      </c>
      <c r="M518" s="36" t="s">
        <v>57</v>
      </c>
      <c r="Z518" s="35">
        <f>IF(AQ518="5",BJ518,0)</f>
        <v>0</v>
      </c>
      <c r="AB518" s="35">
        <f>IF(AQ518="1",BH518,0)</f>
        <v>0</v>
      </c>
      <c r="AC518" s="35">
        <f>IF(AQ518="1",BI518,0)</f>
        <v>0</v>
      </c>
      <c r="AD518" s="35">
        <f>IF(AQ518="7",BH518,0)</f>
        <v>0</v>
      </c>
      <c r="AE518" s="35">
        <f>IF(AQ518="7",BI518,0)</f>
        <v>0</v>
      </c>
      <c r="AF518" s="35">
        <f>IF(AQ518="2",BH518,0)</f>
        <v>0</v>
      </c>
      <c r="AG518" s="35">
        <f>IF(AQ518="2",BI518,0)</f>
        <v>0</v>
      </c>
      <c r="AH518" s="35">
        <f>IF(AQ518="0",BJ518,0)</f>
        <v>0</v>
      </c>
      <c r="AI518" s="21"/>
      <c r="AJ518" s="35">
        <f>IF(AN518=0,J518,0)</f>
        <v>0</v>
      </c>
      <c r="AK518" s="35">
        <f>IF(AN518=15,J518,0)</f>
        <v>0</v>
      </c>
      <c r="AL518" s="35">
        <f>IF(AN518=21,J518,0)</f>
        <v>0</v>
      </c>
      <c r="AN518" s="35">
        <v>15</v>
      </c>
      <c r="AO518" s="35">
        <f>G518*0.29936170212766</f>
        <v>0</v>
      </c>
      <c r="AP518" s="35">
        <f>G518*(1-0.29936170212766)</f>
        <v>0</v>
      </c>
      <c r="AQ518" s="37" t="s">
        <v>60</v>
      </c>
      <c r="AV518" s="35">
        <f>AW518+AX518</f>
        <v>0</v>
      </c>
      <c r="AW518" s="35">
        <f>F518*AO518</f>
        <v>0</v>
      </c>
      <c r="AX518" s="35">
        <f>F518*AP518</f>
        <v>0</v>
      </c>
      <c r="AY518" s="37" t="s">
        <v>872</v>
      </c>
      <c r="AZ518" s="37" t="s">
        <v>786</v>
      </c>
      <c r="BA518" s="21" t="s">
        <v>59</v>
      </c>
      <c r="BC518" s="35">
        <f>AW518+AX518</f>
        <v>0</v>
      </c>
      <c r="BD518" s="35">
        <f>G518/(100-BE518)*100</f>
        <v>0</v>
      </c>
      <c r="BE518" s="35">
        <v>0</v>
      </c>
      <c r="BF518" s="35">
        <f>L518</f>
        <v>0</v>
      </c>
      <c r="BH518" s="35">
        <f>F518*AO518</f>
        <v>0</v>
      </c>
      <c r="BI518" s="35">
        <f>F518*AP518</f>
        <v>0</v>
      </c>
      <c r="BJ518" s="35">
        <f>F518*G518</f>
        <v>0</v>
      </c>
      <c r="BK518" s="35"/>
      <c r="BL518" s="35"/>
    </row>
    <row r="519" spans="1:13" ht="15" customHeight="1">
      <c r="A519" s="38"/>
      <c r="C519" s="39" t="s">
        <v>552</v>
      </c>
      <c r="D519" s="39" t="s">
        <v>876</v>
      </c>
      <c r="F519" s="40">
        <v>100.00000000000001</v>
      </c>
      <c r="M519" s="41"/>
    </row>
    <row r="520" spans="1:64" ht="15" customHeight="1">
      <c r="A520" s="34" t="s">
        <v>978</v>
      </c>
      <c r="B520" s="11" t="s">
        <v>979</v>
      </c>
      <c r="C520" s="11" t="s">
        <v>980</v>
      </c>
      <c r="D520" s="11"/>
      <c r="E520" s="11" t="s">
        <v>163</v>
      </c>
      <c r="F520" s="35">
        <v>18</v>
      </c>
      <c r="G520" s="35">
        <v>0</v>
      </c>
      <c r="H520" s="35">
        <f>F520*AO520</f>
        <v>0</v>
      </c>
      <c r="I520" s="35">
        <f>F520*AP520</f>
        <v>0</v>
      </c>
      <c r="J520" s="35">
        <f>F520*G520</f>
        <v>0</v>
      </c>
      <c r="K520" s="35">
        <v>0.00594</v>
      </c>
      <c r="L520" s="35">
        <f>F520*K520</f>
        <v>0.18</v>
      </c>
      <c r="M520" s="36" t="s">
        <v>57</v>
      </c>
      <c r="Z520" s="35">
        <f>IF(AQ520="5",BJ520,0)</f>
        <v>0</v>
      </c>
      <c r="AB520" s="35">
        <f>IF(AQ520="1",BH520,0)</f>
        <v>0</v>
      </c>
      <c r="AC520" s="35">
        <f>IF(AQ520="1",BI520,0)</f>
        <v>0</v>
      </c>
      <c r="AD520" s="35">
        <f>IF(AQ520="7",BH520,0)</f>
        <v>0</v>
      </c>
      <c r="AE520" s="35">
        <f>IF(AQ520="7",BI520,0)</f>
        <v>0</v>
      </c>
      <c r="AF520" s="35">
        <f>IF(AQ520="2",BH520,0)</f>
        <v>0</v>
      </c>
      <c r="AG520" s="35">
        <f>IF(AQ520="2",BI520,0)</f>
        <v>0</v>
      </c>
      <c r="AH520" s="35">
        <f>IF(AQ520="0",BJ520,0)</f>
        <v>0</v>
      </c>
      <c r="AI520" s="21"/>
      <c r="AJ520" s="35">
        <f>IF(AN520=0,J520,0)</f>
        <v>0</v>
      </c>
      <c r="AK520" s="35">
        <f>IF(AN520=15,J520,0)</f>
        <v>0</v>
      </c>
      <c r="AL520" s="35">
        <f>IF(AN520=21,J520,0)</f>
        <v>0</v>
      </c>
      <c r="AN520" s="35">
        <v>15</v>
      </c>
      <c r="AO520" s="35">
        <f>G520*0.453340909090909</f>
        <v>0</v>
      </c>
      <c r="AP520" s="35">
        <f>G520*(1-0.453340909090909)</f>
        <v>0</v>
      </c>
      <c r="AQ520" s="37" t="s">
        <v>60</v>
      </c>
      <c r="AV520" s="35">
        <f>AW520+AX520</f>
        <v>0</v>
      </c>
      <c r="AW520" s="35">
        <f>F520*AO520</f>
        <v>0</v>
      </c>
      <c r="AX520" s="35">
        <f>F520*AP520</f>
        <v>0</v>
      </c>
      <c r="AY520" s="37" t="s">
        <v>872</v>
      </c>
      <c r="AZ520" s="37" t="s">
        <v>786</v>
      </c>
      <c r="BA520" s="21" t="s">
        <v>59</v>
      </c>
      <c r="BC520" s="35">
        <f>AW520+AX520</f>
        <v>0</v>
      </c>
      <c r="BD520" s="35">
        <f>G520/(100-BE520)*100</f>
        <v>0</v>
      </c>
      <c r="BE520" s="35">
        <v>0</v>
      </c>
      <c r="BF520" s="35">
        <f>L520</f>
        <v>0.18</v>
      </c>
      <c r="BH520" s="35">
        <f>F520*AO520</f>
        <v>0</v>
      </c>
      <c r="BI520" s="35">
        <f>F520*AP520</f>
        <v>0</v>
      </c>
      <c r="BJ520" s="35">
        <f>F520*G520</f>
        <v>0</v>
      </c>
      <c r="BK520" s="35"/>
      <c r="BL520" s="35"/>
    </row>
    <row r="521" spans="1:13" ht="15" customHeight="1">
      <c r="A521" s="38"/>
      <c r="C521" s="39" t="s">
        <v>119</v>
      </c>
      <c r="D521" s="39"/>
      <c r="F521" s="40">
        <v>18</v>
      </c>
      <c r="M521" s="41"/>
    </row>
    <row r="522" spans="1:64" ht="15" customHeight="1">
      <c r="A522" s="34" t="s">
        <v>981</v>
      </c>
      <c r="B522" s="11" t="s">
        <v>982</v>
      </c>
      <c r="C522" s="11" t="s">
        <v>983</v>
      </c>
      <c r="D522" s="11"/>
      <c r="E522" s="11" t="s">
        <v>163</v>
      </c>
      <c r="F522" s="35">
        <v>5</v>
      </c>
      <c r="G522" s="35">
        <v>0</v>
      </c>
      <c r="H522" s="35">
        <f>F522*AO522</f>
        <v>0</v>
      </c>
      <c r="I522" s="35">
        <f>F522*AP522</f>
        <v>0</v>
      </c>
      <c r="J522" s="35">
        <f>F522*G522</f>
        <v>0</v>
      </c>
      <c r="K522" s="35">
        <v>0</v>
      </c>
      <c r="L522" s="35">
        <f>F522*K522</f>
        <v>0</v>
      </c>
      <c r="M522" s="36" t="s">
        <v>57</v>
      </c>
      <c r="Z522" s="35">
        <f>IF(AQ522="5",BJ522,0)</f>
        <v>0</v>
      </c>
      <c r="AB522" s="35">
        <f>IF(AQ522="1",BH522,0)</f>
        <v>0</v>
      </c>
      <c r="AC522" s="35">
        <f>IF(AQ522="1",BI522,0)</f>
        <v>0</v>
      </c>
      <c r="AD522" s="35">
        <f>IF(AQ522="7",BH522,0)</f>
        <v>0</v>
      </c>
      <c r="AE522" s="35">
        <f>IF(AQ522="7",BI522,0)</f>
        <v>0</v>
      </c>
      <c r="AF522" s="35">
        <f>IF(AQ522="2",BH522,0)</f>
        <v>0</v>
      </c>
      <c r="AG522" s="35">
        <f>IF(AQ522="2",BI522,0)</f>
        <v>0</v>
      </c>
      <c r="AH522" s="35">
        <f>IF(AQ522="0",BJ522,0)</f>
        <v>0</v>
      </c>
      <c r="AI522" s="21"/>
      <c r="AJ522" s="35">
        <f>IF(AN522=0,J522,0)</f>
        <v>0</v>
      </c>
      <c r="AK522" s="35">
        <f>IF(AN522=15,J522,0)</f>
        <v>0</v>
      </c>
      <c r="AL522" s="35">
        <f>IF(AN522=21,J522,0)</f>
        <v>0</v>
      </c>
      <c r="AN522" s="35">
        <v>15</v>
      </c>
      <c r="AO522" s="35">
        <f>G522*0.825484764542936</f>
        <v>0</v>
      </c>
      <c r="AP522" s="35">
        <f>G522*(1-0.825484764542936)</f>
        <v>0</v>
      </c>
      <c r="AQ522" s="37" t="s">
        <v>60</v>
      </c>
      <c r="AV522" s="35">
        <f>AW522+AX522</f>
        <v>0</v>
      </c>
      <c r="AW522" s="35">
        <f>F522*AO522</f>
        <v>0</v>
      </c>
      <c r="AX522" s="35">
        <f>F522*AP522</f>
        <v>0</v>
      </c>
      <c r="AY522" s="37" t="s">
        <v>872</v>
      </c>
      <c r="AZ522" s="37" t="s">
        <v>786</v>
      </c>
      <c r="BA522" s="21" t="s">
        <v>59</v>
      </c>
      <c r="BC522" s="35">
        <f>AW522+AX522</f>
        <v>0</v>
      </c>
      <c r="BD522" s="35">
        <f>G522/(100-BE522)*100</f>
        <v>0</v>
      </c>
      <c r="BE522" s="35">
        <v>0</v>
      </c>
      <c r="BF522" s="35">
        <f>L522</f>
        <v>0</v>
      </c>
      <c r="BH522" s="35">
        <f>F522*AO522</f>
        <v>0</v>
      </c>
      <c r="BI522" s="35">
        <f>F522*AP522</f>
        <v>0</v>
      </c>
      <c r="BJ522" s="35">
        <f>F522*G522</f>
        <v>0</v>
      </c>
      <c r="BK522" s="35"/>
      <c r="BL522" s="35"/>
    </row>
    <row r="523" spans="1:13" ht="15" customHeight="1">
      <c r="A523" s="38"/>
      <c r="C523" s="39" t="s">
        <v>70</v>
      </c>
      <c r="D523" s="39"/>
      <c r="F523" s="40">
        <v>5</v>
      </c>
      <c r="M523" s="41"/>
    </row>
    <row r="524" spans="1:64" ht="15" customHeight="1">
      <c r="A524" s="34" t="s">
        <v>984</v>
      </c>
      <c r="B524" s="11" t="s">
        <v>944</v>
      </c>
      <c r="C524" s="11" t="s">
        <v>985</v>
      </c>
      <c r="D524" s="11"/>
      <c r="E524" s="11" t="s">
        <v>163</v>
      </c>
      <c r="F524" s="35">
        <v>6</v>
      </c>
      <c r="G524" s="35">
        <v>0</v>
      </c>
      <c r="H524" s="35">
        <f>F524*AO524</f>
        <v>0</v>
      </c>
      <c r="I524" s="35">
        <f>F524*AP524</f>
        <v>0</v>
      </c>
      <c r="J524" s="35">
        <f>F524*G524</f>
        <v>0</v>
      </c>
      <c r="K524" s="35">
        <v>0</v>
      </c>
      <c r="L524" s="35">
        <f>F524*K524</f>
        <v>0</v>
      </c>
      <c r="M524" s="36" t="s">
        <v>57</v>
      </c>
      <c r="Z524" s="35">
        <f>IF(AQ524="5",BJ524,0)</f>
        <v>0</v>
      </c>
      <c r="AB524" s="35">
        <f>IF(AQ524="1",BH524,0)</f>
        <v>0</v>
      </c>
      <c r="AC524" s="35">
        <f>IF(AQ524="1",BI524,0)</f>
        <v>0</v>
      </c>
      <c r="AD524" s="35">
        <f>IF(AQ524="7",BH524,0)</f>
        <v>0</v>
      </c>
      <c r="AE524" s="35">
        <f>IF(AQ524="7",BI524,0)</f>
        <v>0</v>
      </c>
      <c r="AF524" s="35">
        <f>IF(AQ524="2",BH524,0)</f>
        <v>0</v>
      </c>
      <c r="AG524" s="35">
        <f>IF(AQ524="2",BI524,0)</f>
        <v>0</v>
      </c>
      <c r="AH524" s="35">
        <f>IF(AQ524="0",BJ524,0)</f>
        <v>0</v>
      </c>
      <c r="AI524" s="21"/>
      <c r="AJ524" s="35">
        <f>IF(AN524=0,J524,0)</f>
        <v>0</v>
      </c>
      <c r="AK524" s="35">
        <f>IF(AN524=15,J524,0)</f>
        <v>0</v>
      </c>
      <c r="AL524" s="35">
        <f>IF(AN524=21,J524,0)</f>
        <v>0</v>
      </c>
      <c r="AN524" s="35">
        <v>15</v>
      </c>
      <c r="AO524" s="35">
        <f>G524*0.541484716157205</f>
        <v>0</v>
      </c>
      <c r="AP524" s="35">
        <f>G524*(1-0.541484716157205)</f>
        <v>0</v>
      </c>
      <c r="AQ524" s="37" t="s">
        <v>60</v>
      </c>
      <c r="AV524" s="35">
        <f>AW524+AX524</f>
        <v>0</v>
      </c>
      <c r="AW524" s="35">
        <f>F524*AO524</f>
        <v>0</v>
      </c>
      <c r="AX524" s="35">
        <f>F524*AP524</f>
        <v>0</v>
      </c>
      <c r="AY524" s="37" t="s">
        <v>872</v>
      </c>
      <c r="AZ524" s="37" t="s">
        <v>786</v>
      </c>
      <c r="BA524" s="21" t="s">
        <v>59</v>
      </c>
      <c r="BC524" s="35">
        <f>AW524+AX524</f>
        <v>0</v>
      </c>
      <c r="BD524" s="35">
        <f>G524/(100-BE524)*100</f>
        <v>0</v>
      </c>
      <c r="BE524" s="35">
        <v>0</v>
      </c>
      <c r="BF524" s="35">
        <f>L524</f>
        <v>0</v>
      </c>
      <c r="BH524" s="35">
        <f>F524*AO524</f>
        <v>0</v>
      </c>
      <c r="BI524" s="35">
        <f>F524*AP524</f>
        <v>0</v>
      </c>
      <c r="BJ524" s="35">
        <f>F524*G524</f>
        <v>0</v>
      </c>
      <c r="BK524" s="35"/>
      <c r="BL524" s="35"/>
    </row>
    <row r="525" spans="1:13" ht="15" customHeight="1">
      <c r="A525" s="38"/>
      <c r="C525" s="39" t="s">
        <v>74</v>
      </c>
      <c r="D525" s="39"/>
      <c r="F525" s="40">
        <v>6.000000000000001</v>
      </c>
      <c r="M525" s="41"/>
    </row>
    <row r="526" spans="1:64" ht="15" customHeight="1">
      <c r="A526" s="34" t="s">
        <v>986</v>
      </c>
      <c r="B526" s="11" t="s">
        <v>987</v>
      </c>
      <c r="C526" s="11" t="s">
        <v>988</v>
      </c>
      <c r="D526" s="11"/>
      <c r="E526" s="11" t="s">
        <v>163</v>
      </c>
      <c r="F526" s="35">
        <v>95</v>
      </c>
      <c r="G526" s="35">
        <v>0</v>
      </c>
      <c r="H526" s="35">
        <f>F526*AO526</f>
        <v>0</v>
      </c>
      <c r="I526" s="35">
        <f>F526*AP526</f>
        <v>0</v>
      </c>
      <c r="J526" s="35">
        <f>F526*G526</f>
        <v>0</v>
      </c>
      <c r="K526" s="35">
        <v>0</v>
      </c>
      <c r="L526" s="35">
        <f>F526*K526</f>
        <v>0</v>
      </c>
      <c r="M526" s="36" t="s">
        <v>57</v>
      </c>
      <c r="Z526" s="35">
        <f>IF(AQ526="5",BJ526,0)</f>
        <v>0</v>
      </c>
      <c r="AB526" s="35">
        <f>IF(AQ526="1",BH526,0)</f>
        <v>0</v>
      </c>
      <c r="AC526" s="35">
        <f>IF(AQ526="1",BI526,0)</f>
        <v>0</v>
      </c>
      <c r="AD526" s="35">
        <f>IF(AQ526="7",BH526,0)</f>
        <v>0</v>
      </c>
      <c r="AE526" s="35">
        <f>IF(AQ526="7",BI526,0)</f>
        <v>0</v>
      </c>
      <c r="AF526" s="35">
        <f>IF(AQ526="2",BH526,0)</f>
        <v>0</v>
      </c>
      <c r="AG526" s="35">
        <f>IF(AQ526="2",BI526,0)</f>
        <v>0</v>
      </c>
      <c r="AH526" s="35">
        <f>IF(AQ526="0",BJ526,0)</f>
        <v>0</v>
      </c>
      <c r="AI526" s="21"/>
      <c r="AJ526" s="35">
        <f>IF(AN526=0,J526,0)</f>
        <v>0</v>
      </c>
      <c r="AK526" s="35">
        <f>IF(AN526=15,J526,0)</f>
        <v>0</v>
      </c>
      <c r="AL526" s="35">
        <f>IF(AN526=21,J526,0)</f>
        <v>0</v>
      </c>
      <c r="AN526" s="35">
        <v>15</v>
      </c>
      <c r="AO526" s="35">
        <f>G526*0.837735849056604</f>
        <v>0</v>
      </c>
      <c r="AP526" s="35">
        <f>G526*(1-0.837735849056604)</f>
        <v>0</v>
      </c>
      <c r="AQ526" s="37" t="s">
        <v>60</v>
      </c>
      <c r="AV526" s="35">
        <f>AW526+AX526</f>
        <v>0</v>
      </c>
      <c r="AW526" s="35">
        <f>F526*AO526</f>
        <v>0</v>
      </c>
      <c r="AX526" s="35">
        <f>F526*AP526</f>
        <v>0</v>
      </c>
      <c r="AY526" s="37" t="s">
        <v>872</v>
      </c>
      <c r="AZ526" s="37" t="s">
        <v>786</v>
      </c>
      <c r="BA526" s="21" t="s">
        <v>59</v>
      </c>
      <c r="BC526" s="35">
        <f>AW526+AX526</f>
        <v>0</v>
      </c>
      <c r="BD526" s="35">
        <f>G526/(100-BE526)*100</f>
        <v>0</v>
      </c>
      <c r="BE526" s="35">
        <v>0</v>
      </c>
      <c r="BF526" s="35">
        <f>L526</f>
        <v>0</v>
      </c>
      <c r="BH526" s="35">
        <f>F526*AO526</f>
        <v>0</v>
      </c>
      <c r="BI526" s="35">
        <f>F526*AP526</f>
        <v>0</v>
      </c>
      <c r="BJ526" s="35">
        <f>F526*G526</f>
        <v>0</v>
      </c>
      <c r="BK526" s="35"/>
      <c r="BL526" s="35"/>
    </row>
    <row r="527" spans="1:13" ht="15" customHeight="1">
      <c r="A527" s="38"/>
      <c r="C527" s="39" t="s">
        <v>525</v>
      </c>
      <c r="D527" s="39"/>
      <c r="F527" s="40">
        <v>95.00000000000001</v>
      </c>
      <c r="M527" s="41"/>
    </row>
    <row r="528" spans="1:64" ht="15" customHeight="1">
      <c r="A528" s="34" t="s">
        <v>989</v>
      </c>
      <c r="B528" s="11" t="s">
        <v>990</v>
      </c>
      <c r="C528" s="11" t="s">
        <v>991</v>
      </c>
      <c r="D528" s="11"/>
      <c r="E528" s="11" t="s">
        <v>56</v>
      </c>
      <c r="F528" s="35">
        <v>6</v>
      </c>
      <c r="G528" s="35">
        <v>0</v>
      </c>
      <c r="H528" s="35">
        <f>F528*AO528</f>
        <v>0</v>
      </c>
      <c r="I528" s="35">
        <f>F528*AP528</f>
        <v>0</v>
      </c>
      <c r="J528" s="35">
        <f>F528*G528</f>
        <v>0</v>
      </c>
      <c r="K528" s="35">
        <v>0</v>
      </c>
      <c r="L528" s="35">
        <f>F528*K528</f>
        <v>0</v>
      </c>
      <c r="M528" s="36" t="s">
        <v>57</v>
      </c>
      <c r="Z528" s="35">
        <f>IF(AQ528="5",BJ528,0)</f>
        <v>0</v>
      </c>
      <c r="AB528" s="35">
        <f>IF(AQ528="1",BH528,0)</f>
        <v>0</v>
      </c>
      <c r="AC528" s="35">
        <f>IF(AQ528="1",BI528,0)</f>
        <v>0</v>
      </c>
      <c r="AD528" s="35">
        <f>IF(AQ528="7",BH528,0)</f>
        <v>0</v>
      </c>
      <c r="AE528" s="35">
        <f>IF(AQ528="7",BI528,0)</f>
        <v>0</v>
      </c>
      <c r="AF528" s="35">
        <f>IF(AQ528="2",BH528,0)</f>
        <v>0</v>
      </c>
      <c r="AG528" s="35">
        <f>IF(AQ528="2",BI528,0)</f>
        <v>0</v>
      </c>
      <c r="AH528" s="35">
        <f>IF(AQ528="0",BJ528,0)</f>
        <v>0</v>
      </c>
      <c r="AI528" s="21"/>
      <c r="AJ528" s="35">
        <f>IF(AN528=0,J528,0)</f>
        <v>0</v>
      </c>
      <c r="AK528" s="35">
        <f>IF(AN528=15,J528,0)</f>
        <v>0</v>
      </c>
      <c r="AL528" s="35">
        <f>IF(AN528=21,J528,0)</f>
        <v>0</v>
      </c>
      <c r="AN528" s="35">
        <v>15</v>
      </c>
      <c r="AO528" s="35">
        <f>G528*0</f>
        <v>0</v>
      </c>
      <c r="AP528" s="35">
        <f>G528*(1-0)</f>
        <v>0</v>
      </c>
      <c r="AQ528" s="37" t="s">
        <v>60</v>
      </c>
      <c r="AV528" s="35">
        <f>AW528+AX528</f>
        <v>0</v>
      </c>
      <c r="AW528" s="35">
        <f>F528*AO528</f>
        <v>0</v>
      </c>
      <c r="AX528" s="35">
        <f>F528*AP528</f>
        <v>0</v>
      </c>
      <c r="AY528" s="37" t="s">
        <v>872</v>
      </c>
      <c r="AZ528" s="37" t="s">
        <v>786</v>
      </c>
      <c r="BA528" s="21" t="s">
        <v>59</v>
      </c>
      <c r="BC528" s="35">
        <f>AW528+AX528</f>
        <v>0</v>
      </c>
      <c r="BD528" s="35">
        <f>G528/(100-BE528)*100</f>
        <v>0</v>
      </c>
      <c r="BE528" s="35">
        <v>0</v>
      </c>
      <c r="BF528" s="35">
        <f>L528</f>
        <v>0</v>
      </c>
      <c r="BH528" s="35">
        <f>F528*AO528</f>
        <v>0</v>
      </c>
      <c r="BI528" s="35">
        <f>F528*AP528</f>
        <v>0</v>
      </c>
      <c r="BJ528" s="35">
        <f>F528*G528</f>
        <v>0</v>
      </c>
      <c r="BK528" s="35"/>
      <c r="BL528" s="35"/>
    </row>
    <row r="529" spans="1:13" ht="15" customHeight="1">
      <c r="A529" s="38"/>
      <c r="C529" s="39" t="s">
        <v>74</v>
      </c>
      <c r="D529" s="39"/>
      <c r="F529" s="40">
        <v>6.000000000000001</v>
      </c>
      <c r="M529" s="41"/>
    </row>
    <row r="530" spans="1:64" ht="15" customHeight="1">
      <c r="A530" s="34" t="s">
        <v>992</v>
      </c>
      <c r="B530" s="11" t="s">
        <v>993</v>
      </c>
      <c r="C530" s="11" t="s">
        <v>994</v>
      </c>
      <c r="D530" s="11"/>
      <c r="E530" s="11" t="s">
        <v>784</v>
      </c>
      <c r="F530" s="35">
        <v>20</v>
      </c>
      <c r="G530" s="35">
        <v>0</v>
      </c>
      <c r="H530" s="35">
        <f>F530*AO530</f>
        <v>0</v>
      </c>
      <c r="I530" s="35">
        <f>F530*AP530</f>
        <v>0</v>
      </c>
      <c r="J530" s="35">
        <f>F530*G530</f>
        <v>0</v>
      </c>
      <c r="K530" s="35">
        <v>0</v>
      </c>
      <c r="L530" s="35">
        <f>F530*K530</f>
        <v>0</v>
      </c>
      <c r="M530" s="36" t="s">
        <v>57</v>
      </c>
      <c r="Z530" s="35">
        <f>IF(AQ530="5",BJ530,0)</f>
        <v>0</v>
      </c>
      <c r="AB530" s="35">
        <f>IF(AQ530="1",BH530,0)</f>
        <v>0</v>
      </c>
      <c r="AC530" s="35">
        <f>IF(AQ530="1",BI530,0)</f>
        <v>0</v>
      </c>
      <c r="AD530" s="35">
        <f>IF(AQ530="7",BH530,0)</f>
        <v>0</v>
      </c>
      <c r="AE530" s="35">
        <f>IF(AQ530="7",BI530,0)</f>
        <v>0</v>
      </c>
      <c r="AF530" s="35">
        <f>IF(AQ530="2",BH530,0)</f>
        <v>0</v>
      </c>
      <c r="AG530" s="35">
        <f>IF(AQ530="2",BI530,0)</f>
        <v>0</v>
      </c>
      <c r="AH530" s="35">
        <f>IF(AQ530="0",BJ530,0)</f>
        <v>0</v>
      </c>
      <c r="AI530" s="21"/>
      <c r="AJ530" s="35">
        <f>IF(AN530=0,J530,0)</f>
        <v>0</v>
      </c>
      <c r="AK530" s="35">
        <f>IF(AN530=15,J530,0)</f>
        <v>0</v>
      </c>
      <c r="AL530" s="35">
        <f>IF(AN530=21,J530,0)</f>
        <v>0</v>
      </c>
      <c r="AN530" s="35">
        <v>15</v>
      </c>
      <c r="AO530" s="35">
        <f>G530*0</f>
        <v>0</v>
      </c>
      <c r="AP530" s="35">
        <f>G530*(1-0)</f>
        <v>0</v>
      </c>
      <c r="AQ530" s="37" t="s">
        <v>53</v>
      </c>
      <c r="AV530" s="35">
        <f>AW530+AX530</f>
        <v>0</v>
      </c>
      <c r="AW530" s="35">
        <f>F530*AO530</f>
        <v>0</v>
      </c>
      <c r="AX530" s="35">
        <f>F530*AP530</f>
        <v>0</v>
      </c>
      <c r="AY530" s="37" t="s">
        <v>872</v>
      </c>
      <c r="AZ530" s="37" t="s">
        <v>786</v>
      </c>
      <c r="BA530" s="21" t="s">
        <v>59</v>
      </c>
      <c r="BC530" s="35">
        <f>AW530+AX530</f>
        <v>0</v>
      </c>
      <c r="BD530" s="35">
        <f>G530/(100-BE530)*100</f>
        <v>0</v>
      </c>
      <c r="BE530" s="35">
        <v>0</v>
      </c>
      <c r="BF530" s="35">
        <f>L530</f>
        <v>0</v>
      </c>
      <c r="BH530" s="35">
        <f>F530*AO530</f>
        <v>0</v>
      </c>
      <c r="BI530" s="35">
        <f>F530*AP530</f>
        <v>0</v>
      </c>
      <c r="BJ530" s="35">
        <f>F530*G530</f>
        <v>0</v>
      </c>
      <c r="BK530" s="35"/>
      <c r="BL530" s="35"/>
    </row>
    <row r="531" spans="1:13" ht="15" customHeight="1">
      <c r="A531" s="38"/>
      <c r="C531" s="39" t="s">
        <v>165</v>
      </c>
      <c r="D531" s="39"/>
      <c r="F531" s="40">
        <v>20</v>
      </c>
      <c r="M531" s="41"/>
    </row>
    <row r="532" spans="1:64" ht="15" customHeight="1">
      <c r="A532" s="34" t="s">
        <v>995</v>
      </c>
      <c r="B532" s="11" t="s">
        <v>996</v>
      </c>
      <c r="C532" s="11" t="s">
        <v>997</v>
      </c>
      <c r="D532" s="11"/>
      <c r="E532" s="11" t="s">
        <v>784</v>
      </c>
      <c r="F532" s="35">
        <v>20</v>
      </c>
      <c r="G532" s="35">
        <v>0</v>
      </c>
      <c r="H532" s="35">
        <f>F532*AO532</f>
        <v>0</v>
      </c>
      <c r="I532" s="35">
        <f>F532*AP532</f>
        <v>0</v>
      </c>
      <c r="J532" s="35">
        <f>F532*G532</f>
        <v>0</v>
      </c>
      <c r="K532" s="35">
        <v>0</v>
      </c>
      <c r="L532" s="35">
        <f>F532*K532</f>
        <v>0</v>
      </c>
      <c r="M532" s="36" t="s">
        <v>57</v>
      </c>
      <c r="Z532" s="35">
        <f>IF(AQ532="5",BJ532,0)</f>
        <v>0</v>
      </c>
      <c r="AB532" s="35">
        <f>IF(AQ532="1",BH532,0)</f>
        <v>0</v>
      </c>
      <c r="AC532" s="35">
        <f>IF(AQ532="1",BI532,0)</f>
        <v>0</v>
      </c>
      <c r="AD532" s="35">
        <f>IF(AQ532="7",BH532,0)</f>
        <v>0</v>
      </c>
      <c r="AE532" s="35">
        <f>IF(AQ532="7",BI532,0)</f>
        <v>0</v>
      </c>
      <c r="AF532" s="35">
        <f>IF(AQ532="2",BH532,0)</f>
        <v>0</v>
      </c>
      <c r="AG532" s="35">
        <f>IF(AQ532="2",BI532,0)</f>
        <v>0</v>
      </c>
      <c r="AH532" s="35">
        <f>IF(AQ532="0",BJ532,0)</f>
        <v>0</v>
      </c>
      <c r="AI532" s="21"/>
      <c r="AJ532" s="35">
        <f>IF(AN532=0,J532,0)</f>
        <v>0</v>
      </c>
      <c r="AK532" s="35">
        <f>IF(AN532=15,J532,0)</f>
        <v>0</v>
      </c>
      <c r="AL532" s="35">
        <f>IF(AN532=21,J532,0)</f>
        <v>0</v>
      </c>
      <c r="AN532" s="35">
        <v>15</v>
      </c>
      <c r="AO532" s="35">
        <f>G532*0</f>
        <v>0</v>
      </c>
      <c r="AP532" s="35">
        <f>G532*(1-0)</f>
        <v>0</v>
      </c>
      <c r="AQ532" s="37" t="s">
        <v>53</v>
      </c>
      <c r="AV532" s="35">
        <f>AW532+AX532</f>
        <v>0</v>
      </c>
      <c r="AW532" s="35">
        <f>F532*AO532</f>
        <v>0</v>
      </c>
      <c r="AX532" s="35">
        <f>F532*AP532</f>
        <v>0</v>
      </c>
      <c r="AY532" s="37" t="s">
        <v>872</v>
      </c>
      <c r="AZ532" s="37" t="s">
        <v>786</v>
      </c>
      <c r="BA532" s="21" t="s">
        <v>59</v>
      </c>
      <c r="BC532" s="35">
        <f>AW532+AX532</f>
        <v>0</v>
      </c>
      <c r="BD532" s="35">
        <f>G532/(100-BE532)*100</f>
        <v>0</v>
      </c>
      <c r="BE532" s="35">
        <v>0</v>
      </c>
      <c r="BF532" s="35">
        <f>L532</f>
        <v>0</v>
      </c>
      <c r="BH532" s="35">
        <f>F532*AO532</f>
        <v>0</v>
      </c>
      <c r="BI532" s="35">
        <f>F532*AP532</f>
        <v>0</v>
      </c>
      <c r="BJ532" s="35">
        <f>F532*G532</f>
        <v>0</v>
      </c>
      <c r="BK532" s="35"/>
      <c r="BL532" s="35"/>
    </row>
    <row r="533" spans="1:13" ht="15" customHeight="1">
      <c r="A533" s="38"/>
      <c r="C533" s="39" t="s">
        <v>165</v>
      </c>
      <c r="D533" s="39" t="s">
        <v>998</v>
      </c>
      <c r="F533" s="40">
        <v>20</v>
      </c>
      <c r="M533" s="41"/>
    </row>
    <row r="534" spans="1:64" ht="15" customHeight="1">
      <c r="A534" s="34" t="s">
        <v>999</v>
      </c>
      <c r="B534" s="11" t="s">
        <v>1000</v>
      </c>
      <c r="C534" s="11" t="s">
        <v>1001</v>
      </c>
      <c r="D534" s="11"/>
      <c r="E534" s="11" t="s">
        <v>56</v>
      </c>
      <c r="F534" s="35">
        <v>1</v>
      </c>
      <c r="G534" s="35">
        <v>0</v>
      </c>
      <c r="H534" s="35">
        <f>F534*AO534</f>
        <v>0</v>
      </c>
      <c r="I534" s="35">
        <f>F534*AP534</f>
        <v>0</v>
      </c>
      <c r="J534" s="35">
        <f>F534*G534</f>
        <v>0</v>
      </c>
      <c r="K534" s="35">
        <v>4E-05</v>
      </c>
      <c r="L534" s="35">
        <f>F534*K534</f>
        <v>0</v>
      </c>
      <c r="M534" s="36" t="s">
        <v>57</v>
      </c>
      <c r="Z534" s="35">
        <f>IF(AQ534="5",BJ534,0)</f>
        <v>0</v>
      </c>
      <c r="AB534" s="35">
        <f>IF(AQ534="1",BH534,0)</f>
        <v>0</v>
      </c>
      <c r="AC534" s="35">
        <f>IF(AQ534="1",BI534,0)</f>
        <v>0</v>
      </c>
      <c r="AD534" s="35">
        <f>IF(AQ534="7",BH534,0)</f>
        <v>0</v>
      </c>
      <c r="AE534" s="35">
        <f>IF(AQ534="7",BI534,0)</f>
        <v>0</v>
      </c>
      <c r="AF534" s="35">
        <f>IF(AQ534="2",BH534,0)</f>
        <v>0</v>
      </c>
      <c r="AG534" s="35">
        <f>IF(AQ534="2",BI534,0)</f>
        <v>0</v>
      </c>
      <c r="AH534" s="35">
        <f>IF(AQ534="0",BJ534,0)</f>
        <v>0</v>
      </c>
      <c r="AI534" s="21"/>
      <c r="AJ534" s="35">
        <f>IF(AN534=0,J534,0)</f>
        <v>0</v>
      </c>
      <c r="AK534" s="35">
        <f>IF(AN534=15,J534,0)</f>
        <v>0</v>
      </c>
      <c r="AL534" s="35">
        <f>IF(AN534=21,J534,0)</f>
        <v>0</v>
      </c>
      <c r="AN534" s="35">
        <v>15</v>
      </c>
      <c r="AO534" s="35">
        <f>G534*0.0123808333333333</f>
        <v>0</v>
      </c>
      <c r="AP534" s="35">
        <f>G534*(1-0.0123808333333333)</f>
        <v>0</v>
      </c>
      <c r="AQ534" s="37" t="s">
        <v>53</v>
      </c>
      <c r="AV534" s="35">
        <f>AW534+AX534</f>
        <v>0</v>
      </c>
      <c r="AW534" s="35">
        <f>F534*AO534</f>
        <v>0</v>
      </c>
      <c r="AX534" s="35">
        <f>F534*AP534</f>
        <v>0</v>
      </c>
      <c r="AY534" s="37" t="s">
        <v>872</v>
      </c>
      <c r="AZ534" s="37" t="s">
        <v>786</v>
      </c>
      <c r="BA534" s="21" t="s">
        <v>59</v>
      </c>
      <c r="BC534" s="35">
        <f>AW534+AX534</f>
        <v>0</v>
      </c>
      <c r="BD534" s="35">
        <f>G534/(100-BE534)*100</f>
        <v>0</v>
      </c>
      <c r="BE534" s="35">
        <v>0</v>
      </c>
      <c r="BF534" s="35">
        <f>L534</f>
        <v>0</v>
      </c>
      <c r="BH534" s="35">
        <f>F534*AO534</f>
        <v>0</v>
      </c>
      <c r="BI534" s="35">
        <f>F534*AP534</f>
        <v>0</v>
      </c>
      <c r="BJ534" s="35">
        <f>F534*G534</f>
        <v>0</v>
      </c>
      <c r="BK534" s="35"/>
      <c r="BL534" s="35"/>
    </row>
    <row r="535" spans="1:13" ht="15" customHeight="1">
      <c r="A535" s="38"/>
      <c r="C535" s="39" t="s">
        <v>53</v>
      </c>
      <c r="D535" s="39" t="s">
        <v>1002</v>
      </c>
      <c r="F535" s="40">
        <v>1</v>
      </c>
      <c r="M535" s="41"/>
    </row>
    <row r="536" spans="1:76" ht="15" customHeight="1">
      <c r="A536" s="42"/>
      <c r="B536" s="43" t="s">
        <v>1003</v>
      </c>
      <c r="C536" s="44" t="s">
        <v>1004</v>
      </c>
      <c r="D536" s="44"/>
      <c r="E536" s="45" t="s">
        <v>4</v>
      </c>
      <c r="F536" s="45" t="s">
        <v>4</v>
      </c>
      <c r="G536" s="45" t="s">
        <v>4</v>
      </c>
      <c r="H536" s="46">
        <f>SUM(H537:H539)</f>
        <v>0</v>
      </c>
      <c r="I536" s="46">
        <f>SUM(I537:I539)</f>
        <v>0</v>
      </c>
      <c r="J536" s="46">
        <f>SUM(J537:J539)</f>
        <v>0</v>
      </c>
      <c r="K536" s="47"/>
      <c r="L536" s="46">
        <f>SUM(L537:L539)</f>
        <v>0</v>
      </c>
      <c r="M536" s="48"/>
      <c r="W536" s="49"/>
      <c r="Y536"/>
      <c r="Z536" s="49"/>
      <c r="AA536" s="49"/>
      <c r="AB536" s="49"/>
      <c r="AC536" s="49"/>
      <c r="AD536" s="49"/>
      <c r="AE536" s="49"/>
      <c r="AF536" s="49"/>
      <c r="AG536" s="49"/>
      <c r="AH536" s="49"/>
      <c r="AI536" s="47"/>
      <c r="AJ536" s="49"/>
      <c r="AK536" s="49"/>
      <c r="AL536" s="49"/>
      <c r="AM536" s="49"/>
      <c r="AN536" s="49"/>
      <c r="AO536" s="49"/>
      <c r="AP536" s="49"/>
      <c r="AQ536" s="49"/>
      <c r="AR536" s="49"/>
      <c r="AS536" s="46">
        <f>SUM(AJ537:AJ539)</f>
        <v>0</v>
      </c>
      <c r="AT536" s="46">
        <f>SUM(AK537:AK539)</f>
        <v>0</v>
      </c>
      <c r="AU536" s="46">
        <f>SUM(AL537:AL539)</f>
        <v>0</v>
      </c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</row>
    <row r="537" spans="1:76" ht="15" customHeight="1">
      <c r="A537" s="50" t="s">
        <v>53</v>
      </c>
      <c r="B537" s="51" t="s">
        <v>1005</v>
      </c>
      <c r="C537" s="52" t="s">
        <v>1006</v>
      </c>
      <c r="D537" s="52"/>
      <c r="E537" s="51" t="s">
        <v>163</v>
      </c>
      <c r="F537" s="53">
        <v>1</v>
      </c>
      <c r="G537" s="53">
        <v>0</v>
      </c>
      <c r="H537" s="53">
        <f>F537*AO537</f>
        <v>0</v>
      </c>
      <c r="I537" s="53">
        <f>F537*AP537</f>
        <v>0</v>
      </c>
      <c r="J537" s="53">
        <f>F537*G537</f>
        <v>0</v>
      </c>
      <c r="K537" s="53">
        <v>0</v>
      </c>
      <c r="L537" s="53">
        <f>F537*K537</f>
        <v>0</v>
      </c>
      <c r="M537" s="54" t="s">
        <v>1007</v>
      </c>
      <c r="W537" s="49"/>
      <c r="Y537"/>
      <c r="Z537" s="53">
        <f>IF(AQ537="5",BJ537,0)</f>
        <v>0</v>
      </c>
      <c r="AA537" s="49"/>
      <c r="AB537" s="53">
        <f>IF(AQ537="1",BH537,0)</f>
        <v>0</v>
      </c>
      <c r="AC537" s="53">
        <f>IF(AQ537="1",BI537,0)</f>
        <v>0</v>
      </c>
      <c r="AD537" s="53">
        <f>IF(AQ537="7",BH537,0)</f>
        <v>0</v>
      </c>
      <c r="AE537" s="53">
        <f>IF(AQ537="7",BI537,0)</f>
        <v>0</v>
      </c>
      <c r="AF537" s="53">
        <f>IF(AQ537="2",BH537,0)</f>
        <v>0</v>
      </c>
      <c r="AG537" s="53">
        <f>IF(AQ537="2",BI537,0)</f>
        <v>0</v>
      </c>
      <c r="AH537" s="53">
        <f>IF(AQ537="0",BJ537,0)</f>
        <v>0</v>
      </c>
      <c r="AI537" s="47"/>
      <c r="AJ537" s="53">
        <f>IF(AN537=0,J537,0)</f>
        <v>0</v>
      </c>
      <c r="AK537" s="53">
        <f>IF(AN537=12,J537,0)</f>
        <v>0</v>
      </c>
      <c r="AL537" s="53">
        <f>IF(AN537=21,J537,0)</f>
        <v>0</v>
      </c>
      <c r="AM537" s="49"/>
      <c r="AN537" s="53">
        <v>12</v>
      </c>
      <c r="AO537" s="53">
        <f>G537*0</f>
        <v>0</v>
      </c>
      <c r="AP537" s="53">
        <f>G537*(1-0)</f>
        <v>0</v>
      </c>
      <c r="AQ537" s="55" t="s">
        <v>60</v>
      </c>
      <c r="AR537" s="49"/>
      <c r="AS537" s="49"/>
      <c r="AT537" s="49"/>
      <c r="AU537" s="49"/>
      <c r="AV537" s="53">
        <f>AW537+AX537</f>
        <v>0</v>
      </c>
      <c r="AW537" s="53">
        <f>F537*AO537</f>
        <v>0</v>
      </c>
      <c r="AX537" s="53">
        <f>F537*AP537</f>
        <v>0</v>
      </c>
      <c r="AY537" s="55" t="s">
        <v>1008</v>
      </c>
      <c r="AZ537" s="55" t="s">
        <v>786</v>
      </c>
      <c r="BA537" s="47" t="s">
        <v>59</v>
      </c>
      <c r="BB537" s="49"/>
      <c r="BC537" s="53">
        <f>AW537+AX537</f>
        <v>0</v>
      </c>
      <c r="BD537" s="53">
        <f>G537/(100-BE537)*100</f>
        <v>0</v>
      </c>
      <c r="BE537" s="53">
        <v>0</v>
      </c>
      <c r="BF537" s="53">
        <f>L537</f>
        <v>0</v>
      </c>
      <c r="BG537" s="49"/>
      <c r="BH537" s="53">
        <f>F537*AO537</f>
        <v>0</v>
      </c>
      <c r="BI537" s="53">
        <f>F537*AP537</f>
        <v>0</v>
      </c>
      <c r="BJ537" s="53">
        <f>F537*G537</f>
        <v>0</v>
      </c>
      <c r="BK537" s="53"/>
      <c r="BL537" s="53"/>
      <c r="BM537" s="49"/>
      <c r="BN537" s="49"/>
      <c r="BO537" s="49"/>
      <c r="BP537" s="49"/>
      <c r="BQ537" s="49"/>
      <c r="BR537" s="49"/>
      <c r="BS537" s="49"/>
      <c r="BT537" s="49"/>
      <c r="BU537" s="53" t="e">
        <f>#REF!</f>
        <v>#REF!</v>
      </c>
      <c r="BV537" s="52" t="s">
        <v>1006</v>
      </c>
      <c r="BW537" s="49"/>
      <c r="BX537" s="49"/>
    </row>
    <row r="538" spans="1:76" ht="15.75" customHeight="1">
      <c r="A538" s="56"/>
      <c r="B538" s="49"/>
      <c r="C538" s="57" t="s">
        <v>53</v>
      </c>
      <c r="D538" s="57" t="s">
        <v>1009</v>
      </c>
      <c r="E538" s="49"/>
      <c r="F538" s="58">
        <v>1</v>
      </c>
      <c r="G538" s="49"/>
      <c r="H538" s="49"/>
      <c r="I538" s="49"/>
      <c r="J538" s="49"/>
      <c r="K538" s="49"/>
      <c r="L538" s="49"/>
      <c r="M538" s="59"/>
      <c r="W538" s="49"/>
      <c r="Y538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</row>
    <row r="539" spans="1:76" ht="15" customHeight="1">
      <c r="A539" s="50" t="s">
        <v>60</v>
      </c>
      <c r="B539" s="51" t="s">
        <v>1010</v>
      </c>
      <c r="C539" s="52" t="s">
        <v>1011</v>
      </c>
      <c r="D539" s="52"/>
      <c r="E539" s="51" t="s">
        <v>163</v>
      </c>
      <c r="F539" s="53">
        <v>1</v>
      </c>
      <c r="G539" s="53">
        <v>0</v>
      </c>
      <c r="H539" s="53">
        <f>F539*AO539</f>
        <v>0</v>
      </c>
      <c r="I539" s="53">
        <f>F539*AP539</f>
        <v>0</v>
      </c>
      <c r="J539" s="53">
        <f>F539*G539</f>
        <v>0</v>
      </c>
      <c r="K539" s="53">
        <v>0</v>
      </c>
      <c r="L539" s="53">
        <f>F539*K539</f>
        <v>0</v>
      </c>
      <c r="M539" s="54" t="s">
        <v>1007</v>
      </c>
      <c r="W539" s="49"/>
      <c r="Y539"/>
      <c r="Z539" s="53">
        <f>IF(AQ539="5",BJ539,0)</f>
        <v>0</v>
      </c>
      <c r="AA539" s="49"/>
      <c r="AB539" s="53">
        <f>IF(AQ539="1",BH539,0)</f>
        <v>0</v>
      </c>
      <c r="AC539" s="53">
        <f>IF(AQ539="1",BI539,0)</f>
        <v>0</v>
      </c>
      <c r="AD539" s="53">
        <f>IF(AQ539="7",BH539,0)</f>
        <v>0</v>
      </c>
      <c r="AE539" s="53">
        <f>IF(AQ539="7",BI539,0)</f>
        <v>0</v>
      </c>
      <c r="AF539" s="53">
        <f>IF(AQ539="2",BH539,0)</f>
        <v>0</v>
      </c>
      <c r="AG539" s="53">
        <f>IF(AQ539="2",BI539,0)</f>
        <v>0</v>
      </c>
      <c r="AH539" s="53">
        <f>IF(AQ539="0",BJ539,0)</f>
        <v>0</v>
      </c>
      <c r="AI539" s="47"/>
      <c r="AJ539" s="53">
        <f>IF(AN539=0,J539,0)</f>
        <v>0</v>
      </c>
      <c r="AK539" s="53">
        <f>IF(AN539=12,J539,0)</f>
        <v>0</v>
      </c>
      <c r="AL539" s="53">
        <f>IF(AN539=21,J539,0)</f>
        <v>0</v>
      </c>
      <c r="AM539" s="49"/>
      <c r="AN539" s="53">
        <v>12</v>
      </c>
      <c r="AO539" s="53">
        <f>G539*0</f>
        <v>0</v>
      </c>
      <c r="AP539" s="53">
        <f>G539*(1-0)</f>
        <v>0</v>
      </c>
      <c r="AQ539" s="55" t="s">
        <v>60</v>
      </c>
      <c r="AR539" s="49"/>
      <c r="AS539" s="49"/>
      <c r="AT539" s="49"/>
      <c r="AU539" s="49"/>
      <c r="AV539" s="53">
        <f>AW539+AX539</f>
        <v>0</v>
      </c>
      <c r="AW539" s="53">
        <f>F539*AO539</f>
        <v>0</v>
      </c>
      <c r="AX539" s="53">
        <f>F539*AP539</f>
        <v>0</v>
      </c>
      <c r="AY539" s="55" t="s">
        <v>1008</v>
      </c>
      <c r="AZ539" s="55" t="s">
        <v>786</v>
      </c>
      <c r="BA539" s="47" t="s">
        <v>59</v>
      </c>
      <c r="BB539" s="49"/>
      <c r="BC539" s="53">
        <f>AW539+AX539</f>
        <v>0</v>
      </c>
      <c r="BD539" s="53">
        <f>G539/(100-BE539)*100</f>
        <v>0</v>
      </c>
      <c r="BE539" s="53">
        <v>0</v>
      </c>
      <c r="BF539" s="53">
        <f>L539</f>
        <v>0</v>
      </c>
      <c r="BG539" s="49"/>
      <c r="BH539" s="53">
        <f>F539*AO539</f>
        <v>0</v>
      </c>
      <c r="BI539" s="53">
        <f>F539*AP539</f>
        <v>0</v>
      </c>
      <c r="BJ539" s="53">
        <f>F539*G539</f>
        <v>0</v>
      </c>
      <c r="BK539" s="53"/>
      <c r="BL539" s="53"/>
      <c r="BM539" s="49"/>
      <c r="BN539" s="49"/>
      <c r="BO539" s="49"/>
      <c r="BP539" s="49"/>
      <c r="BQ539" s="49"/>
      <c r="BR539" s="49"/>
      <c r="BS539" s="49"/>
      <c r="BT539" s="49"/>
      <c r="BU539" s="53" t="e">
        <f>#REF!</f>
        <v>#REF!</v>
      </c>
      <c r="BV539" s="52" t="s">
        <v>1011</v>
      </c>
      <c r="BW539" s="49"/>
      <c r="BX539" s="49"/>
    </row>
    <row r="540" spans="1:76" ht="15.75" customHeight="1">
      <c r="A540" s="56"/>
      <c r="B540" s="49"/>
      <c r="C540" s="57" t="s">
        <v>53</v>
      </c>
      <c r="D540" s="57"/>
      <c r="E540" s="49"/>
      <c r="F540" s="58">
        <v>1</v>
      </c>
      <c r="G540" s="49"/>
      <c r="H540" s="49"/>
      <c r="I540" s="49"/>
      <c r="J540" s="49"/>
      <c r="K540" s="49"/>
      <c r="L540" s="49"/>
      <c r="M540" s="5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</row>
    <row r="541" spans="1:47" ht="15.75" customHeight="1">
      <c r="A541" s="30"/>
      <c r="B541" s="31" t="s">
        <v>1012</v>
      </c>
      <c r="C541" s="31" t="s">
        <v>1013</v>
      </c>
      <c r="D541" s="31"/>
      <c r="E541" s="32" t="s">
        <v>4</v>
      </c>
      <c r="F541" s="32" t="s">
        <v>4</v>
      </c>
      <c r="G541" s="32" t="s">
        <v>4</v>
      </c>
      <c r="H541" s="3">
        <f>SUM(H542:H552)</f>
        <v>0</v>
      </c>
      <c r="I541" s="3">
        <f>SUM(I542:I552)</f>
        <v>0</v>
      </c>
      <c r="J541" s="3">
        <f>SUM(J542:J552)</f>
        <v>0</v>
      </c>
      <c r="K541" s="21"/>
      <c r="L541" s="3">
        <f>SUM(L542:L552)</f>
        <v>0</v>
      </c>
      <c r="M541" s="33"/>
      <c r="AI541" s="21"/>
      <c r="AS541" s="3">
        <f>SUM(AJ542:AJ552)</f>
        <v>0</v>
      </c>
      <c r="AT541" s="3">
        <f>SUM(AK542:AK552)</f>
        <v>0</v>
      </c>
      <c r="AU541" s="3">
        <f>SUM(AL542:AL552)</f>
        <v>0</v>
      </c>
    </row>
    <row r="542" spans="1:64" ht="15" customHeight="1">
      <c r="A542" s="34">
        <v>216</v>
      </c>
      <c r="B542" s="11" t="s">
        <v>1014</v>
      </c>
      <c r="C542" s="11" t="s">
        <v>1015</v>
      </c>
      <c r="D542" s="11"/>
      <c r="E542" s="11" t="s">
        <v>172</v>
      </c>
      <c r="F542" s="35">
        <v>26.948</v>
      </c>
      <c r="G542" s="35">
        <v>0</v>
      </c>
      <c r="H542" s="35">
        <f>F542*AO542</f>
        <v>0</v>
      </c>
      <c r="I542" s="35">
        <f>F542*AP542</f>
        <v>0</v>
      </c>
      <c r="J542" s="35">
        <f>F542*G542</f>
        <v>0</v>
      </c>
      <c r="K542" s="35">
        <v>0</v>
      </c>
      <c r="L542" s="35">
        <f>F542*K542</f>
        <v>0</v>
      </c>
      <c r="M542" s="36" t="s">
        <v>86</v>
      </c>
      <c r="Z542" s="35">
        <f>IF(AQ542="5",BJ542,0)</f>
        <v>0</v>
      </c>
      <c r="AB542" s="35">
        <f>IF(AQ542="1",BH542,0)</f>
        <v>0</v>
      </c>
      <c r="AC542" s="35">
        <f>IF(AQ542="1",BI542,0)</f>
        <v>0</v>
      </c>
      <c r="AD542" s="35">
        <f>IF(AQ542="7",BH542,0)</f>
        <v>0</v>
      </c>
      <c r="AE542" s="35">
        <f>IF(AQ542="7",BI542,0)</f>
        <v>0</v>
      </c>
      <c r="AF542" s="35">
        <f>IF(AQ542="2",BH542,0)</f>
        <v>0</v>
      </c>
      <c r="AG542" s="35">
        <f>IF(AQ542="2",BI542,0)</f>
        <v>0</v>
      </c>
      <c r="AH542" s="35">
        <f>IF(AQ542="0",BJ542,0)</f>
        <v>0</v>
      </c>
      <c r="AI542" s="21"/>
      <c r="AJ542" s="35">
        <f>IF(AN542=0,J542,0)</f>
        <v>0</v>
      </c>
      <c r="AK542" s="35">
        <f>IF(AN542=15,J542,0)</f>
        <v>0</v>
      </c>
      <c r="AL542" s="35">
        <f>IF(AN542=21,J542,0)</f>
        <v>0</v>
      </c>
      <c r="AN542" s="35">
        <v>15</v>
      </c>
      <c r="AO542" s="35">
        <f>G542*0</f>
        <v>0</v>
      </c>
      <c r="AP542" s="35">
        <f>G542*(1-0)</f>
        <v>0</v>
      </c>
      <c r="AQ542" s="37" t="s">
        <v>70</v>
      </c>
      <c r="AV542" s="35">
        <f>AW542+AX542</f>
        <v>0</v>
      </c>
      <c r="AW542" s="35">
        <f>F542*AO542</f>
        <v>0</v>
      </c>
      <c r="AX542" s="35">
        <f>F542*AP542</f>
        <v>0</v>
      </c>
      <c r="AY542" s="37" t="s">
        <v>1016</v>
      </c>
      <c r="AZ542" s="37" t="s">
        <v>786</v>
      </c>
      <c r="BA542" s="21" t="s">
        <v>59</v>
      </c>
      <c r="BC542" s="35">
        <f>AW542+AX542</f>
        <v>0</v>
      </c>
      <c r="BD542" s="35">
        <f>G542/(100-BE542)*100</f>
        <v>0</v>
      </c>
      <c r="BE542" s="35">
        <v>0</v>
      </c>
      <c r="BF542" s="35">
        <f>L542</f>
        <v>0</v>
      </c>
      <c r="BH542" s="35">
        <f>F542*AO542</f>
        <v>0</v>
      </c>
      <c r="BI542" s="35">
        <f>F542*AP542</f>
        <v>0</v>
      </c>
      <c r="BJ542" s="35">
        <f>F542*G542</f>
        <v>0</v>
      </c>
      <c r="BK542" s="35"/>
      <c r="BL542" s="35"/>
    </row>
    <row r="543" spans="1:13" ht="15" customHeight="1">
      <c r="A543" s="38"/>
      <c r="C543" s="39" t="s">
        <v>1017</v>
      </c>
      <c r="D543" s="39"/>
      <c r="F543" s="40">
        <v>26.948000000000004</v>
      </c>
      <c r="M543" s="41"/>
    </row>
    <row r="544" spans="1:64" ht="15" customHeight="1">
      <c r="A544" s="34">
        <v>217</v>
      </c>
      <c r="B544" s="11" t="s">
        <v>1018</v>
      </c>
      <c r="C544" s="11" t="s">
        <v>1019</v>
      </c>
      <c r="D544" s="11"/>
      <c r="E544" s="11" t="s">
        <v>172</v>
      </c>
      <c r="F544" s="35">
        <v>269.48</v>
      </c>
      <c r="G544" s="35">
        <v>0</v>
      </c>
      <c r="H544" s="35">
        <f>F544*AO544</f>
        <v>0</v>
      </c>
      <c r="I544" s="35">
        <f>F544*AP544</f>
        <v>0</v>
      </c>
      <c r="J544" s="35">
        <f>F544*G544</f>
        <v>0</v>
      </c>
      <c r="K544" s="35">
        <v>0</v>
      </c>
      <c r="L544" s="35">
        <f>F544*K544</f>
        <v>0</v>
      </c>
      <c r="M544" s="36" t="s">
        <v>86</v>
      </c>
      <c r="Z544" s="35">
        <f>IF(AQ544="5",BJ544,0)</f>
        <v>0</v>
      </c>
      <c r="AB544" s="35">
        <f>IF(AQ544="1",BH544,0)</f>
        <v>0</v>
      </c>
      <c r="AC544" s="35">
        <f>IF(AQ544="1",BI544,0)</f>
        <v>0</v>
      </c>
      <c r="AD544" s="35">
        <f>IF(AQ544="7",BH544,0)</f>
        <v>0</v>
      </c>
      <c r="AE544" s="35">
        <f>IF(AQ544="7",BI544,0)</f>
        <v>0</v>
      </c>
      <c r="AF544" s="35">
        <f>IF(AQ544="2",BH544,0)</f>
        <v>0</v>
      </c>
      <c r="AG544" s="35">
        <f>IF(AQ544="2",BI544,0)</f>
        <v>0</v>
      </c>
      <c r="AH544" s="35">
        <f>IF(AQ544="0",BJ544,0)</f>
        <v>0</v>
      </c>
      <c r="AI544" s="21"/>
      <c r="AJ544" s="35">
        <f>IF(AN544=0,J544,0)</f>
        <v>0</v>
      </c>
      <c r="AK544" s="35">
        <f>IF(AN544=15,J544,0)</f>
        <v>0</v>
      </c>
      <c r="AL544" s="35">
        <f>IF(AN544=21,J544,0)</f>
        <v>0</v>
      </c>
      <c r="AN544" s="35">
        <v>15</v>
      </c>
      <c r="AO544" s="35">
        <f>G544*0</f>
        <v>0</v>
      </c>
      <c r="AP544" s="35">
        <f>G544*(1-0)</f>
        <v>0</v>
      </c>
      <c r="AQ544" s="37" t="s">
        <v>70</v>
      </c>
      <c r="AV544" s="35">
        <f>AW544+AX544</f>
        <v>0</v>
      </c>
      <c r="AW544" s="35">
        <f>F544*AO544</f>
        <v>0</v>
      </c>
      <c r="AX544" s="35">
        <f>F544*AP544</f>
        <v>0</v>
      </c>
      <c r="AY544" s="37" t="s">
        <v>1016</v>
      </c>
      <c r="AZ544" s="37" t="s">
        <v>786</v>
      </c>
      <c r="BA544" s="21" t="s">
        <v>59</v>
      </c>
      <c r="BC544" s="35">
        <f>AW544+AX544</f>
        <v>0</v>
      </c>
      <c r="BD544" s="35">
        <f>G544/(100-BE544)*100</f>
        <v>0</v>
      </c>
      <c r="BE544" s="35">
        <v>0</v>
      </c>
      <c r="BF544" s="35">
        <f>L544</f>
        <v>0</v>
      </c>
      <c r="BH544" s="35">
        <f>F544*AO544</f>
        <v>0</v>
      </c>
      <c r="BI544" s="35">
        <f>F544*AP544</f>
        <v>0</v>
      </c>
      <c r="BJ544" s="35">
        <f>F544*G544</f>
        <v>0</v>
      </c>
      <c r="BK544" s="35"/>
      <c r="BL544" s="35"/>
    </row>
    <row r="545" spans="1:13" ht="15" customHeight="1">
      <c r="A545" s="38"/>
      <c r="C545" s="39" t="s">
        <v>1020</v>
      </c>
      <c r="D545" s="39"/>
      <c r="F545" s="40">
        <v>269.48</v>
      </c>
      <c r="M545" s="41"/>
    </row>
    <row r="546" spans="1:64" ht="15" customHeight="1">
      <c r="A546" s="34">
        <v>218</v>
      </c>
      <c r="B546" s="11" t="s">
        <v>1021</v>
      </c>
      <c r="C546" s="11" t="s">
        <v>1022</v>
      </c>
      <c r="D546" s="11"/>
      <c r="E546" s="11" t="s">
        <v>172</v>
      </c>
      <c r="F546" s="35">
        <v>26.948</v>
      </c>
      <c r="G546" s="35">
        <v>0</v>
      </c>
      <c r="H546" s="35">
        <f>F546*AO546</f>
        <v>0</v>
      </c>
      <c r="I546" s="35">
        <f>F546*AP546</f>
        <v>0</v>
      </c>
      <c r="J546" s="35">
        <f>F546*G546</f>
        <v>0</v>
      </c>
      <c r="K546" s="35">
        <v>0</v>
      </c>
      <c r="L546" s="35">
        <f>F546*K546</f>
        <v>0</v>
      </c>
      <c r="M546" s="36" t="s">
        <v>86</v>
      </c>
      <c r="Z546" s="35">
        <f>IF(AQ546="5",BJ546,0)</f>
        <v>0</v>
      </c>
      <c r="AB546" s="35">
        <f>IF(AQ546="1",BH546,0)</f>
        <v>0</v>
      </c>
      <c r="AC546" s="35">
        <f>IF(AQ546="1",BI546,0)</f>
        <v>0</v>
      </c>
      <c r="AD546" s="35">
        <f>IF(AQ546="7",BH546,0)</f>
        <v>0</v>
      </c>
      <c r="AE546" s="35">
        <f>IF(AQ546="7",BI546,0)</f>
        <v>0</v>
      </c>
      <c r="AF546" s="35">
        <f>IF(AQ546="2",BH546,0)</f>
        <v>0</v>
      </c>
      <c r="AG546" s="35">
        <f>IF(AQ546="2",BI546,0)</f>
        <v>0</v>
      </c>
      <c r="AH546" s="35">
        <f>IF(AQ546="0",BJ546,0)</f>
        <v>0</v>
      </c>
      <c r="AI546" s="21"/>
      <c r="AJ546" s="35">
        <f>IF(AN546=0,J546,0)</f>
        <v>0</v>
      </c>
      <c r="AK546" s="35">
        <f>IF(AN546=15,J546,0)</f>
        <v>0</v>
      </c>
      <c r="AL546" s="35">
        <f>IF(AN546=21,J546,0)</f>
        <v>0</v>
      </c>
      <c r="AN546" s="35">
        <v>15</v>
      </c>
      <c r="AO546" s="35">
        <f>G546*0</f>
        <v>0</v>
      </c>
      <c r="AP546" s="35">
        <f>G546*(1-0)</f>
        <v>0</v>
      </c>
      <c r="AQ546" s="37" t="s">
        <v>70</v>
      </c>
      <c r="AV546" s="35">
        <f>AW546+AX546</f>
        <v>0</v>
      </c>
      <c r="AW546" s="35">
        <f>F546*AO546</f>
        <v>0</v>
      </c>
      <c r="AX546" s="35">
        <f>F546*AP546</f>
        <v>0</v>
      </c>
      <c r="AY546" s="37" t="s">
        <v>1016</v>
      </c>
      <c r="AZ546" s="37" t="s">
        <v>786</v>
      </c>
      <c r="BA546" s="21" t="s">
        <v>59</v>
      </c>
      <c r="BC546" s="35">
        <f>AW546+AX546</f>
        <v>0</v>
      </c>
      <c r="BD546" s="35">
        <f>G546/(100-BE546)*100</f>
        <v>0</v>
      </c>
      <c r="BE546" s="35">
        <v>0</v>
      </c>
      <c r="BF546" s="35">
        <f>L546</f>
        <v>0</v>
      </c>
      <c r="BH546" s="35">
        <f>F546*AO546</f>
        <v>0</v>
      </c>
      <c r="BI546" s="35">
        <f>F546*AP546</f>
        <v>0</v>
      </c>
      <c r="BJ546" s="35">
        <f>F546*G546</f>
        <v>0</v>
      </c>
      <c r="BK546" s="35"/>
      <c r="BL546" s="35"/>
    </row>
    <row r="547" spans="1:13" ht="15" customHeight="1">
      <c r="A547" s="38"/>
      <c r="C547" s="39" t="s">
        <v>1017</v>
      </c>
      <c r="D547" s="39"/>
      <c r="F547" s="40">
        <v>26.948000000000004</v>
      </c>
      <c r="M547" s="41"/>
    </row>
    <row r="548" spans="1:64" ht="15" customHeight="1">
      <c r="A548" s="34">
        <v>219</v>
      </c>
      <c r="B548" s="11" t="s">
        <v>1023</v>
      </c>
      <c r="C548" s="11" t="s">
        <v>1024</v>
      </c>
      <c r="D548" s="11"/>
      <c r="E548" s="11" t="s">
        <v>172</v>
      </c>
      <c r="F548" s="35">
        <v>26.3948</v>
      </c>
      <c r="G548" s="35">
        <v>0</v>
      </c>
      <c r="H548" s="35">
        <f>F548*AO548</f>
        <v>0</v>
      </c>
      <c r="I548" s="35">
        <f>F548*AP548</f>
        <v>0</v>
      </c>
      <c r="J548" s="35">
        <f>F548*G548</f>
        <v>0</v>
      </c>
      <c r="K548" s="35">
        <v>0</v>
      </c>
      <c r="L548" s="35">
        <f>F548*K548</f>
        <v>0</v>
      </c>
      <c r="M548" s="36" t="s">
        <v>86</v>
      </c>
      <c r="Z548" s="35">
        <f>IF(AQ548="5",BJ548,0)</f>
        <v>0</v>
      </c>
      <c r="AB548" s="35">
        <f>IF(AQ548="1",BH548,0)</f>
        <v>0</v>
      </c>
      <c r="AC548" s="35">
        <f>IF(AQ548="1",BI548,0)</f>
        <v>0</v>
      </c>
      <c r="AD548" s="35">
        <f>IF(AQ548="7",BH548,0)</f>
        <v>0</v>
      </c>
      <c r="AE548" s="35">
        <f>IF(AQ548="7",BI548,0)</f>
        <v>0</v>
      </c>
      <c r="AF548" s="35">
        <f>IF(AQ548="2",BH548,0)</f>
        <v>0</v>
      </c>
      <c r="AG548" s="35">
        <f>IF(AQ548="2",BI548,0)</f>
        <v>0</v>
      </c>
      <c r="AH548" s="35">
        <f>IF(AQ548="0",BJ548,0)</f>
        <v>0</v>
      </c>
      <c r="AI548" s="21"/>
      <c r="AJ548" s="35">
        <f>IF(AN548=0,J548,0)</f>
        <v>0</v>
      </c>
      <c r="AK548" s="35">
        <f>IF(AN548=15,J548,0)</f>
        <v>0</v>
      </c>
      <c r="AL548" s="35">
        <f>IF(AN548=21,J548,0)</f>
        <v>0</v>
      </c>
      <c r="AN548" s="35">
        <v>15</v>
      </c>
      <c r="AO548" s="35">
        <f>G548*0</f>
        <v>0</v>
      </c>
      <c r="AP548" s="35">
        <f>G548*(1-0)</f>
        <v>0</v>
      </c>
      <c r="AQ548" s="37" t="s">
        <v>70</v>
      </c>
      <c r="AV548" s="35">
        <f>AW548+AX548</f>
        <v>0</v>
      </c>
      <c r="AW548" s="35">
        <f>F548*AO548</f>
        <v>0</v>
      </c>
      <c r="AX548" s="35">
        <f>F548*AP548</f>
        <v>0</v>
      </c>
      <c r="AY548" s="37" t="s">
        <v>1016</v>
      </c>
      <c r="AZ548" s="37" t="s">
        <v>786</v>
      </c>
      <c r="BA548" s="21" t="s">
        <v>59</v>
      </c>
      <c r="BC548" s="35">
        <f>AW548+AX548</f>
        <v>0</v>
      </c>
      <c r="BD548" s="35">
        <f>G548/(100-BE548)*100</f>
        <v>0</v>
      </c>
      <c r="BE548" s="35">
        <v>0</v>
      </c>
      <c r="BF548" s="35">
        <f>L548</f>
        <v>0</v>
      </c>
      <c r="BH548" s="35">
        <f>F548*AO548</f>
        <v>0</v>
      </c>
      <c r="BI548" s="35">
        <f>F548*AP548</f>
        <v>0</v>
      </c>
      <c r="BJ548" s="35">
        <f>F548*G548</f>
        <v>0</v>
      </c>
      <c r="BK548" s="35"/>
      <c r="BL548" s="35"/>
    </row>
    <row r="549" spans="1:13" ht="15" customHeight="1">
      <c r="A549" s="38"/>
      <c r="C549" s="39" t="s">
        <v>1025</v>
      </c>
      <c r="D549" s="39" t="s">
        <v>1026</v>
      </c>
      <c r="F549" s="40">
        <v>26.394800000000004</v>
      </c>
      <c r="M549" s="41"/>
    </row>
    <row r="550" spans="1:64" ht="15" customHeight="1">
      <c r="A550" s="34">
        <v>220</v>
      </c>
      <c r="B550" s="11" t="s">
        <v>1027</v>
      </c>
      <c r="C550" s="11" t="s">
        <v>1028</v>
      </c>
      <c r="D550" s="11"/>
      <c r="E550" s="11" t="s">
        <v>172</v>
      </c>
      <c r="F550" s="35">
        <v>26.948</v>
      </c>
      <c r="G550" s="35">
        <v>0</v>
      </c>
      <c r="H550" s="35">
        <f>F550*AO550</f>
        <v>0</v>
      </c>
      <c r="I550" s="35">
        <f>F550*AP550</f>
        <v>0</v>
      </c>
      <c r="J550" s="35">
        <f>F550*G550</f>
        <v>0</v>
      </c>
      <c r="K550" s="35">
        <v>0</v>
      </c>
      <c r="L550" s="35">
        <f>F550*K550</f>
        <v>0</v>
      </c>
      <c r="M550" s="36" t="s">
        <v>86</v>
      </c>
      <c r="Z550" s="35">
        <f>IF(AQ550="5",BJ550,0)</f>
        <v>0</v>
      </c>
      <c r="AB550" s="35">
        <f>IF(AQ550="1",BH550,0)</f>
        <v>0</v>
      </c>
      <c r="AC550" s="35">
        <f>IF(AQ550="1",BI550,0)</f>
        <v>0</v>
      </c>
      <c r="AD550" s="35">
        <f>IF(AQ550="7",BH550,0)</f>
        <v>0</v>
      </c>
      <c r="AE550" s="35">
        <f>IF(AQ550="7",BI550,0)</f>
        <v>0</v>
      </c>
      <c r="AF550" s="35">
        <f>IF(AQ550="2",BH550,0)</f>
        <v>0</v>
      </c>
      <c r="AG550" s="35">
        <f>IF(AQ550="2",BI550,0)</f>
        <v>0</v>
      </c>
      <c r="AH550" s="35">
        <f>IF(AQ550="0",BJ550,0)</f>
        <v>0</v>
      </c>
      <c r="AI550" s="21"/>
      <c r="AJ550" s="35">
        <f>IF(AN550=0,J550,0)</f>
        <v>0</v>
      </c>
      <c r="AK550" s="35">
        <f>IF(AN550=15,J550,0)</f>
        <v>0</v>
      </c>
      <c r="AL550" s="35">
        <f>IF(AN550=21,J550,0)</f>
        <v>0</v>
      </c>
      <c r="AN550" s="35">
        <v>15</v>
      </c>
      <c r="AO550" s="35">
        <f>G550*0</f>
        <v>0</v>
      </c>
      <c r="AP550" s="35">
        <f>G550*(1-0)</f>
        <v>0</v>
      </c>
      <c r="AQ550" s="37" t="s">
        <v>70</v>
      </c>
      <c r="AV550" s="35">
        <f>AW550+AX550</f>
        <v>0</v>
      </c>
      <c r="AW550" s="35">
        <f>F550*AO550</f>
        <v>0</v>
      </c>
      <c r="AX550" s="35">
        <f>F550*AP550</f>
        <v>0</v>
      </c>
      <c r="AY550" s="37" t="s">
        <v>1016</v>
      </c>
      <c r="AZ550" s="37" t="s">
        <v>786</v>
      </c>
      <c r="BA550" s="21" t="s">
        <v>59</v>
      </c>
      <c r="BC550" s="35">
        <f>AW550+AX550</f>
        <v>0</v>
      </c>
      <c r="BD550" s="35">
        <f>G550/(100-BE550)*100</f>
        <v>0</v>
      </c>
      <c r="BE550" s="35">
        <v>0</v>
      </c>
      <c r="BF550" s="35">
        <f>L550</f>
        <v>0</v>
      </c>
      <c r="BH550" s="35">
        <f>F550*AO550</f>
        <v>0</v>
      </c>
      <c r="BI550" s="35">
        <f>F550*AP550</f>
        <v>0</v>
      </c>
      <c r="BJ550" s="35">
        <f>F550*G550</f>
        <v>0</v>
      </c>
      <c r="BK550" s="35"/>
      <c r="BL550" s="35"/>
    </row>
    <row r="551" spans="1:13" ht="15" customHeight="1">
      <c r="A551" s="38"/>
      <c r="C551" s="39" t="s">
        <v>1017</v>
      </c>
      <c r="D551" s="39"/>
      <c r="F551" s="40">
        <v>26.948000000000004</v>
      </c>
      <c r="M551" s="41"/>
    </row>
    <row r="552" spans="1:64" ht="15" customHeight="1">
      <c r="A552" s="34">
        <v>221</v>
      </c>
      <c r="B552" s="11" t="s">
        <v>1029</v>
      </c>
      <c r="C552" s="11" t="s">
        <v>1030</v>
      </c>
      <c r="D552" s="11"/>
      <c r="E552" s="11" t="s">
        <v>172</v>
      </c>
      <c r="F552" s="35">
        <v>26.948</v>
      </c>
      <c r="G552" s="35">
        <v>0</v>
      </c>
      <c r="H552" s="35">
        <f>F552*AO552</f>
        <v>0</v>
      </c>
      <c r="I552" s="35">
        <f>F552*AP552</f>
        <v>0</v>
      </c>
      <c r="J552" s="35">
        <f>F552*G552</f>
        <v>0</v>
      </c>
      <c r="K552" s="35">
        <v>0</v>
      </c>
      <c r="L552" s="35">
        <f>F552*K552</f>
        <v>0</v>
      </c>
      <c r="M552" s="36" t="s">
        <v>86</v>
      </c>
      <c r="Z552" s="35">
        <f>IF(AQ552="5",BJ552,0)</f>
        <v>0</v>
      </c>
      <c r="AB552" s="35">
        <f>IF(AQ552="1",BH552,0)</f>
        <v>0</v>
      </c>
      <c r="AC552" s="35">
        <f>IF(AQ552="1",BI552,0)</f>
        <v>0</v>
      </c>
      <c r="AD552" s="35">
        <f>IF(AQ552="7",BH552,0)</f>
        <v>0</v>
      </c>
      <c r="AE552" s="35">
        <f>IF(AQ552="7",BI552,0)</f>
        <v>0</v>
      </c>
      <c r="AF552" s="35">
        <f>IF(AQ552="2",BH552,0)</f>
        <v>0</v>
      </c>
      <c r="AG552" s="35">
        <f>IF(AQ552="2",BI552,0)</f>
        <v>0</v>
      </c>
      <c r="AH552" s="35">
        <f>IF(AQ552="0",BJ552,0)</f>
        <v>0</v>
      </c>
      <c r="AI552" s="21"/>
      <c r="AJ552" s="35">
        <f>IF(AN552=0,J552,0)</f>
        <v>0</v>
      </c>
      <c r="AK552" s="35">
        <f>IF(AN552=15,J552,0)</f>
        <v>0</v>
      </c>
      <c r="AL552" s="35">
        <f>IF(AN552=21,J552,0)</f>
        <v>0</v>
      </c>
      <c r="AN552" s="35">
        <v>15</v>
      </c>
      <c r="AO552" s="35">
        <f>G552*0</f>
        <v>0</v>
      </c>
      <c r="AP552" s="35">
        <f>G552*(1-0)</f>
        <v>0</v>
      </c>
      <c r="AQ552" s="37" t="s">
        <v>70</v>
      </c>
      <c r="AV552" s="35">
        <f>AW552+AX552</f>
        <v>0</v>
      </c>
      <c r="AW552" s="35">
        <f>F552*AO552</f>
        <v>0</v>
      </c>
      <c r="AX552" s="35">
        <f>F552*AP552</f>
        <v>0</v>
      </c>
      <c r="AY552" s="37" t="s">
        <v>1016</v>
      </c>
      <c r="AZ552" s="37" t="s">
        <v>786</v>
      </c>
      <c r="BA552" s="21" t="s">
        <v>59</v>
      </c>
      <c r="BC552" s="35">
        <f>AW552+AX552</f>
        <v>0</v>
      </c>
      <c r="BD552" s="35">
        <f>G552/(100-BE552)*100</f>
        <v>0</v>
      </c>
      <c r="BE552" s="35">
        <v>0</v>
      </c>
      <c r="BF552" s="35">
        <f>L552</f>
        <v>0</v>
      </c>
      <c r="BH552" s="35">
        <f>F552*AO552</f>
        <v>0</v>
      </c>
      <c r="BI552" s="35">
        <f>F552*AP552</f>
        <v>0</v>
      </c>
      <c r="BJ552" s="35">
        <f>F552*G552</f>
        <v>0</v>
      </c>
      <c r="BK552" s="35"/>
      <c r="BL552" s="35"/>
    </row>
    <row r="553" spans="1:13" ht="15" customHeight="1">
      <c r="A553" s="60"/>
      <c r="B553" s="61"/>
      <c r="C553" s="62" t="s">
        <v>1017</v>
      </c>
      <c r="D553" s="62"/>
      <c r="E553" s="61"/>
      <c r="F553" s="63">
        <v>26.948000000000004</v>
      </c>
      <c r="G553" s="61"/>
      <c r="H553" s="61"/>
      <c r="I553" s="61"/>
      <c r="J553" s="61"/>
      <c r="K553" s="61"/>
      <c r="L553" s="61"/>
      <c r="M553" s="64"/>
    </row>
    <row r="554" spans="8:10" ht="15" customHeight="1">
      <c r="H554" s="65" t="s">
        <v>1031</v>
      </c>
      <c r="I554" s="65"/>
      <c r="J554" s="66">
        <f>J12+J27+J32+J35+J40+J43+J46+J50+J54+J69+J72+J140+J147+J152+J161+J169+J188+J206+J215+J262+J275+J329+J369+J393+J402+J405+J408+J426+J438+J445+J448+J536+J541</f>
        <v>0</v>
      </c>
    </row>
    <row r="555" ht="15" customHeight="1">
      <c r="A555" s="67" t="s">
        <v>1032</v>
      </c>
    </row>
    <row r="556" spans="1:13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</sheetData>
  <sheetProtection selectLockedCells="1" selectUnlockedCells="1"/>
  <mergeCells count="285">
    <mergeCell ref="A1:M1"/>
    <mergeCell ref="A2:B3"/>
    <mergeCell ref="C2:C3"/>
    <mergeCell ref="D2:D3"/>
    <mergeCell ref="E2:F3"/>
    <mergeCell ref="G2:G3"/>
    <mergeCell ref="H2:M3"/>
    <mergeCell ref="A4:B5"/>
    <mergeCell ref="C4:C5"/>
    <mergeCell ref="D4:D5"/>
    <mergeCell ref="E4:F5"/>
    <mergeCell ref="G4:G5"/>
    <mergeCell ref="H4:M5"/>
    <mergeCell ref="A6:B7"/>
    <mergeCell ref="C6:C7"/>
    <mergeCell ref="D6:D7"/>
    <mergeCell ref="E6:F7"/>
    <mergeCell ref="G6:G7"/>
    <mergeCell ref="H6:M7"/>
    <mergeCell ref="A8:B9"/>
    <mergeCell ref="C8:C9"/>
    <mergeCell ref="D8:D9"/>
    <mergeCell ref="E8:F9"/>
    <mergeCell ref="G8:G9"/>
    <mergeCell ref="H8:M9"/>
    <mergeCell ref="C10:D10"/>
    <mergeCell ref="H10:J10"/>
    <mergeCell ref="K10:L10"/>
    <mergeCell ref="C11:D11"/>
    <mergeCell ref="C12:D12"/>
    <mergeCell ref="C13:D13"/>
    <mergeCell ref="C15:D15"/>
    <mergeCell ref="C17:D17"/>
    <mergeCell ref="C19:D19"/>
    <mergeCell ref="C21:D21"/>
    <mergeCell ref="C23:D23"/>
    <mergeCell ref="C27:D27"/>
    <mergeCell ref="C28:D28"/>
    <mergeCell ref="C30:D30"/>
    <mergeCell ref="C32:D32"/>
    <mergeCell ref="C33:D33"/>
    <mergeCell ref="C35:D35"/>
    <mergeCell ref="C36:D36"/>
    <mergeCell ref="C38:D38"/>
    <mergeCell ref="C40:D40"/>
    <mergeCell ref="C41:D41"/>
    <mergeCell ref="C43:D43"/>
    <mergeCell ref="C44:D44"/>
    <mergeCell ref="C46:D46"/>
    <mergeCell ref="C47:D47"/>
    <mergeCell ref="C50:D50"/>
    <mergeCell ref="C51:D51"/>
    <mergeCell ref="C54:D54"/>
    <mergeCell ref="C55:D55"/>
    <mergeCell ref="C57:D57"/>
    <mergeCell ref="C60:D60"/>
    <mergeCell ref="C63:D63"/>
    <mergeCell ref="C65:D65"/>
    <mergeCell ref="C67:D67"/>
    <mergeCell ref="C69:D69"/>
    <mergeCell ref="C70:D70"/>
    <mergeCell ref="C72:D72"/>
    <mergeCell ref="C73:D73"/>
    <mergeCell ref="C75:D75"/>
    <mergeCell ref="C77:D77"/>
    <mergeCell ref="C82:D82"/>
    <mergeCell ref="C84:D84"/>
    <mergeCell ref="C91:D91"/>
    <mergeCell ref="C93:D93"/>
    <mergeCell ref="C95:D95"/>
    <mergeCell ref="C97:D97"/>
    <mergeCell ref="C99:D99"/>
    <mergeCell ref="C104:D104"/>
    <mergeCell ref="C107:D107"/>
    <mergeCell ref="C111:D111"/>
    <mergeCell ref="C113:D113"/>
    <mergeCell ref="C117:D117"/>
    <mergeCell ref="C129:D129"/>
    <mergeCell ref="C132:D132"/>
    <mergeCell ref="C134:D134"/>
    <mergeCell ref="C136:D136"/>
    <mergeCell ref="C138:D138"/>
    <mergeCell ref="C140:D140"/>
    <mergeCell ref="C141:D141"/>
    <mergeCell ref="C143:D143"/>
    <mergeCell ref="C145:D145"/>
    <mergeCell ref="C147:D147"/>
    <mergeCell ref="C148:D148"/>
    <mergeCell ref="C150:D150"/>
    <mergeCell ref="C152:D152"/>
    <mergeCell ref="C153:D153"/>
    <mergeCell ref="C155:D155"/>
    <mergeCell ref="C157:D157"/>
    <mergeCell ref="C159:D159"/>
    <mergeCell ref="C161:D161"/>
    <mergeCell ref="C162:D162"/>
    <mergeCell ref="C165:D165"/>
    <mergeCell ref="C167:D167"/>
    <mergeCell ref="C169:D169"/>
    <mergeCell ref="C170:D170"/>
    <mergeCell ref="C173:D173"/>
    <mergeCell ref="C176:D176"/>
    <mergeCell ref="C178:D178"/>
    <mergeCell ref="C181:D181"/>
    <mergeCell ref="C183:D183"/>
    <mergeCell ref="C186:D186"/>
    <mergeCell ref="C188:D188"/>
    <mergeCell ref="C189:D189"/>
    <mergeCell ref="C191:D191"/>
    <mergeCell ref="C194:D194"/>
    <mergeCell ref="C196:D196"/>
    <mergeCell ref="C199:D199"/>
    <mergeCell ref="C201:D201"/>
    <mergeCell ref="C204:D204"/>
    <mergeCell ref="C206:D206"/>
    <mergeCell ref="C207:D207"/>
    <mergeCell ref="C209:D209"/>
    <mergeCell ref="C211:D211"/>
    <mergeCell ref="C213:D213"/>
    <mergeCell ref="C215:D215"/>
    <mergeCell ref="C216:D216"/>
    <mergeCell ref="C219:D219"/>
    <mergeCell ref="C221:D221"/>
    <mergeCell ref="C223:D223"/>
    <mergeCell ref="C225:D225"/>
    <mergeCell ref="C227:D227"/>
    <mergeCell ref="C229:D229"/>
    <mergeCell ref="C231:D231"/>
    <mergeCell ref="C233:D233"/>
    <mergeCell ref="C236:D236"/>
    <mergeCell ref="C238:D238"/>
    <mergeCell ref="C240:D240"/>
    <mergeCell ref="C242:D242"/>
    <mergeCell ref="C244:D244"/>
    <mergeCell ref="C246:D246"/>
    <mergeCell ref="C248:D248"/>
    <mergeCell ref="C251:D251"/>
    <mergeCell ref="C253:D253"/>
    <mergeCell ref="C255:D255"/>
    <mergeCell ref="C257:D257"/>
    <mergeCell ref="C259:D259"/>
    <mergeCell ref="C260:D260"/>
    <mergeCell ref="C262:D262"/>
    <mergeCell ref="C263:D263"/>
    <mergeCell ref="C265:D265"/>
    <mergeCell ref="C269:D269"/>
    <mergeCell ref="C271:D271"/>
    <mergeCell ref="C273:D273"/>
    <mergeCell ref="C275:D275"/>
    <mergeCell ref="C276:D276"/>
    <mergeCell ref="C278:D278"/>
    <mergeCell ref="C281:D281"/>
    <mergeCell ref="C283:D283"/>
    <mergeCell ref="C285:D285"/>
    <mergeCell ref="C287:D287"/>
    <mergeCell ref="C289:D289"/>
    <mergeCell ref="C291:D291"/>
    <mergeCell ref="C293:D293"/>
    <mergeCell ref="C295:D295"/>
    <mergeCell ref="C297:D297"/>
    <mergeCell ref="C299:D299"/>
    <mergeCell ref="C301:D301"/>
    <mergeCell ref="C303:D303"/>
    <mergeCell ref="C305:D305"/>
    <mergeCell ref="C307:D307"/>
    <mergeCell ref="C309:D309"/>
    <mergeCell ref="C311:D311"/>
    <mergeCell ref="C313:D313"/>
    <mergeCell ref="C315:D315"/>
    <mergeCell ref="C317:D317"/>
    <mergeCell ref="C319:D319"/>
    <mergeCell ref="C321:D321"/>
    <mergeCell ref="C323:D323"/>
    <mergeCell ref="C325:D325"/>
    <mergeCell ref="C327:D327"/>
    <mergeCell ref="C329:D329"/>
    <mergeCell ref="C330:D330"/>
    <mergeCell ref="C333:D333"/>
    <mergeCell ref="C335:D335"/>
    <mergeCell ref="C337:D337"/>
    <mergeCell ref="C339:D339"/>
    <mergeCell ref="C341:D341"/>
    <mergeCell ref="C343:D343"/>
    <mergeCell ref="C345:D345"/>
    <mergeCell ref="C347:D347"/>
    <mergeCell ref="C349:D349"/>
    <mergeCell ref="C351:D351"/>
    <mergeCell ref="C353:D353"/>
    <mergeCell ref="C355:D355"/>
    <mergeCell ref="C357:D357"/>
    <mergeCell ref="C359:D359"/>
    <mergeCell ref="C361:D361"/>
    <mergeCell ref="C363:D363"/>
    <mergeCell ref="C367:D367"/>
    <mergeCell ref="C369:D369"/>
    <mergeCell ref="C370:D370"/>
    <mergeCell ref="C375:D375"/>
    <mergeCell ref="C379:D379"/>
    <mergeCell ref="C383:D383"/>
    <mergeCell ref="C385:D385"/>
    <mergeCell ref="C391:D391"/>
    <mergeCell ref="C393:D393"/>
    <mergeCell ref="C394:D394"/>
    <mergeCell ref="C397:D397"/>
    <mergeCell ref="C399:D399"/>
    <mergeCell ref="C402:D402"/>
    <mergeCell ref="C403:D403"/>
    <mergeCell ref="C405:D405"/>
    <mergeCell ref="C406:D406"/>
    <mergeCell ref="C408:D408"/>
    <mergeCell ref="C409:D409"/>
    <mergeCell ref="C412:D412"/>
    <mergeCell ref="C414:D414"/>
    <mergeCell ref="C416:D416"/>
    <mergeCell ref="C418:D418"/>
    <mergeCell ref="C420:D420"/>
    <mergeCell ref="C422:D422"/>
    <mergeCell ref="C424:D424"/>
    <mergeCell ref="C426:D426"/>
    <mergeCell ref="C427:D427"/>
    <mergeCell ref="C430:D430"/>
    <mergeCell ref="C432:D432"/>
    <mergeCell ref="C434:D434"/>
    <mergeCell ref="C436:D436"/>
    <mergeCell ref="C438:D438"/>
    <mergeCell ref="C439:D439"/>
    <mergeCell ref="C441:D441"/>
    <mergeCell ref="C445:D445"/>
    <mergeCell ref="C446:D446"/>
    <mergeCell ref="C448:D448"/>
    <mergeCell ref="C449:D449"/>
    <mergeCell ref="C451:D451"/>
    <mergeCell ref="C453:D453"/>
    <mergeCell ref="C455:D455"/>
    <mergeCell ref="C457:D457"/>
    <mergeCell ref="C459:D459"/>
    <mergeCell ref="C461:D461"/>
    <mergeCell ref="C463:D463"/>
    <mergeCell ref="C465:D465"/>
    <mergeCell ref="C467:D467"/>
    <mergeCell ref="C469:D469"/>
    <mergeCell ref="C471:D471"/>
    <mergeCell ref="C473:D473"/>
    <mergeCell ref="C475:D475"/>
    <mergeCell ref="C477:D477"/>
    <mergeCell ref="C479:D479"/>
    <mergeCell ref="C481:D481"/>
    <mergeCell ref="C483:D483"/>
    <mergeCell ref="C485:D485"/>
    <mergeCell ref="C487:D487"/>
    <mergeCell ref="C489:D489"/>
    <mergeCell ref="C491:D491"/>
    <mergeCell ref="C493:D493"/>
    <mergeCell ref="C495:D495"/>
    <mergeCell ref="C498:D498"/>
    <mergeCell ref="C500:D500"/>
    <mergeCell ref="C502:D502"/>
    <mergeCell ref="C504:D504"/>
    <mergeCell ref="C506:D506"/>
    <mergeCell ref="C508:D508"/>
    <mergeCell ref="C510:D510"/>
    <mergeCell ref="C512:D512"/>
    <mergeCell ref="C514:D514"/>
    <mergeCell ref="C516:D516"/>
    <mergeCell ref="C518:D518"/>
    <mergeCell ref="C520:D520"/>
    <mergeCell ref="C522:D522"/>
    <mergeCell ref="C524:D524"/>
    <mergeCell ref="C526:D526"/>
    <mergeCell ref="C528:D528"/>
    <mergeCell ref="C530:D530"/>
    <mergeCell ref="C532:D532"/>
    <mergeCell ref="C534:D534"/>
    <mergeCell ref="C536:D536"/>
    <mergeCell ref="C537:D537"/>
    <mergeCell ref="C539:D539"/>
    <mergeCell ref="C541:D541"/>
    <mergeCell ref="C542:D542"/>
    <mergeCell ref="C544:D544"/>
    <mergeCell ref="C546:D546"/>
    <mergeCell ref="C548:D548"/>
    <mergeCell ref="C550:D550"/>
    <mergeCell ref="C552:D552"/>
    <mergeCell ref="H554:I554"/>
    <mergeCell ref="A556:M556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OutlineSymbols="0" workbookViewId="0" topLeftCell="A1">
      <pane ySplit="11" topLeftCell="A21" activePane="bottomLeft" state="frozen"/>
      <selection pane="topLeft" activeCell="A1" sqref="A1"/>
      <selection pane="bottomLeft" activeCell="G10" sqref="G10"/>
    </sheetView>
  </sheetViews>
  <sheetFormatPr defaultColWidth="9.33203125" defaultRowHeight="15" customHeight="1"/>
  <cols>
    <col min="1" max="2" width="5" style="1" customWidth="1"/>
    <col min="3" max="3" width="83.33203125" style="1" customWidth="1"/>
    <col min="4" max="6" width="32.5" style="1" customWidth="1"/>
    <col min="7" max="7" width="43.33203125" style="1" customWidth="1"/>
    <col min="8" max="9" width="14.16015625" style="1" hidden="1" customWidth="1"/>
    <col min="10" max="16384" width="14.16015625" style="0" customWidth="1"/>
  </cols>
  <sheetData>
    <row r="1" spans="1:7" ht="38.25" customHeight="1">
      <c r="A1" s="2" t="s">
        <v>1033</v>
      </c>
      <c r="B1" s="2"/>
      <c r="C1" s="2"/>
      <c r="D1" s="2"/>
      <c r="E1" s="2"/>
      <c r="F1" s="2"/>
      <c r="G1" s="2"/>
    </row>
    <row r="2" spans="1:7" ht="15" customHeight="1">
      <c r="A2" s="4" t="s">
        <v>1</v>
      </c>
      <c r="B2" s="4"/>
      <c r="C2" s="5">
        <f>'Stavební rozpočet'!C2</f>
        <v>0</v>
      </c>
      <c r="D2" s="6" t="s">
        <v>3</v>
      </c>
      <c r="E2" s="6" t="s">
        <v>4</v>
      </c>
      <c r="F2" s="7" t="s">
        <v>5</v>
      </c>
      <c r="G2" s="68">
        <f>'Stavební rozpočet'!H2</f>
        <v>0</v>
      </c>
    </row>
    <row r="3" spans="1:7" ht="15" customHeight="1">
      <c r="A3" s="4"/>
      <c r="B3" s="4"/>
      <c r="C3" s="5"/>
      <c r="D3" s="6"/>
      <c r="E3" s="6"/>
      <c r="F3" s="6"/>
      <c r="G3" s="68"/>
    </row>
    <row r="4" spans="1:7" ht="15" customHeight="1">
      <c r="A4" s="9" t="s">
        <v>7</v>
      </c>
      <c r="B4" s="9"/>
      <c r="C4" s="10">
        <f>'Stavební rozpočet'!C4</f>
        <v>0</v>
      </c>
      <c r="D4" s="11" t="s">
        <v>9</v>
      </c>
      <c r="E4" s="11" t="s">
        <v>4</v>
      </c>
      <c r="F4" s="10" t="s">
        <v>10</v>
      </c>
      <c r="G4" s="69">
        <f>'Stavební rozpočet'!H4</f>
        <v>0</v>
      </c>
    </row>
    <row r="5" spans="1:7" ht="15" customHeight="1">
      <c r="A5" s="9"/>
      <c r="B5" s="9"/>
      <c r="C5" s="10"/>
      <c r="D5" s="10"/>
      <c r="E5" s="10"/>
      <c r="F5" s="10"/>
      <c r="G5" s="69"/>
    </row>
    <row r="6" spans="1:7" ht="15" customHeight="1">
      <c r="A6" s="9" t="s">
        <v>12</v>
      </c>
      <c r="B6" s="9"/>
      <c r="C6" s="10">
        <f>'Stavební rozpočet'!C6</f>
        <v>0</v>
      </c>
      <c r="D6" s="11" t="s">
        <v>14</v>
      </c>
      <c r="E6" s="11" t="s">
        <v>4</v>
      </c>
      <c r="F6" s="10" t="s">
        <v>15</v>
      </c>
      <c r="G6" s="69">
        <f>'Stavební rozpočet'!H6</f>
        <v>0</v>
      </c>
    </row>
    <row r="7" spans="1:7" ht="15" customHeight="1">
      <c r="A7" s="9"/>
      <c r="B7" s="9"/>
      <c r="C7" s="10"/>
      <c r="D7" s="10"/>
      <c r="E7" s="10"/>
      <c r="F7" s="10"/>
      <c r="G7" s="69"/>
    </row>
    <row r="8" spans="1:7" ht="15" customHeight="1">
      <c r="A8" s="9" t="s">
        <v>19</v>
      </c>
      <c r="B8" s="9"/>
      <c r="C8" s="10">
        <f>'Stavební rozpočet'!H8</f>
        <v>0</v>
      </c>
      <c r="D8" s="11" t="s">
        <v>18</v>
      </c>
      <c r="E8" s="13">
        <v>45408</v>
      </c>
      <c r="F8" s="11" t="s">
        <v>18</v>
      </c>
      <c r="G8" s="70">
        <v>45408</v>
      </c>
    </row>
    <row r="9" spans="1:7" ht="15" customHeight="1">
      <c r="A9" s="9"/>
      <c r="B9" s="9"/>
      <c r="C9" s="10"/>
      <c r="D9" s="10"/>
      <c r="E9" s="10"/>
      <c r="F9" s="10"/>
      <c r="G9" s="70"/>
    </row>
    <row r="10" spans="1:7" ht="15" customHeight="1">
      <c r="A10" s="71" t="s">
        <v>22</v>
      </c>
      <c r="B10" s="71"/>
      <c r="C10" s="72" t="s">
        <v>23</v>
      </c>
      <c r="D10" s="73" t="s">
        <v>1034</v>
      </c>
      <c r="E10" s="73" t="s">
        <v>1035</v>
      </c>
      <c r="F10" s="73" t="s">
        <v>1036</v>
      </c>
      <c r="G10" s="74" t="s">
        <v>1037</v>
      </c>
    </row>
    <row r="11" spans="1:9" ht="15" customHeight="1">
      <c r="A11" s="34" t="s">
        <v>51</v>
      </c>
      <c r="B11" s="34"/>
      <c r="C11" s="11" t="s">
        <v>52</v>
      </c>
      <c r="D11" s="35">
        <f>'Stavební rozpočet'!H12</f>
        <v>0</v>
      </c>
      <c r="E11" s="35">
        <f>'Stavební rozpočet'!I12</f>
        <v>0</v>
      </c>
      <c r="F11" s="35">
        <f>'Stavební rozpočet'!J12</f>
        <v>0</v>
      </c>
      <c r="G11" s="75">
        <f>'Stavební rozpočet'!L12</f>
        <v>0</v>
      </c>
      <c r="H11" s="37" t="s">
        <v>1038</v>
      </c>
      <c r="I11" s="35">
        <f aca="true" t="shared" si="0" ref="I11:I43">IF(H11="F",0,F11)</f>
        <v>0</v>
      </c>
    </row>
    <row r="12" spans="1:9" ht="15" customHeight="1">
      <c r="A12" s="34" t="s">
        <v>80</v>
      </c>
      <c r="B12" s="34"/>
      <c r="C12" s="11" t="s">
        <v>81</v>
      </c>
      <c r="D12" s="35">
        <f>'Stavební rozpočet'!H27</f>
        <v>0</v>
      </c>
      <c r="E12" s="35">
        <f>'Stavební rozpočet'!I27</f>
        <v>0</v>
      </c>
      <c r="F12" s="35">
        <f>'Stavební rozpočet'!J27</f>
        <v>0</v>
      </c>
      <c r="G12" s="75">
        <f>'Stavební rozpočet'!L27</f>
        <v>7.26</v>
      </c>
      <c r="H12" s="37" t="s">
        <v>1038</v>
      </c>
      <c r="I12" s="35">
        <f t="shared" si="0"/>
        <v>0</v>
      </c>
    </row>
    <row r="13" spans="1:9" ht="15" customHeight="1">
      <c r="A13" s="34" t="s">
        <v>95</v>
      </c>
      <c r="B13" s="34"/>
      <c r="C13" s="11" t="s">
        <v>96</v>
      </c>
      <c r="D13" s="35">
        <f>'Stavební rozpočet'!H32</f>
        <v>0</v>
      </c>
      <c r="E13" s="35">
        <f>'Stavební rozpočet'!I32</f>
        <v>0</v>
      </c>
      <c r="F13" s="35">
        <f>'Stavební rozpočet'!J32</f>
        <v>0</v>
      </c>
      <c r="G13" s="75">
        <f>'Stavební rozpočet'!L32</f>
        <v>0</v>
      </c>
      <c r="H13" s="37" t="s">
        <v>1038</v>
      </c>
      <c r="I13" s="35">
        <f t="shared" si="0"/>
        <v>0</v>
      </c>
    </row>
    <row r="14" spans="1:9" ht="15" customHeight="1">
      <c r="A14" s="34" t="s">
        <v>104</v>
      </c>
      <c r="B14" s="34"/>
      <c r="C14" s="11" t="s">
        <v>105</v>
      </c>
      <c r="D14" s="35">
        <f>'Stavební rozpočet'!H35</f>
        <v>0</v>
      </c>
      <c r="E14" s="35">
        <f>'Stavební rozpočet'!I35</f>
        <v>0</v>
      </c>
      <c r="F14" s="35">
        <f>'Stavební rozpočet'!J35</f>
        <v>0</v>
      </c>
      <c r="G14" s="75">
        <f>'Stavební rozpočet'!L35</f>
        <v>0</v>
      </c>
      <c r="H14" s="37" t="s">
        <v>1038</v>
      </c>
      <c r="I14" s="35">
        <f t="shared" si="0"/>
        <v>0</v>
      </c>
    </row>
    <row r="15" spans="1:9" ht="15" customHeight="1">
      <c r="A15" s="34" t="s">
        <v>113</v>
      </c>
      <c r="B15" s="34"/>
      <c r="C15" s="11" t="s">
        <v>114</v>
      </c>
      <c r="D15" s="35">
        <f>'Stavební rozpočet'!H40</f>
        <v>0</v>
      </c>
      <c r="E15" s="35">
        <f>'Stavební rozpočet'!I40</f>
        <v>0</v>
      </c>
      <c r="F15" s="35">
        <f>'Stavební rozpočet'!J40</f>
        <v>0</v>
      </c>
      <c r="G15" s="75">
        <f>'Stavební rozpočet'!L40</f>
        <v>0</v>
      </c>
      <c r="H15" s="37" t="s">
        <v>1038</v>
      </c>
      <c r="I15" s="35">
        <f t="shared" si="0"/>
        <v>0</v>
      </c>
    </row>
    <row r="16" spans="1:9" ht="15" customHeight="1">
      <c r="A16" s="34" t="s">
        <v>119</v>
      </c>
      <c r="B16" s="34"/>
      <c r="C16" s="11" t="s">
        <v>120</v>
      </c>
      <c r="D16" s="35">
        <f>'Stavební rozpočet'!H43</f>
        <v>0</v>
      </c>
      <c r="E16" s="35">
        <f>'Stavební rozpočet'!I43</f>
        <v>0</v>
      </c>
      <c r="F16" s="35">
        <f>'Stavební rozpočet'!J43</f>
        <v>0</v>
      </c>
      <c r="G16" s="75">
        <f>'Stavební rozpočet'!L43</f>
        <v>0</v>
      </c>
      <c r="H16" s="37" t="s">
        <v>1038</v>
      </c>
      <c r="I16" s="35">
        <f t="shared" si="0"/>
        <v>0</v>
      </c>
    </row>
    <row r="17" spans="1:9" ht="15" customHeight="1">
      <c r="A17" s="34" t="s">
        <v>125</v>
      </c>
      <c r="B17" s="34"/>
      <c r="C17" s="11" t="s">
        <v>126</v>
      </c>
      <c r="D17" s="35">
        <f>'Stavební rozpočet'!H46</f>
        <v>0</v>
      </c>
      <c r="E17" s="35">
        <f>'Stavební rozpočet'!I46</f>
        <v>0</v>
      </c>
      <c r="F17" s="35">
        <f>'Stavební rozpočet'!J46</f>
        <v>0</v>
      </c>
      <c r="G17" s="75">
        <f>'Stavební rozpočet'!L46</f>
        <v>7.66</v>
      </c>
      <c r="H17" s="37" t="s">
        <v>1038</v>
      </c>
      <c r="I17" s="35">
        <f t="shared" si="0"/>
        <v>0</v>
      </c>
    </row>
    <row r="18" spans="1:9" ht="15" customHeight="1">
      <c r="A18" s="34" t="s">
        <v>134</v>
      </c>
      <c r="B18" s="34"/>
      <c r="C18" s="11" t="s">
        <v>135</v>
      </c>
      <c r="D18" s="35">
        <f>'Stavební rozpočet'!H50</f>
        <v>0</v>
      </c>
      <c r="E18" s="35">
        <f>'Stavební rozpočet'!I50</f>
        <v>0</v>
      </c>
      <c r="F18" s="35">
        <f>'Stavební rozpočet'!J50</f>
        <v>0</v>
      </c>
      <c r="G18" s="75">
        <f>'Stavební rozpočet'!L50</f>
        <v>0.26</v>
      </c>
      <c r="H18" s="37" t="s">
        <v>1038</v>
      </c>
      <c r="I18" s="35">
        <f t="shared" si="0"/>
        <v>0</v>
      </c>
    </row>
    <row r="19" spans="1:9" ht="15" customHeight="1">
      <c r="A19" s="34" t="s">
        <v>144</v>
      </c>
      <c r="B19" s="34"/>
      <c r="C19" s="11" t="s">
        <v>145</v>
      </c>
      <c r="D19" s="35">
        <f>'Stavební rozpočet'!H54</f>
        <v>0</v>
      </c>
      <c r="E19" s="35">
        <f>'Stavební rozpočet'!I54</f>
        <v>0</v>
      </c>
      <c r="F19" s="35">
        <f>'Stavební rozpočet'!J54</f>
        <v>0</v>
      </c>
      <c r="G19" s="75">
        <f>'Stavební rozpočet'!L54</f>
        <v>33.5</v>
      </c>
      <c r="H19" s="37" t="s">
        <v>1038</v>
      </c>
      <c r="I19" s="35">
        <f t="shared" si="0"/>
        <v>0</v>
      </c>
    </row>
    <row r="20" spans="1:9" ht="15" customHeight="1">
      <c r="A20" s="34" t="s">
        <v>174</v>
      </c>
      <c r="B20" s="34"/>
      <c r="C20" s="11" t="s">
        <v>175</v>
      </c>
      <c r="D20" s="35">
        <f>'Stavební rozpočet'!H69</f>
        <v>0</v>
      </c>
      <c r="E20" s="35">
        <f>'Stavební rozpočet'!I69</f>
        <v>0</v>
      </c>
      <c r="F20" s="35">
        <f>'Stavební rozpočet'!J69</f>
        <v>0</v>
      </c>
      <c r="G20" s="75">
        <f>'Stavební rozpočet'!L69</f>
        <v>0</v>
      </c>
      <c r="H20" s="37" t="s">
        <v>1038</v>
      </c>
      <c r="I20" s="35">
        <f t="shared" si="0"/>
        <v>0</v>
      </c>
    </row>
    <row r="21" spans="1:9" ht="15" customHeight="1">
      <c r="A21" s="34" t="s">
        <v>182</v>
      </c>
      <c r="B21" s="34"/>
      <c r="C21" s="11" t="s">
        <v>183</v>
      </c>
      <c r="D21" s="35">
        <f>'Stavební rozpočet'!H72</f>
        <v>0</v>
      </c>
      <c r="E21" s="35">
        <f>'Stavební rozpočet'!I72</f>
        <v>0</v>
      </c>
      <c r="F21" s="35">
        <f>'Stavební rozpočet'!J72</f>
        <v>0</v>
      </c>
      <c r="G21" s="75">
        <f>'Stavební rozpočet'!L72</f>
        <v>102.24</v>
      </c>
      <c r="H21" s="37" t="s">
        <v>1038</v>
      </c>
      <c r="I21" s="35">
        <f t="shared" si="0"/>
        <v>0</v>
      </c>
    </row>
    <row r="22" spans="1:9" ht="15" customHeight="1">
      <c r="A22" s="34" t="s">
        <v>298</v>
      </c>
      <c r="B22" s="34"/>
      <c r="C22" s="11" t="s">
        <v>299</v>
      </c>
      <c r="D22" s="35">
        <f>'Stavební rozpočet'!H140</f>
        <v>0</v>
      </c>
      <c r="E22" s="35">
        <f>'Stavební rozpočet'!I140</f>
        <v>0</v>
      </c>
      <c r="F22" s="35">
        <f>'Stavební rozpočet'!J140</f>
        <v>0</v>
      </c>
      <c r="G22" s="75">
        <f>'Stavební rozpočet'!L140</f>
        <v>2.8</v>
      </c>
      <c r="H22" s="37" t="s">
        <v>1038</v>
      </c>
      <c r="I22" s="35">
        <f t="shared" si="0"/>
        <v>0</v>
      </c>
    </row>
    <row r="23" spans="1:9" ht="15" customHeight="1">
      <c r="A23" s="34" t="s">
        <v>312</v>
      </c>
      <c r="B23" s="34"/>
      <c r="C23" s="11" t="s">
        <v>313</v>
      </c>
      <c r="D23" s="35">
        <f>'Stavební rozpočet'!H147</f>
        <v>0</v>
      </c>
      <c r="E23" s="35">
        <f>'Stavební rozpočet'!I147</f>
        <v>0</v>
      </c>
      <c r="F23" s="35">
        <f>'Stavební rozpočet'!J147</f>
        <v>0</v>
      </c>
      <c r="G23" s="75">
        <f>'Stavební rozpočet'!L147</f>
        <v>0.43</v>
      </c>
      <c r="H23" s="37" t="s">
        <v>1038</v>
      </c>
      <c r="I23" s="35">
        <f t="shared" si="0"/>
        <v>0</v>
      </c>
    </row>
    <row r="24" spans="1:9" ht="15" customHeight="1">
      <c r="A24" s="34" t="s">
        <v>322</v>
      </c>
      <c r="B24" s="34"/>
      <c r="C24" s="11" t="s">
        <v>323</v>
      </c>
      <c r="D24" s="35">
        <f>'Stavební rozpočet'!H152</f>
        <v>0</v>
      </c>
      <c r="E24" s="35">
        <f>'Stavební rozpočet'!I152</f>
        <v>0</v>
      </c>
      <c r="F24" s="35">
        <f>'Stavební rozpočet'!J152</f>
        <v>0</v>
      </c>
      <c r="G24" s="75">
        <f>'Stavební rozpočet'!L152</f>
        <v>1.79</v>
      </c>
      <c r="H24" s="37" t="s">
        <v>1038</v>
      </c>
      <c r="I24" s="35">
        <f t="shared" si="0"/>
        <v>0</v>
      </c>
    </row>
    <row r="25" spans="1:9" ht="15" customHeight="1">
      <c r="A25" s="34" t="s">
        <v>342</v>
      </c>
      <c r="B25" s="34"/>
      <c r="C25" s="11" t="s">
        <v>343</v>
      </c>
      <c r="D25" s="35">
        <f>'Stavební rozpočet'!H161</f>
        <v>0</v>
      </c>
      <c r="E25" s="35">
        <f>'Stavební rozpočet'!I161</f>
        <v>0</v>
      </c>
      <c r="F25" s="35">
        <f>'Stavební rozpočet'!J161</f>
        <v>0</v>
      </c>
      <c r="G25" s="75">
        <f>'Stavební rozpočet'!L161</f>
        <v>2.88</v>
      </c>
      <c r="H25" s="37" t="s">
        <v>1038</v>
      </c>
      <c r="I25" s="35">
        <f t="shared" si="0"/>
        <v>0</v>
      </c>
    </row>
    <row r="26" spans="1:9" ht="15" customHeight="1">
      <c r="A26" s="34" t="s">
        <v>357</v>
      </c>
      <c r="B26" s="34"/>
      <c r="C26" s="11" t="s">
        <v>358</v>
      </c>
      <c r="D26" s="35">
        <f>'Stavební rozpočet'!H169</f>
        <v>0</v>
      </c>
      <c r="E26" s="35">
        <f>'Stavební rozpočet'!I169</f>
        <v>0</v>
      </c>
      <c r="F26" s="35">
        <f>'Stavební rozpočet'!J169</f>
        <v>0</v>
      </c>
      <c r="G26" s="75">
        <f>'Stavební rozpočet'!L169</f>
        <v>5.31</v>
      </c>
      <c r="H26" s="37" t="s">
        <v>1038</v>
      </c>
      <c r="I26" s="35">
        <f t="shared" si="0"/>
        <v>0</v>
      </c>
    </row>
    <row r="27" spans="1:9" ht="15" customHeight="1">
      <c r="A27" s="34" t="s">
        <v>390</v>
      </c>
      <c r="B27" s="34"/>
      <c r="C27" s="11" t="s">
        <v>391</v>
      </c>
      <c r="D27" s="35">
        <f>'Stavební rozpočet'!H188</f>
        <v>0</v>
      </c>
      <c r="E27" s="35">
        <f>'Stavební rozpočet'!I188</f>
        <v>0</v>
      </c>
      <c r="F27" s="35">
        <f>'Stavební rozpočet'!J188</f>
        <v>0</v>
      </c>
      <c r="G27" s="75">
        <f>'Stavební rozpočet'!L188</f>
        <v>2.27</v>
      </c>
      <c r="H27" s="37" t="s">
        <v>1038</v>
      </c>
      <c r="I27" s="35">
        <f t="shared" si="0"/>
        <v>0</v>
      </c>
    </row>
    <row r="28" spans="1:9" ht="15" customHeight="1">
      <c r="A28" s="34" t="s">
        <v>418</v>
      </c>
      <c r="B28" s="34"/>
      <c r="C28" s="11" t="s">
        <v>419</v>
      </c>
      <c r="D28" s="35">
        <f>'Stavební rozpočet'!H206</f>
        <v>0</v>
      </c>
      <c r="E28" s="35">
        <f>'Stavební rozpočet'!I206</f>
        <v>0</v>
      </c>
      <c r="F28" s="35">
        <f>'Stavební rozpočet'!J206</f>
        <v>0</v>
      </c>
      <c r="G28" s="75">
        <f>'Stavební rozpočet'!L206</f>
        <v>0.06</v>
      </c>
      <c r="H28" s="37" t="s">
        <v>1038</v>
      </c>
      <c r="I28" s="35">
        <f t="shared" si="0"/>
        <v>0</v>
      </c>
    </row>
    <row r="29" spans="1:9" ht="15" customHeight="1">
      <c r="A29" s="34" t="s">
        <v>435</v>
      </c>
      <c r="B29" s="34"/>
      <c r="C29" s="11" t="s">
        <v>436</v>
      </c>
      <c r="D29" s="35">
        <f>'Stavební rozpočet'!H215</f>
        <v>0</v>
      </c>
      <c r="E29" s="35">
        <f>'Stavební rozpočet'!I215</f>
        <v>0</v>
      </c>
      <c r="F29" s="35">
        <f>'Stavební rozpočet'!J215</f>
        <v>0</v>
      </c>
      <c r="G29" s="75">
        <f>'Stavební rozpočet'!L215</f>
        <v>1.05</v>
      </c>
      <c r="H29" s="37" t="s">
        <v>1038</v>
      </c>
      <c r="I29" s="35">
        <f t="shared" si="0"/>
        <v>0</v>
      </c>
    </row>
    <row r="30" spans="1:9" ht="15" customHeight="1">
      <c r="A30" s="34" t="s">
        <v>523</v>
      </c>
      <c r="B30" s="34"/>
      <c r="C30" s="11" t="s">
        <v>524</v>
      </c>
      <c r="D30" s="35">
        <f>'Stavební rozpočet'!H262</f>
        <v>0</v>
      </c>
      <c r="E30" s="35">
        <f>'Stavební rozpočet'!I262</f>
        <v>0</v>
      </c>
      <c r="F30" s="35">
        <f>'Stavební rozpočet'!J262</f>
        <v>0</v>
      </c>
      <c r="G30" s="75">
        <f>'Stavební rozpočet'!L262</f>
        <v>1.49</v>
      </c>
      <c r="H30" s="37" t="s">
        <v>1038</v>
      </c>
      <c r="I30" s="35">
        <f t="shared" si="0"/>
        <v>0</v>
      </c>
    </row>
    <row r="31" spans="1:9" ht="15" customHeight="1">
      <c r="A31" s="34" t="s">
        <v>550</v>
      </c>
      <c r="B31" s="34"/>
      <c r="C31" s="11" t="s">
        <v>551</v>
      </c>
      <c r="D31" s="35">
        <f>'Stavební rozpočet'!H275</f>
        <v>0</v>
      </c>
      <c r="E31" s="35">
        <f>'Stavební rozpočet'!I275</f>
        <v>0</v>
      </c>
      <c r="F31" s="35">
        <f>'Stavební rozpočet'!J275</f>
        <v>0</v>
      </c>
      <c r="G31" s="75">
        <f>'Stavební rozpočet'!L275</f>
        <v>0.12</v>
      </c>
      <c r="H31" s="37" t="s">
        <v>1038</v>
      </c>
      <c r="I31" s="35">
        <f t="shared" si="0"/>
        <v>0</v>
      </c>
    </row>
    <row r="32" spans="1:9" ht="15" customHeight="1">
      <c r="A32" s="34" t="s">
        <v>642</v>
      </c>
      <c r="B32" s="34"/>
      <c r="C32" s="11" t="s">
        <v>643</v>
      </c>
      <c r="D32" s="35">
        <f>'Stavební rozpočet'!H329</f>
        <v>0</v>
      </c>
      <c r="E32" s="35">
        <f>'Stavební rozpočet'!I329</f>
        <v>0</v>
      </c>
      <c r="F32" s="35">
        <f>'Stavební rozpočet'!J329</f>
        <v>0</v>
      </c>
      <c r="G32" s="75">
        <f>'Stavební rozpočet'!L329</f>
        <v>10.56</v>
      </c>
      <c r="H32" s="37" t="s">
        <v>1038</v>
      </c>
      <c r="I32" s="35">
        <f t="shared" si="0"/>
        <v>0</v>
      </c>
    </row>
    <row r="33" spans="1:9" ht="15" customHeight="1">
      <c r="A33" s="34" t="s">
        <v>714</v>
      </c>
      <c r="B33" s="34"/>
      <c r="C33" s="11" t="s">
        <v>715</v>
      </c>
      <c r="D33" s="35">
        <f>'Stavební rozpočet'!H369</f>
        <v>0</v>
      </c>
      <c r="E33" s="35">
        <f>'Stavební rozpočet'!I369</f>
        <v>0</v>
      </c>
      <c r="F33" s="35">
        <f>'Stavební rozpočet'!J369</f>
        <v>0</v>
      </c>
      <c r="G33" s="75">
        <f>'Stavební rozpočet'!L369</f>
        <v>9.81</v>
      </c>
      <c r="H33" s="37" t="s">
        <v>1038</v>
      </c>
      <c r="I33" s="35">
        <f t="shared" si="0"/>
        <v>0</v>
      </c>
    </row>
    <row r="34" spans="1:9" ht="15" customHeight="1">
      <c r="A34" s="34" t="s">
        <v>759</v>
      </c>
      <c r="B34" s="34"/>
      <c r="C34" s="11" t="s">
        <v>760</v>
      </c>
      <c r="D34" s="35">
        <f>'Stavební rozpočet'!H393</f>
        <v>0</v>
      </c>
      <c r="E34" s="35">
        <f>'Stavební rozpočet'!I393</f>
        <v>0</v>
      </c>
      <c r="F34" s="35">
        <f>'Stavební rozpočet'!J393</f>
        <v>0</v>
      </c>
      <c r="G34" s="75">
        <f>'Stavební rozpočet'!L393</f>
        <v>0</v>
      </c>
      <c r="H34" s="37" t="s">
        <v>1038</v>
      </c>
      <c r="I34" s="35">
        <f t="shared" si="0"/>
        <v>0</v>
      </c>
    </row>
    <row r="35" spans="1:9" ht="15" customHeight="1">
      <c r="A35" s="34" t="s">
        <v>508</v>
      </c>
      <c r="B35" s="34"/>
      <c r="C35" s="11" t="s">
        <v>780</v>
      </c>
      <c r="D35" s="35">
        <f>'Stavební rozpočet'!H402</f>
        <v>0</v>
      </c>
      <c r="E35" s="35">
        <f>'Stavební rozpočet'!I402</f>
        <v>0</v>
      </c>
      <c r="F35" s="35">
        <f>'Stavební rozpočet'!J402</f>
        <v>0</v>
      </c>
      <c r="G35" s="75">
        <f>'Stavební rozpočet'!L402</f>
        <v>0</v>
      </c>
      <c r="H35" s="37" t="s">
        <v>1038</v>
      </c>
      <c r="I35" s="35">
        <f t="shared" si="0"/>
        <v>0</v>
      </c>
    </row>
    <row r="36" spans="1:9" ht="15" customHeight="1">
      <c r="A36" s="34" t="s">
        <v>511</v>
      </c>
      <c r="B36" s="34"/>
      <c r="C36" s="11" t="s">
        <v>787</v>
      </c>
      <c r="D36" s="35">
        <f>'Stavební rozpočet'!H405</f>
        <v>0</v>
      </c>
      <c r="E36" s="35">
        <f>'Stavební rozpočet'!I405</f>
        <v>0</v>
      </c>
      <c r="F36" s="35">
        <f>'Stavební rozpočet'!J405</f>
        <v>0</v>
      </c>
      <c r="G36" s="75">
        <f>'Stavební rozpočet'!L405</f>
        <v>0.84</v>
      </c>
      <c r="H36" s="37" t="s">
        <v>1038</v>
      </c>
      <c r="I36" s="35">
        <f t="shared" si="0"/>
        <v>0</v>
      </c>
    </row>
    <row r="37" spans="1:9" ht="15" customHeight="1">
      <c r="A37" s="34" t="s">
        <v>519</v>
      </c>
      <c r="B37" s="34"/>
      <c r="C37" s="11" t="s">
        <v>793</v>
      </c>
      <c r="D37" s="35">
        <f>'Stavební rozpočet'!H408</f>
        <v>0</v>
      </c>
      <c r="E37" s="35">
        <f>'Stavební rozpočet'!I408</f>
        <v>0</v>
      </c>
      <c r="F37" s="35">
        <f>'Stavební rozpočet'!J408</f>
        <v>0</v>
      </c>
      <c r="G37" s="75">
        <f>'Stavební rozpočet'!L408</f>
        <v>69.28</v>
      </c>
      <c r="H37" s="37" t="s">
        <v>1038</v>
      </c>
      <c r="I37" s="35">
        <f t="shared" si="0"/>
        <v>0</v>
      </c>
    </row>
    <row r="38" spans="1:9" ht="15" customHeight="1">
      <c r="A38" s="34" t="s">
        <v>525</v>
      </c>
      <c r="B38" s="34"/>
      <c r="C38" s="11" t="s">
        <v>824</v>
      </c>
      <c r="D38" s="35">
        <f>'Stavební rozpočet'!H426</f>
        <v>0</v>
      </c>
      <c r="E38" s="35">
        <f>'Stavební rozpočet'!I426</f>
        <v>0</v>
      </c>
      <c r="F38" s="35">
        <f>'Stavební rozpočet'!J426</f>
        <v>0</v>
      </c>
      <c r="G38" s="75">
        <f>'Stavební rozpočet'!L426</f>
        <v>0.5</v>
      </c>
      <c r="H38" s="37" t="s">
        <v>1038</v>
      </c>
      <c r="I38" s="35">
        <f t="shared" si="0"/>
        <v>0</v>
      </c>
    </row>
    <row r="39" spans="1:9" ht="15" customHeight="1">
      <c r="A39" s="34" t="s">
        <v>531</v>
      </c>
      <c r="B39" s="34"/>
      <c r="C39" s="11" t="s">
        <v>847</v>
      </c>
      <c r="D39" s="35">
        <f>'Stavební rozpočet'!H438</f>
        <v>0</v>
      </c>
      <c r="E39" s="35">
        <f>'Stavební rozpočet'!I438</f>
        <v>0</v>
      </c>
      <c r="F39" s="35">
        <f>'Stavební rozpočet'!J438</f>
        <v>0</v>
      </c>
      <c r="G39" s="75">
        <f>'Stavební rozpočet'!L438</f>
        <v>0.76</v>
      </c>
      <c r="H39" s="37" t="s">
        <v>1038</v>
      </c>
      <c r="I39" s="35">
        <f t="shared" si="0"/>
        <v>0</v>
      </c>
    </row>
    <row r="40" spans="1:9" ht="15" customHeight="1">
      <c r="A40" s="34" t="s">
        <v>538</v>
      </c>
      <c r="B40" s="34"/>
      <c r="C40" s="11" t="s">
        <v>859</v>
      </c>
      <c r="D40" s="35">
        <f>'Stavební rozpočet'!H445</f>
        <v>0</v>
      </c>
      <c r="E40" s="35">
        <f>'Stavební rozpočet'!I445</f>
        <v>0</v>
      </c>
      <c r="F40" s="35">
        <f>'Stavební rozpočet'!J445</f>
        <v>0</v>
      </c>
      <c r="G40" s="75">
        <f>'Stavební rozpočet'!L445</f>
        <v>0</v>
      </c>
      <c r="H40" s="37" t="s">
        <v>1038</v>
      </c>
      <c r="I40" s="35">
        <f t="shared" si="0"/>
        <v>0</v>
      </c>
    </row>
    <row r="41" spans="1:9" ht="15" customHeight="1">
      <c r="A41" s="34" t="s">
        <v>866</v>
      </c>
      <c r="B41" s="34"/>
      <c r="C41" s="11" t="s">
        <v>867</v>
      </c>
      <c r="D41" s="35">
        <f>'Stavební rozpočet'!H448</f>
        <v>0</v>
      </c>
      <c r="E41" s="35">
        <f>'Stavební rozpočet'!I448</f>
        <v>0</v>
      </c>
      <c r="F41" s="35">
        <f>'Stavební rozpočet'!J448</f>
        <v>0</v>
      </c>
      <c r="G41" s="75">
        <f>'Stavební rozpočet'!L448</f>
        <v>0.18</v>
      </c>
      <c r="H41" s="37" t="s">
        <v>1038</v>
      </c>
      <c r="I41" s="35">
        <f t="shared" si="0"/>
        <v>0</v>
      </c>
    </row>
    <row r="42" spans="1:9" ht="15" customHeight="1">
      <c r="A42" s="34" t="s">
        <v>1003</v>
      </c>
      <c r="B42" s="34"/>
      <c r="C42" s="11" t="s">
        <v>1004</v>
      </c>
      <c r="D42" s="35">
        <f>'Stavební rozpočet'!H536</f>
        <v>0</v>
      </c>
      <c r="E42" s="35">
        <f>'Stavební rozpočet'!I536</f>
        <v>0</v>
      </c>
      <c r="F42" s="35">
        <f>'Stavební rozpočet'!J536</f>
        <v>0</v>
      </c>
      <c r="G42" s="75">
        <f>'Stavební rozpočet'!L449</f>
        <v>0</v>
      </c>
      <c r="H42" s="37" t="s">
        <v>1038</v>
      </c>
      <c r="I42" s="35">
        <f t="shared" si="0"/>
        <v>0</v>
      </c>
    </row>
    <row r="43" spans="1:9" ht="15" customHeight="1">
      <c r="A43" s="76" t="s">
        <v>1012</v>
      </c>
      <c r="B43" s="76"/>
      <c r="C43" s="77" t="s">
        <v>1013</v>
      </c>
      <c r="D43" s="78">
        <f>'Stavební rozpočet'!H541</f>
        <v>0</v>
      </c>
      <c r="E43" s="78">
        <f>'Stavební rozpočet'!I541</f>
        <v>0</v>
      </c>
      <c r="F43" s="78">
        <f>'Stavební rozpočet'!J541</f>
        <v>0</v>
      </c>
      <c r="G43" s="79">
        <f>'Stavební rozpočet'!L541</f>
        <v>0</v>
      </c>
      <c r="H43" s="37" t="s">
        <v>1038</v>
      </c>
      <c r="I43" s="35">
        <f t="shared" si="0"/>
        <v>0</v>
      </c>
    </row>
    <row r="44" spans="5:6" ht="15" customHeight="1">
      <c r="E44" s="65" t="s">
        <v>1031</v>
      </c>
      <c r="F44" s="66">
        <f>SUM(I11:I43)</f>
        <v>0</v>
      </c>
    </row>
  </sheetData>
  <sheetProtection selectLockedCells="1" selectUnlockedCells="1"/>
  <mergeCells count="59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/>
  <pageMargins left="0.39375" right="0.39375" top="0.5909722222222222" bottom="0.5909722222222222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workbookViewId="0" topLeftCell="A1">
      <selection activeCell="A12" sqref="A12"/>
    </sheetView>
  </sheetViews>
  <sheetFormatPr defaultColWidth="9.33203125" defaultRowHeight="15" customHeight="1"/>
  <cols>
    <col min="1" max="1" width="10.66015625" style="1" customWidth="1"/>
    <col min="2" max="2" width="15" style="1" customWidth="1"/>
    <col min="3" max="3" width="31.66015625" style="1" customWidth="1"/>
    <col min="4" max="4" width="11.66015625" style="1" customWidth="1"/>
    <col min="5" max="5" width="16.33203125" style="1" customWidth="1"/>
    <col min="6" max="6" width="31.66015625" style="1" customWidth="1"/>
    <col min="7" max="7" width="10.66015625" style="1" customWidth="1"/>
    <col min="8" max="8" width="15" style="1" customWidth="1"/>
    <col min="9" max="9" width="31.66015625" style="1" customWidth="1"/>
    <col min="10" max="16384" width="14.16015625" style="0" customWidth="1"/>
  </cols>
  <sheetData>
    <row r="1" spans="1:9" ht="39.75" customHeight="1">
      <c r="A1" s="80" t="s">
        <v>1039</v>
      </c>
      <c r="B1" s="80"/>
      <c r="C1" s="80"/>
      <c r="D1" s="80"/>
      <c r="E1" s="80"/>
      <c r="F1" s="80"/>
      <c r="G1" s="80"/>
      <c r="H1" s="80"/>
      <c r="I1" s="80"/>
    </row>
    <row r="2" spans="1:9" ht="15" customHeight="1">
      <c r="A2" s="4" t="s">
        <v>1</v>
      </c>
      <c r="B2" s="4"/>
      <c r="C2" s="81">
        <f>'Stavební rozpočet'!C2</f>
        <v>0</v>
      </c>
      <c r="D2" s="81"/>
      <c r="E2" s="7" t="s">
        <v>5</v>
      </c>
      <c r="F2" s="82">
        <f>'Stavební rozpočet'!H2</f>
        <v>0</v>
      </c>
      <c r="G2" s="82"/>
      <c r="H2" s="7" t="s">
        <v>1040</v>
      </c>
      <c r="I2" s="83"/>
    </row>
    <row r="3" spans="1:9" ht="15" customHeight="1">
      <c r="A3" s="4"/>
      <c r="B3" s="4"/>
      <c r="C3" s="81"/>
      <c r="D3" s="81"/>
      <c r="E3" s="7"/>
      <c r="F3" s="7"/>
      <c r="G3" s="82"/>
      <c r="H3" s="7"/>
      <c r="I3" s="83"/>
    </row>
    <row r="4" spans="1:9" ht="15" customHeight="1">
      <c r="A4" s="9" t="s">
        <v>7</v>
      </c>
      <c r="B4" s="9"/>
      <c r="C4" s="84">
        <f>'Stavební rozpočet'!C4</f>
        <v>0</v>
      </c>
      <c r="D4" s="84"/>
      <c r="E4" s="10" t="s">
        <v>10</v>
      </c>
      <c r="F4" s="84">
        <f>'Stavební rozpočet'!H4</f>
        <v>0</v>
      </c>
      <c r="G4" s="84"/>
      <c r="H4" s="10" t="s">
        <v>1040</v>
      </c>
      <c r="I4" s="85"/>
    </row>
    <row r="5" spans="1:9" ht="15" customHeight="1">
      <c r="A5" s="9"/>
      <c r="B5" s="9"/>
      <c r="C5" s="84"/>
      <c r="D5" s="84"/>
      <c r="E5" s="10"/>
      <c r="F5" s="10"/>
      <c r="G5" s="84"/>
      <c r="H5" s="10"/>
      <c r="I5" s="85"/>
    </row>
    <row r="6" spans="1:9" ht="15" customHeight="1">
      <c r="A6" s="9" t="s">
        <v>12</v>
      </c>
      <c r="B6" s="9"/>
      <c r="C6" s="84">
        <f>'Stavební rozpočet'!C6</f>
        <v>0</v>
      </c>
      <c r="D6" s="84"/>
      <c r="E6" s="10" t="s">
        <v>15</v>
      </c>
      <c r="F6" s="84">
        <f>'Stavební rozpočet'!H6</f>
        <v>0</v>
      </c>
      <c r="G6" s="84"/>
      <c r="H6" s="10" t="s">
        <v>1040</v>
      </c>
      <c r="I6" s="85"/>
    </row>
    <row r="7" spans="1:9" ht="15" customHeight="1">
      <c r="A7" s="9"/>
      <c r="B7" s="9"/>
      <c r="C7" s="84"/>
      <c r="D7" s="84"/>
      <c r="E7" s="10"/>
      <c r="F7" s="10"/>
      <c r="G7" s="84"/>
      <c r="H7" s="10"/>
      <c r="I7" s="85"/>
    </row>
    <row r="8" spans="1:9" ht="15" customHeight="1">
      <c r="A8" s="9" t="s">
        <v>9</v>
      </c>
      <c r="B8" s="9"/>
      <c r="C8" s="84">
        <f>'Stavební rozpočet'!E4</f>
        <v>0</v>
      </c>
      <c r="D8" s="84"/>
      <c r="E8" s="10" t="s">
        <v>14</v>
      </c>
      <c r="F8" s="84">
        <f>'Stavební rozpočet'!E6</f>
        <v>0</v>
      </c>
      <c r="G8" s="84"/>
      <c r="H8" s="11" t="s">
        <v>1041</v>
      </c>
      <c r="I8" s="86">
        <v>221</v>
      </c>
    </row>
    <row r="9" spans="1:9" ht="15" customHeight="1">
      <c r="A9" s="9"/>
      <c r="B9" s="9"/>
      <c r="C9" s="84"/>
      <c r="D9" s="84"/>
      <c r="E9" s="10"/>
      <c r="F9" s="10"/>
      <c r="G9" s="84"/>
      <c r="H9" s="11"/>
      <c r="I9" s="86"/>
    </row>
    <row r="10" spans="1:9" ht="15" customHeight="1">
      <c r="A10" s="87" t="s">
        <v>17</v>
      </c>
      <c r="B10" s="87"/>
      <c r="C10" s="88">
        <f>'Stavební rozpočet'!C8</f>
        <v>0</v>
      </c>
      <c r="D10" s="88"/>
      <c r="E10" s="89" t="s">
        <v>19</v>
      </c>
      <c r="F10" s="88">
        <f>'Stavební rozpočet'!H8</f>
        <v>0</v>
      </c>
      <c r="G10" s="88"/>
      <c r="H10" s="77" t="s">
        <v>1042</v>
      </c>
      <c r="I10" s="90">
        <v>45408</v>
      </c>
    </row>
    <row r="11" spans="1:9" ht="15" customHeight="1">
      <c r="A11" s="87"/>
      <c r="B11" s="87"/>
      <c r="C11" s="88"/>
      <c r="D11" s="88"/>
      <c r="E11" s="89"/>
      <c r="F11" s="89"/>
      <c r="G11" s="88"/>
      <c r="H11" s="77"/>
      <c r="I11" s="90"/>
    </row>
    <row r="12" spans="1:9" ht="22.5" customHeight="1">
      <c r="A12" s="91" t="s">
        <v>1043</v>
      </c>
      <c r="B12" s="91"/>
      <c r="C12" s="91"/>
      <c r="D12" s="91"/>
      <c r="E12" s="91"/>
      <c r="F12" s="91"/>
      <c r="G12" s="91"/>
      <c r="H12" s="91"/>
      <c r="I12" s="91"/>
    </row>
    <row r="13" spans="1:9" ht="26.25" customHeight="1">
      <c r="A13" s="92" t="s">
        <v>1044</v>
      </c>
      <c r="B13" s="93" t="s">
        <v>1045</v>
      </c>
      <c r="C13" s="93"/>
      <c r="D13" s="94" t="s">
        <v>1046</v>
      </c>
      <c r="E13" s="93" t="s">
        <v>1047</v>
      </c>
      <c r="F13" s="93"/>
      <c r="G13" s="94" t="s">
        <v>1048</v>
      </c>
      <c r="H13" s="93" t="s">
        <v>1049</v>
      </c>
      <c r="I13" s="93"/>
    </row>
    <row r="14" spans="1:9" ht="15" customHeight="1">
      <c r="A14" s="95" t="s">
        <v>1050</v>
      </c>
      <c r="B14" s="96" t="s">
        <v>1051</v>
      </c>
      <c r="C14" s="97">
        <f>SUM('Stavební rozpočet'!AB12:AB553)</f>
        <v>0</v>
      </c>
      <c r="D14" s="96" t="s">
        <v>1052</v>
      </c>
      <c r="E14" s="96"/>
      <c r="F14" s="97">
        <v>0</v>
      </c>
      <c r="G14" s="96" t="s">
        <v>76</v>
      </c>
      <c r="H14" s="96"/>
      <c r="I14" s="97">
        <v>0</v>
      </c>
    </row>
    <row r="15" spans="1:9" ht="15" customHeight="1">
      <c r="A15" s="98"/>
      <c r="B15" s="96" t="s">
        <v>35</v>
      </c>
      <c r="C15" s="97">
        <f>SUM('Stavební rozpočet'!AC12:AC553)</f>
        <v>0</v>
      </c>
      <c r="D15" s="96" t="s">
        <v>1053</v>
      </c>
      <c r="E15" s="96"/>
      <c r="F15" s="97">
        <v>0</v>
      </c>
      <c r="G15" s="96" t="s">
        <v>1054</v>
      </c>
      <c r="H15" s="96"/>
      <c r="I15" s="97">
        <v>0</v>
      </c>
    </row>
    <row r="16" spans="1:9" ht="15" customHeight="1">
      <c r="A16" s="95" t="s">
        <v>1055</v>
      </c>
      <c r="B16" s="96" t="s">
        <v>1051</v>
      </c>
      <c r="C16" s="97">
        <f>SUM('Stavební rozpočet'!AD12:AD553)</f>
        <v>0</v>
      </c>
      <c r="D16" s="96" t="s">
        <v>1056</v>
      </c>
      <c r="E16" s="96"/>
      <c r="F16" s="97">
        <v>0</v>
      </c>
      <c r="G16" s="96" t="s">
        <v>68</v>
      </c>
      <c r="H16" s="96"/>
      <c r="I16" s="97">
        <v>0</v>
      </c>
    </row>
    <row r="17" spans="1:9" ht="15" customHeight="1">
      <c r="A17" s="98"/>
      <c r="B17" s="96" t="s">
        <v>35</v>
      </c>
      <c r="C17" s="97">
        <f>SUM('Stavební rozpočet'!AE12:AE553)</f>
        <v>0</v>
      </c>
      <c r="D17" s="96"/>
      <c r="E17" s="96"/>
      <c r="F17" s="99"/>
      <c r="G17" s="96" t="s">
        <v>72</v>
      </c>
      <c r="H17" s="96"/>
      <c r="I17" s="97">
        <v>0</v>
      </c>
    </row>
    <row r="18" spans="1:9" ht="15" customHeight="1">
      <c r="A18" s="95" t="s">
        <v>1057</v>
      </c>
      <c r="B18" s="96" t="s">
        <v>1051</v>
      </c>
      <c r="C18" s="97">
        <f>SUM('Stavební rozpočet'!AF12:AF553)</f>
        <v>0</v>
      </c>
      <c r="D18" s="96"/>
      <c r="E18" s="96"/>
      <c r="F18" s="99"/>
      <c r="G18" s="96" t="s">
        <v>1058</v>
      </c>
      <c r="H18" s="96"/>
      <c r="I18" s="97">
        <v>0</v>
      </c>
    </row>
    <row r="19" spans="1:9" ht="15" customHeight="1">
      <c r="A19" s="98"/>
      <c r="B19" s="96" t="s">
        <v>35</v>
      </c>
      <c r="C19" s="97" t="s">
        <v>4</v>
      </c>
      <c r="D19" s="96"/>
      <c r="E19" s="96"/>
      <c r="F19" s="99"/>
      <c r="G19" s="96" t="s">
        <v>1059</v>
      </c>
      <c r="H19" s="96"/>
      <c r="I19" s="97">
        <v>0</v>
      </c>
    </row>
    <row r="20" spans="1:9" ht="15" customHeight="1">
      <c r="A20" s="98" t="s">
        <v>1060</v>
      </c>
      <c r="B20" s="98"/>
      <c r="C20" s="97">
        <f>SUM('Stavební rozpočet'!AH12:AH553)</f>
        <v>0</v>
      </c>
      <c r="D20" s="96"/>
      <c r="E20" s="96"/>
      <c r="F20" s="99"/>
      <c r="G20" s="96"/>
      <c r="H20" s="96"/>
      <c r="I20" s="99"/>
    </row>
    <row r="21" spans="1:9" ht="15" customHeight="1">
      <c r="A21" s="95" t="s">
        <v>1061</v>
      </c>
      <c r="B21" s="95"/>
      <c r="C21" s="100">
        <f>SUM('Stavební rozpočet'!Z12:Z553)</f>
        <v>0</v>
      </c>
      <c r="D21" s="101"/>
      <c r="E21" s="101"/>
      <c r="F21" s="102"/>
      <c r="G21" s="101"/>
      <c r="H21" s="101"/>
      <c r="I21" s="102"/>
    </row>
    <row r="22" spans="1:9" ht="16.5" customHeight="1">
      <c r="A22" s="103" t="s">
        <v>1062</v>
      </c>
      <c r="B22" s="103"/>
      <c r="C22" s="104">
        <f>SUM(C14:C21)</f>
        <v>0</v>
      </c>
      <c r="D22" s="105" t="s">
        <v>1063</v>
      </c>
      <c r="E22" s="105"/>
      <c r="F22" s="104">
        <f>SUM(F14:F21)</f>
        <v>0</v>
      </c>
      <c r="G22" s="105" t="s">
        <v>1064</v>
      </c>
      <c r="H22" s="105"/>
      <c r="I22" s="104">
        <f>SUM(I14:I21)</f>
        <v>0</v>
      </c>
    </row>
    <row r="23" spans="4:9" ht="15" customHeight="1">
      <c r="D23" s="98" t="s">
        <v>1065</v>
      </c>
      <c r="E23" s="98"/>
      <c r="F23" s="106">
        <v>0</v>
      </c>
      <c r="G23" s="107" t="s">
        <v>1066</v>
      </c>
      <c r="H23" s="107"/>
      <c r="I23" s="97">
        <v>0</v>
      </c>
    </row>
    <row r="24" spans="7:9" ht="15" customHeight="1">
      <c r="G24" s="98" t="s">
        <v>1067</v>
      </c>
      <c r="H24" s="98"/>
      <c r="I24" s="97">
        <v>0</v>
      </c>
    </row>
    <row r="25" spans="7:9" ht="15" customHeight="1">
      <c r="G25" s="98" t="s">
        <v>1068</v>
      </c>
      <c r="H25" s="98"/>
      <c r="I25" s="97">
        <v>0</v>
      </c>
    </row>
    <row r="27" spans="1:3" ht="15" customHeight="1">
      <c r="A27" s="108" t="s">
        <v>1069</v>
      </c>
      <c r="B27" s="108"/>
      <c r="C27" s="109">
        <f>SUM('Stavební rozpočet'!AJ12:AJ553)</f>
        <v>0</v>
      </c>
    </row>
    <row r="28" spans="1:9" ht="15" customHeight="1">
      <c r="A28" s="110" t="s">
        <v>1070</v>
      </c>
      <c r="B28" s="110"/>
      <c r="C28" s="111">
        <f>SUM('Stavební rozpočet'!AK12:AK553)+(F22+I22+F23+I23+I24+I25)</f>
        <v>0</v>
      </c>
      <c r="D28" s="112" t="s">
        <v>1071</v>
      </c>
      <c r="E28" s="112"/>
      <c r="F28" s="109">
        <f>ROUND(C28*(12/100),2)</f>
        <v>0</v>
      </c>
      <c r="G28" s="112" t="s">
        <v>1072</v>
      </c>
      <c r="H28" s="112"/>
      <c r="I28" s="109">
        <f>SUM(C27:C29)</f>
        <v>0</v>
      </c>
    </row>
    <row r="29" spans="1:9" ht="15" customHeight="1">
      <c r="A29" s="110" t="s">
        <v>1073</v>
      </c>
      <c r="B29" s="110"/>
      <c r="C29" s="111">
        <f>SUM('Stavební rozpočet'!AL12:AL553)</f>
        <v>0</v>
      </c>
      <c r="D29" s="113" t="s">
        <v>1074</v>
      </c>
      <c r="E29" s="113"/>
      <c r="F29" s="111">
        <f>ROUND(C29*(21/100),2)</f>
        <v>0</v>
      </c>
      <c r="G29" s="113" t="s">
        <v>1075</v>
      </c>
      <c r="H29" s="113"/>
      <c r="I29" s="111">
        <f>SUM(F28:F29)+I28</f>
        <v>0</v>
      </c>
    </row>
    <row r="31" spans="1:9" ht="15" customHeight="1">
      <c r="A31" s="114" t="s">
        <v>1076</v>
      </c>
      <c r="B31" s="114"/>
      <c r="C31" s="114"/>
      <c r="D31" s="115" t="s">
        <v>1077</v>
      </c>
      <c r="E31" s="115"/>
      <c r="F31" s="115"/>
      <c r="G31" s="115" t="s">
        <v>1078</v>
      </c>
      <c r="H31" s="115"/>
      <c r="I31" s="115"/>
    </row>
    <row r="32" spans="1:9" ht="15" customHeight="1">
      <c r="A32" s="116"/>
      <c r="B32" s="116"/>
      <c r="C32" s="116"/>
      <c r="D32" s="117"/>
      <c r="E32" s="117"/>
      <c r="F32" s="117"/>
      <c r="G32" s="117"/>
      <c r="H32" s="117"/>
      <c r="I32" s="117"/>
    </row>
    <row r="33" spans="1:9" ht="15" customHeight="1">
      <c r="A33" s="116"/>
      <c r="B33" s="116"/>
      <c r="C33" s="116"/>
      <c r="D33" s="117"/>
      <c r="E33" s="117"/>
      <c r="F33" s="117"/>
      <c r="G33" s="117"/>
      <c r="H33" s="117"/>
      <c r="I33" s="117"/>
    </row>
    <row r="34" spans="1:9" ht="15" customHeight="1">
      <c r="A34" s="116"/>
      <c r="B34" s="116"/>
      <c r="C34" s="116"/>
      <c r="D34" s="117"/>
      <c r="E34" s="117"/>
      <c r="F34" s="117"/>
      <c r="G34" s="117"/>
      <c r="H34" s="117"/>
      <c r="I34" s="117"/>
    </row>
    <row r="35" spans="1:9" ht="15" customHeight="1">
      <c r="A35" s="118" t="s">
        <v>1079</v>
      </c>
      <c r="B35" s="118"/>
      <c r="C35" s="118"/>
      <c r="D35" s="119" t="s">
        <v>1079</v>
      </c>
      <c r="E35" s="119"/>
      <c r="F35" s="119"/>
      <c r="G35" s="119" t="s">
        <v>1079</v>
      </c>
      <c r="H35" s="119"/>
      <c r="I35" s="119"/>
    </row>
    <row r="36" ht="15" customHeight="1">
      <c r="A36" s="67" t="s">
        <v>1032</v>
      </c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 selectLockedCells="1" selectUnlockedCells="1"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2021-06-10T20:06:38Z</dcterms:created>
  <dcterms:modified xsi:type="dcterms:W3CDTF">2024-04-29T07:16:58Z</dcterms:modified>
  <cp:category/>
  <cp:version/>
  <cp:contentType/>
  <cp:contentStatus/>
  <cp:revision>11</cp:revision>
</cp:coreProperties>
</file>