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4"/>
  </bookViews>
  <sheets>
    <sheet name="Stavební rozpočet" sheetId="1" r:id="rId1"/>
    <sheet name="Hromosvod" sheetId="2" r:id="rId2"/>
    <sheet name="Výkaz výměr" sheetId="3" r:id="rId3"/>
    <sheet name="Výkaz výměr hromosvod" sheetId="4" r:id="rId4"/>
    <sheet name="Krycí list rozpočtu" sheetId="5" r:id="rId5"/>
    <sheet name="VORN" sheetId="6" r:id="rId6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<sst xmlns="http://schemas.openxmlformats.org/spreadsheetml/2006/main" count="3820" uniqueCount="1215">
  <si>
    <t>Stavební rozpočet</t>
  </si>
  <si>
    <t>Název stavby:</t>
  </si>
  <si>
    <t>SO-01</t>
  </si>
  <si>
    <t>Doba výstavby:</t>
  </si>
  <si>
    <t>Objednatel:</t>
  </si>
  <si>
    <t>Město Varnsdorf</t>
  </si>
  <si>
    <t>Druh stavby:</t>
  </si>
  <si>
    <t>Zateplení bytového domu č.p.2739  ve Varnsdorfu</t>
  </si>
  <si>
    <t>Začátek výstavby:</t>
  </si>
  <si>
    <t>Projektant:</t>
  </si>
  <si>
    <t>Ing. Jiří Drahota, Ing. Arch. Libor Král</t>
  </si>
  <si>
    <t>Lokalita:</t>
  </si>
  <si>
    <t>Edisonova ul. st.p.č. 2692/92 k.ú. Varnsdorf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</si>
  <si>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</si>
  <si>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</si>
  <si>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</si>
  <si>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</si>
  <si>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</si>
  <si>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</si>
  <si>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</si>
  <si>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</si>
  <si>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</si>
  <si>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</si>
  <si>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</si>
  <si>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</si>
  <si>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</si>
  <si>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</si>
  <si>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</si>
  <si>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 xml:space="preserve"> 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</si>
  <si>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</si>
  <si>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</si>
  <si>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</si>
  <si>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</si>
  <si>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</si>
  <si>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</si>
  <si>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</si>
  <si>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</si>
  <si>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</si>
  <si>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</si>
  <si>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</si>
  <si>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</si>
  <si>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</si>
  <si>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</si>
  <si>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</si>
  <si>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</si>
  <si>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Všeobecné konstrukce a práce</t>
  </si>
  <si>
    <t>HS</t>
  </si>
  <si>
    <t>1</t>
  </si>
  <si>
    <t>011123110R00</t>
  </si>
  <si>
    <t>Průzkum a vyhodnocení sond statikem pro stanovení rozsahu kotvení monierek</t>
  </si>
  <si>
    <t>soub</t>
  </si>
  <si>
    <t>2</t>
  </si>
  <si>
    <t>011123120R00</t>
  </si>
  <si>
    <t>Dokumentace skutečného provedení</t>
  </si>
  <si>
    <t>3</t>
  </si>
  <si>
    <t>011123260R00</t>
  </si>
  <si>
    <t>Mimostaveništní doprava</t>
  </si>
  <si>
    <t>4</t>
  </si>
  <si>
    <t>011123510R00</t>
  </si>
  <si>
    <t>Územní vlivy</t>
  </si>
  <si>
    <t>5</t>
  </si>
  <si>
    <t>011123520R00</t>
  </si>
  <si>
    <t>Provozní vlivy</t>
  </si>
  <si>
    <t>6</t>
  </si>
  <si>
    <t>011123610R00</t>
  </si>
  <si>
    <t>Zařízení staveniště</t>
  </si>
  <si>
    <t>11</t>
  </si>
  <si>
    <t>Přípravné a přidružené práce</t>
  </si>
  <si>
    <t>7</t>
  </si>
  <si>
    <t>113107111R00</t>
  </si>
  <si>
    <t>Odstranění podkladu pl. 200 m2,kam.těžené tl.10 cm</t>
  </si>
  <si>
    <t>m2</t>
  </si>
  <si>
    <t>RTS II / 2009</t>
  </si>
  <si>
    <t>2.1*0.8</t>
  </si>
  <si>
    <t>4.2*1.7</t>
  </si>
  <si>
    <t>8</t>
  </si>
  <si>
    <t>113107141R00</t>
  </si>
  <si>
    <t>Odstranění podkladu pl. do 200 m2, živice tl. 5 cm</t>
  </si>
  <si>
    <t>12</t>
  </si>
  <si>
    <t>Odkopávky a prokopávky</t>
  </si>
  <si>
    <t>9</t>
  </si>
  <si>
    <t>121104111R00</t>
  </si>
  <si>
    <t>Sejmuti ornice premist 100m</t>
  </si>
  <si>
    <t>m3</t>
  </si>
  <si>
    <t>(7.65+6.55+3+7.2+15.55+7.2+3+1.6+10.5+1.8+7.2+8.35)*2*0.05</t>
  </si>
  <si>
    <t>13</t>
  </si>
  <si>
    <t>Hloubené vykopávky</t>
  </si>
  <si>
    <t>10</t>
  </si>
  <si>
    <t>139600011RA0</t>
  </si>
  <si>
    <t>Ruční výkop v hornině 1-2</t>
  </si>
  <si>
    <t>(7.65+6.55+3+7.2+15.55+7.2+3+1.6+10.5+1.8+7.2+8.35)*0.5*0.15</t>
  </si>
  <si>
    <t>17</t>
  </si>
  <si>
    <t>Konstrukce ze zemin</t>
  </si>
  <si>
    <t>171102103R00</t>
  </si>
  <si>
    <t>Uložení sypaniny do násypů, zhutn, na 100% PS- prosátá zemina</t>
  </si>
  <si>
    <t>18</t>
  </si>
  <si>
    <t>Povrchové úpravy terénu</t>
  </si>
  <si>
    <t>180404111R00</t>
  </si>
  <si>
    <t>Založení  trávníku výsevem na ornici</t>
  </si>
  <si>
    <t>(7.65+6.55+3+7.2+15.55+7.2+3+1.6+10.5+1.8+7.2+8.35)*2</t>
  </si>
  <si>
    <t>31</t>
  </si>
  <si>
    <t>Zdi podpěrné a volné</t>
  </si>
  <si>
    <t>311311911R00</t>
  </si>
  <si>
    <t>Beton nadzákladových zdí prostý B 20 (C 16/20)</t>
  </si>
  <si>
    <t>1.65*2.6*0.1</t>
  </si>
  <si>
    <t>14</t>
  </si>
  <si>
    <t>311361112R00</t>
  </si>
  <si>
    <t>Vyztuz zdi z oceli 10425 (V10-200)</t>
  </si>
  <si>
    <t>kg</t>
  </si>
  <si>
    <t>0.2*15*0.95</t>
  </si>
  <si>
    <t>15</t>
  </si>
  <si>
    <t>311361122R00</t>
  </si>
  <si>
    <t>Vyztuz zdi sv site od 4 do 6,3mm</t>
  </si>
  <si>
    <t>t</t>
  </si>
  <si>
    <t>2.6*1.65*3.2*2/1000*1.15</t>
  </si>
  <si>
    <t>16</t>
  </si>
  <si>
    <t>311351105R00</t>
  </si>
  <si>
    <t>Bednění nadzákladových zdí oboustranné - zřízení</t>
  </si>
  <si>
    <t>1.65*2.6</t>
  </si>
  <si>
    <t>311351106R00</t>
  </si>
  <si>
    <t>Bednění nadzákladových zdí oboustranné-odstranění</t>
  </si>
  <si>
    <t>34</t>
  </si>
  <si>
    <t>Stěny a příčky</t>
  </si>
  <si>
    <t>342254811R00</t>
  </si>
  <si>
    <t>Zazdění  otvorů  pórobetonem tl. 150 mm</t>
  </si>
  <si>
    <t>0.2*0.2*120*1.3</t>
  </si>
  <si>
    <t>43</t>
  </si>
  <si>
    <t>Schodiště</t>
  </si>
  <si>
    <t>19</t>
  </si>
  <si>
    <t>58388012</t>
  </si>
  <si>
    <t>1-Prefabrikovaná železobetonová podestová deska 2530/2100/80mm, protiskluzový pemrlovaný povrch v celé ploše</t>
  </si>
  <si>
    <t>kus</t>
  </si>
  <si>
    <t>1   Ostatní povrchy pohledový beton dle PD</t>
  </si>
  <si>
    <t>20</t>
  </si>
  <si>
    <t>431122001R00</t>
  </si>
  <si>
    <t>Montáž podestových  panelů  do 3 t, dl.do 5 m</t>
  </si>
  <si>
    <t>21</t>
  </si>
  <si>
    <t>00572100</t>
  </si>
  <si>
    <t>2-Prefabrikovaný železobetonový schodišťový stupeň 2100/350/80 protiskluzný pemrlovaný vcelé ploše</t>
  </si>
  <si>
    <t>5   Ostatní plochy pohledový beton dle PD</t>
  </si>
  <si>
    <t>22</t>
  </si>
  <si>
    <t>434121426R00</t>
  </si>
  <si>
    <t>Osazení želbet. stupňů na desku, drsných</t>
  </si>
  <si>
    <t>m</t>
  </si>
  <si>
    <t>1.25</t>
  </si>
  <si>
    <t>23</t>
  </si>
  <si>
    <t>00572400</t>
  </si>
  <si>
    <t>3-Prefabrikovaná železobetonová přímá schodnice průřezu 120/170mm délky 2500 dle PD</t>
  </si>
  <si>
    <t>2   Pohledový beton</t>
  </si>
  <si>
    <t>24</t>
  </si>
  <si>
    <t>00572406</t>
  </si>
  <si>
    <t>4-Prefabrikovaná železobetonová stupňová schodnice průřezu 120/170mm dle PD</t>
  </si>
  <si>
    <t>25</t>
  </si>
  <si>
    <t>430321313R00</t>
  </si>
  <si>
    <t>Betonáž při instalaci schodnic B 20 (C 16/20)</t>
  </si>
  <si>
    <t>2.1*0.2*0.3   betonáž  do stávajících stěn</t>
  </si>
  <si>
    <t>2.1*0.3*0.2</t>
  </si>
  <si>
    <t>(0.6+0.6)*0.3*0.2</t>
  </si>
  <si>
    <t>59</t>
  </si>
  <si>
    <t>Dlažby pozemních komunikací a ploch</t>
  </si>
  <si>
    <t>26</t>
  </si>
  <si>
    <t>596100030RAC</t>
  </si>
  <si>
    <t>Okapový chodník z dlažby betonové, podklad štěrkopísek dlažba HBB 50 x 50 x 5 cm</t>
  </si>
  <si>
    <t>(7.65+6.55+3+7.2+15.55+7.2+3+1.6+10.5+1.8+7.2+8.35)*0.5</t>
  </si>
  <si>
    <t>27</t>
  </si>
  <si>
    <t>591100020RAA</t>
  </si>
  <si>
    <t>Chodník z dlažby zámkové, podklad štěrkopísek dlažba přírodní tloušťka 6 cm</t>
  </si>
  <si>
    <t>61</t>
  </si>
  <si>
    <t>Úprava povrchů vnitřní</t>
  </si>
  <si>
    <t>28</t>
  </si>
  <si>
    <t>612445210R00</t>
  </si>
  <si>
    <t>Stěrka soklových oken, penetrace, tl.10 mm</t>
  </si>
  <si>
    <t>(7*1.8+5*1.2)*0.135</t>
  </si>
  <si>
    <t>29</t>
  </si>
  <si>
    <t>612425931RT2</t>
  </si>
  <si>
    <t>Oprava omítky vápenná vnitřního ostění - štuková</t>
  </si>
  <si>
    <t>(1.75+0.5+0.5)*8*0.1</t>
  </si>
  <si>
    <t>(1.15+0.5+0.5)*5*0.1</t>
  </si>
  <si>
    <t>(1.65+2.35+2.35)*0.1</t>
  </si>
  <si>
    <t>(1.65+2.8+2.8)*10*0.1</t>
  </si>
  <si>
    <t>(1.65+3+3)*1*0.1</t>
  </si>
  <si>
    <t>30</t>
  </si>
  <si>
    <t>612100020RAA</t>
  </si>
  <si>
    <t>Začištění omítek kolem oken a dveří</t>
  </si>
  <si>
    <t>(1.8+0.5)*2*8</t>
  </si>
  <si>
    <t>(1.2+0.5)*2*5</t>
  </si>
  <si>
    <t>1.65+2.35+2.35</t>
  </si>
  <si>
    <t>(1.65+2.8+2.8)*10</t>
  </si>
  <si>
    <t>1.65+3+3</t>
  </si>
  <si>
    <t>62</t>
  </si>
  <si>
    <t>Úprava povrchů vnější</t>
  </si>
  <si>
    <t>622311522RU1</t>
  </si>
  <si>
    <t>Zateplovací systém ETICS sokl, XPS tl. 100 mm s mozaikovou omítkou 5,5 kg/m2</t>
  </si>
  <si>
    <t>(7.65+5.1+6.55+3+7.2+15.55+7.2+3+13.75+7.2+1.8+7.8)*0.85   izolační desky budou kotveny 8 ks/m2 talířovými hmoždinkami pro zápustnou montáž včetně zát</t>
  </si>
  <si>
    <t>-(1.8*0.425*7+1.2*0.425*5)</t>
  </si>
  <si>
    <t>32</t>
  </si>
  <si>
    <t>622300151R00</t>
  </si>
  <si>
    <t>Začišťovací lišta soklového okna</t>
  </si>
  <si>
    <t>7*1.8+5*1.2</t>
  </si>
  <si>
    <t>33</t>
  </si>
  <si>
    <t>622311153RT1</t>
  </si>
  <si>
    <t>Zateplovací systémem ETICS  ostění soklu, XPS F tl. 30 mm s mozaikovou omítkou 5,5 kg/m2</t>
  </si>
  <si>
    <t>((1.65+0.425+0.425)*7+(1.05+0.425+0.425)*5)*0.3   izolační desky budou kotveny 8 ks/m2 talířovými hmoždinkami pro zápustnou montáž včetně zátek</t>
  </si>
  <si>
    <t>622311024R00</t>
  </si>
  <si>
    <t>Založení na montážní lať dle detailu PD</t>
  </si>
  <si>
    <t>7.95+1.45+1.45+6+6.75+3+7.2+15.75+7.35+3+13.65+7.2+1.8+8.55</t>
  </si>
  <si>
    <t>35</t>
  </si>
  <si>
    <t>622311111R00</t>
  </si>
  <si>
    <t>Dilatační profil KZS</t>
  </si>
  <si>
    <t>3*33.4</t>
  </si>
  <si>
    <t>36</t>
  </si>
  <si>
    <t>622311134RT3</t>
  </si>
  <si>
    <t>Zateplovací systém ETICS, fasáda, EPS 70 F šedý  tl.140 mm</t>
  </si>
  <si>
    <t>(7.95+1.6+1.6+6+6.75+3+7.2+15.75+7.2+3+13.95+7.2+1.8+8.55)*22.35    izolační desky budou kotveny 8 ks/m2 talířovými hmoždinkami pro zápustnou montáž</t>
  </si>
  <si>
    <t>-(2.25*1.45*7+1.65*1.45*3+0.9*2.35+1.05*1.45*5+2.4*2.1)   otvory 1.n.p.</t>
  </si>
  <si>
    <t>-7*(2.25*1.45*8+1.65*1.45*3+1*2.8+1.05*1.45*5)   otvory 2.n.p.až 8 n.p.</t>
  </si>
  <si>
    <t>-7*0.5*(7.2+13.65+7.2+4+7.95+5+7.2+8.5)   minerální</t>
  </si>
  <si>
    <t>37</t>
  </si>
  <si>
    <t>622311154RT3</t>
  </si>
  <si>
    <t>Zateplovací systém ETICS, ostění, EPS70 F šedý tl. 20 až 50 mm</t>
  </si>
  <si>
    <t>((2.25+1.45+1.45)*63+(1.65+1.45+1.45)*24+(0.9+2.35+2.35)*8+(1.05+1.45+1.45)*40+2.4+2.1+2.1)*0.3</t>
  </si>
  <si>
    <t>38</t>
  </si>
  <si>
    <t>622311153RV1</t>
  </si>
  <si>
    <t>Zateplovací systém ETICS, ostění, EPS F70 šedý tl. 20 až 50 mm</t>
  </si>
  <si>
    <t>(2.25*63+1.65*24+0.9*8+1.05*40)*0.3</t>
  </si>
  <si>
    <t>39</t>
  </si>
  <si>
    <t>622311734RT3</t>
  </si>
  <si>
    <t>Zatepl.syst. ETICS, fasáda, miner.desky KV 140 mm</t>
  </si>
  <si>
    <t>(7.95+1.45+1.45+6+6.75+3+7.2+15.75+7.35+3+13.65+7.2+1.8+8.55)*12.2   izolační desky budou kotveny 8 ks/m2 talířovými hmoždinkami pro zápustnou montáž</t>
  </si>
  <si>
    <t>-4*(2.25*1.45*8+1.65*1.45*3+1*2.8+1.05*1.45*5)</t>
  </si>
  <si>
    <t>7*0.5*(7.2+13.65+7.2+4+7.95+5+7.2+8.5)</t>
  </si>
  <si>
    <t>40</t>
  </si>
  <si>
    <t>622311754RT3</t>
  </si>
  <si>
    <t>Zatepl.syst. ETICS ostění, miner.desky KV 40 mm</t>
  </si>
  <si>
    <t>((2.25+1.45+1.45)*32+(1.65+1.45+1.45)*12+(0.9+2.35+2.35)*4+(1.05+1.45+1.45)*20)*0.3</t>
  </si>
  <si>
    <t>41</t>
  </si>
  <si>
    <t>622311754RV1</t>
  </si>
  <si>
    <t>Zatepl.syst.ETICS ostění, miner.desky KV 40 mm</t>
  </si>
  <si>
    <t>(2.25*32+1.65*12+0.9*4+1.05*20)*0.3</t>
  </si>
  <si>
    <t>42</t>
  </si>
  <si>
    <t>938902122R00</t>
  </si>
  <si>
    <t>Čištění ploch  tlakovou vodou</t>
  </si>
  <si>
    <t>64.3+4.32+1450.25+96.40+34.58+1126.34+48.12+17.46</t>
  </si>
  <si>
    <t>50.63</t>
  </si>
  <si>
    <t>627456135R00</t>
  </si>
  <si>
    <t>Začištění poškozeného betonového zdiva reprofilační maltou dle PD – předpokládaný rozsah</t>
  </si>
  <si>
    <t>44</t>
  </si>
  <si>
    <t>620991121R00</t>
  </si>
  <si>
    <t>Zakrývání výplní vnějších otvorů z lešení</t>
  </si>
  <si>
    <t>2.25*1.45*95+1.65*1.45*36+0.9*2.35*12+1.05*1.45*60+2.4*2.1</t>
  </si>
  <si>
    <t>45</t>
  </si>
  <si>
    <t>953981206R00</t>
  </si>
  <si>
    <t>Chemické kotvy,HIT-HY 200-A+HIT -V (8,8) M16x250</t>
  </si>
  <si>
    <t>5*12*5</t>
  </si>
  <si>
    <t>6*12*6</t>
  </si>
  <si>
    <t>3*12*5</t>
  </si>
  <si>
    <t>8*12*6</t>
  </si>
  <si>
    <t>7*12*4</t>
  </si>
  <si>
    <t>46</t>
  </si>
  <si>
    <t>622314011R00</t>
  </si>
  <si>
    <t>Montáž ostatních lišt zateplení</t>
  </si>
  <si>
    <t>(2.25+1.45+1.45)*95+(1.65+1.45+1.45)*36+(0.9+2.35+2.35)*12+(1.05+1.45+1.45)*60+2.4+2.1+2.1</t>
  </si>
  <si>
    <t>2.25*63+1.65*24+0.9*8+1.05*40</t>
  </si>
  <si>
    <t>8*22.1</t>
  </si>
  <si>
    <t>(1.8+0.425+0.425)*7</t>
  </si>
  <si>
    <t>(1.2+0.425+0.425)*5</t>
  </si>
  <si>
    <t>(7.2+1.2+1.1+7.2+6+3+6.825+15+6.825+3+13.2+6.825+1.425+7.8)</t>
  </si>
  <si>
    <t>47</t>
  </si>
  <si>
    <t>Rohová lišta s tkaninou</t>
  </si>
  <si>
    <t>;ztratné 7%; 12.376</t>
  </si>
  <si>
    <t>48</t>
  </si>
  <si>
    <t>Profil okenní s tkaninou APU lišta</t>
  </si>
  <si>
    <t>49</t>
  </si>
  <si>
    <t>00572410</t>
  </si>
  <si>
    <t>Kompresní páska</t>
  </si>
  <si>
    <t>50</t>
  </si>
  <si>
    <t>622454511R00</t>
  </si>
  <si>
    <t>Oprava vnějších omítek šachet cement.,hladkých do 50 %</t>
  </si>
  <si>
    <t>13*0.8*(0.6+0.4)*2</t>
  </si>
  <si>
    <t>51</t>
  </si>
  <si>
    <t>622311131RT3</t>
  </si>
  <si>
    <t>Zateplovací systém ETICS  fasáda, EPS F šedý tl. 50 mm</t>
  </si>
  <si>
    <t>(4.425+4.65)*2*2.9   izolační desky budou kotveny 8 ks/m2 talířovými hmoždinkami pro zápustnou montáž včetně zátek</t>
  </si>
  <si>
    <t>-0.8*1.8</t>
  </si>
  <si>
    <t>-1.05*0.55</t>
  </si>
  <si>
    <t>52</t>
  </si>
  <si>
    <t>622311131RV1</t>
  </si>
  <si>
    <t>Příplatek za složitost provádění zateplení strojovny výtahu – stávající příhradové stožáry</t>
  </si>
  <si>
    <t>(4.425+4.65)*2*2.9</t>
  </si>
  <si>
    <t>53</t>
  </si>
  <si>
    <t>620431111R00</t>
  </si>
  <si>
    <t>Omítka kamínková  soklu</t>
  </si>
  <si>
    <t>1.2*0.85+1.1*2*0.85</t>
  </si>
  <si>
    <t>0.9*2.1*2</t>
  </si>
  <si>
    <t>1*2.1*2</t>
  </si>
  <si>
    <t>0.3*0.9*4</t>
  </si>
  <si>
    <t>54</t>
  </si>
  <si>
    <t>622422611R00</t>
  </si>
  <si>
    <t>Oprava vnějších omítek vápen. hladk. , do 65 %</t>
  </si>
  <si>
    <t>11.95</t>
  </si>
  <si>
    <t>86.5</t>
  </si>
  <si>
    <t>63</t>
  </si>
  <si>
    <t>Podlahy, podlahové konstrukce</t>
  </si>
  <si>
    <t>55</t>
  </si>
  <si>
    <t>631312611R00</t>
  </si>
  <si>
    <t>Mazanina betonová tl. 5 - 8 cm B 20 (C 16/20)</t>
  </si>
  <si>
    <t>49.8*0.1</t>
  </si>
  <si>
    <t>56</t>
  </si>
  <si>
    <t>631591115R00</t>
  </si>
  <si>
    <t>Násyp pod podlahy z keramzitu</t>
  </si>
  <si>
    <t>49.8*0.2</t>
  </si>
  <si>
    <t>57</t>
  </si>
  <si>
    <t>632415102R00</t>
  </si>
  <si>
    <t>Potěr samonivelační ručně tl. 2 mm</t>
  </si>
  <si>
    <t>5.66</t>
  </si>
  <si>
    <t>711</t>
  </si>
  <si>
    <t>Izolace proti vodě</t>
  </si>
  <si>
    <t>PS</t>
  </si>
  <si>
    <t>58</t>
  </si>
  <si>
    <t>711212003RT3</t>
  </si>
  <si>
    <t>Stěrka  hydroizolační, hmotou</t>
  </si>
  <si>
    <t>998711103R00</t>
  </si>
  <si>
    <t>Přesun hmot pro izolace proti vodě, výšky do 36 m</t>
  </si>
  <si>
    <t>712</t>
  </si>
  <si>
    <t>Izolace střech (živičné krytiny)</t>
  </si>
  <si>
    <t>60</t>
  </si>
  <si>
    <t>69366198</t>
  </si>
  <si>
    <t>Geotextilie  300 g/m2 š. 200cm 100% PP</t>
  </si>
  <si>
    <t>368.1</t>
  </si>
  <si>
    <t>;ztratné 10%; 36.81</t>
  </si>
  <si>
    <t>712212111R00</t>
  </si>
  <si>
    <t>Podkladní pás z textilie přibitím</t>
  </si>
  <si>
    <t>712371801RZ4</t>
  </si>
  <si>
    <t>Povlaková krytina střech do 10°, fólií z polyesterové rohože mechanicky kotvené</t>
  </si>
  <si>
    <t>368.1*1.1   mechanicky kotvené v podélném a příčném přesahu pomocí střešních šroubů a polyamidových teleskopů do</t>
  </si>
  <si>
    <t>-   železobetonových panelů</t>
  </si>
  <si>
    <t>62852258</t>
  </si>
  <si>
    <t>Pás modifikovaný asfalt Elastodek 50 special dekor</t>
  </si>
  <si>
    <t>21.5+49.8*2</t>
  </si>
  <si>
    <t>;ztratné 10%; 12.11</t>
  </si>
  <si>
    <t>64</t>
  </si>
  <si>
    <t>712341559RT1</t>
  </si>
  <si>
    <t>Povlaková krytina střech do 10°, NAIP přitavením</t>
  </si>
  <si>
    <t>21.5</t>
  </si>
  <si>
    <t>65</t>
  </si>
  <si>
    <t>712341559R00</t>
  </si>
  <si>
    <t>49.8*2</t>
  </si>
  <si>
    <t>66</t>
  </si>
  <si>
    <t>711111011RZ1</t>
  </si>
  <si>
    <t>Izolace proti vlhk.vodor. nátěr asf.susp. za stud.</t>
  </si>
  <si>
    <t>67</t>
  </si>
  <si>
    <t>712491176R00</t>
  </si>
  <si>
    <t>Připevnění izolace kotvicími terči včetně dodávky  polyamidových teleskopů dle PD</t>
  </si>
  <si>
    <t>368*5   mechanicky kotvené v podélném a příčném přesahu pomocí střešních šroubů a polyamidových teleskopů do</t>
  </si>
  <si>
    <t>68</t>
  </si>
  <si>
    <t>712500831R00</t>
  </si>
  <si>
    <t>Odstranění stávající PVC krytiny střech</t>
  </si>
  <si>
    <t>69</t>
  </si>
  <si>
    <t>712990816RT1</t>
  </si>
  <si>
    <t>Příplatek za  provizorní zakrývání střech ochranými plachtami v průběhu výstavby</t>
  </si>
  <si>
    <t>368.1*1.1</t>
  </si>
  <si>
    <t>70</t>
  </si>
  <si>
    <t>998713104R00</t>
  </si>
  <si>
    <t>Přesun hmot pro izolace tepelné, výšky do 36 m</t>
  </si>
  <si>
    <t>713</t>
  </si>
  <si>
    <t>Izolace tepelné</t>
  </si>
  <si>
    <t>71</t>
  </si>
  <si>
    <t>713131153R00</t>
  </si>
  <si>
    <t>Montáž izolace na tmel a hmožd.6 ks/m2, beton</t>
  </si>
  <si>
    <t>0.35*(1.05*5+1.65*7)   9-lepená a kotvená izolace  detaily soklu</t>
  </si>
  <si>
    <t>72</t>
  </si>
  <si>
    <t>28375460</t>
  </si>
  <si>
    <t>Polystyren extrudovaný XPS</t>
  </si>
  <si>
    <t>5.88*0.1   9-lepená a kotvená izolace  detaily soklu</t>
  </si>
  <si>
    <t>;ztratné 5%; 0.0295</t>
  </si>
  <si>
    <t>73</t>
  </si>
  <si>
    <t>28375766.A</t>
  </si>
  <si>
    <t>Deska polystyrén samozhášivý EPS 100 S</t>
  </si>
  <si>
    <t>368.1*0.24</t>
  </si>
  <si>
    <t>;ztratné 5%; 4.666</t>
  </si>
  <si>
    <t>74</t>
  </si>
  <si>
    <t>713121111R00</t>
  </si>
  <si>
    <t>Izolace tepelná podlah na sucho, jednovrstvá</t>
  </si>
  <si>
    <t>49.8</t>
  </si>
  <si>
    <t>75</t>
  </si>
  <si>
    <t>368.1-(65.5+45.6)</t>
  </si>
  <si>
    <t>76</t>
  </si>
  <si>
    <t>713131163R00</t>
  </si>
  <si>
    <t>Montáž izolace na tmel a hmožd.9,5 ks/m2, beton</t>
  </si>
  <si>
    <t>65.5</t>
  </si>
  <si>
    <t>77</t>
  </si>
  <si>
    <t>713131173R00</t>
  </si>
  <si>
    <t>Montáž izolace na tmel a hmožd.12 ks/m2, beton</t>
  </si>
  <si>
    <t>45.6</t>
  </si>
  <si>
    <t>78</t>
  </si>
  <si>
    <t>721</t>
  </si>
  <si>
    <t>Vnitřní kanalizace</t>
  </si>
  <si>
    <t>79</t>
  </si>
  <si>
    <t>721234134RT1</t>
  </si>
  <si>
    <t>1-Vtok střešní PP HL pro plochou střechu z pěněné polyuretanové hmoty pro</t>
  </si>
  <si>
    <t>80</t>
  </si>
  <si>
    <t>721273200RT2</t>
  </si>
  <si>
    <t>2-Ventilační střešní souprava HL</t>
  </si>
  <si>
    <t>81</t>
  </si>
  <si>
    <t>721273144R00</t>
  </si>
  <si>
    <t>Demontáž hlavice ventilační</t>
  </si>
  <si>
    <t>82</t>
  </si>
  <si>
    <t>721110806R00</t>
  </si>
  <si>
    <t>Demontáž střešní vpusti</t>
  </si>
  <si>
    <t>83</t>
  </si>
  <si>
    <t>998722104R00</t>
  </si>
  <si>
    <t>Přesun hmot pro kanalizaci výšky do 36 m</t>
  </si>
  <si>
    <t>762</t>
  </si>
  <si>
    <t>Konstrukce tesařské</t>
  </si>
  <si>
    <t>84</t>
  </si>
  <si>
    <t>60726121</t>
  </si>
  <si>
    <t>Deska dřevoštěpková OSB 3 B - 4PD - tl. 18 mm</t>
  </si>
  <si>
    <t>(7.2+1.2+1.1+7.2+6+3+6.825+15+6.825+3+13.2+6.825+1.425+7.8)*0.39</t>
  </si>
  <si>
    <t>;ztratné 10%; 3.377</t>
  </si>
  <si>
    <t>85</t>
  </si>
  <si>
    <t>762512245R00</t>
  </si>
  <si>
    <t>Položení OSB šroubováním</t>
  </si>
  <si>
    <t>86</t>
  </si>
  <si>
    <t>762342204RT2</t>
  </si>
  <si>
    <t>Montáž laťování střech, včetně dodávky řeziva, latě 3/5 cm</t>
  </si>
  <si>
    <t>(7.2+1.2+1.1+7.2+6+3+6.825+15+6.825+3+13.2+6.825+1.425+7.8)*2</t>
  </si>
  <si>
    <t>87</t>
  </si>
  <si>
    <t>762395000R00</t>
  </si>
  <si>
    <t>Spojovací a ochranné prostředky pro střechy</t>
  </si>
  <si>
    <t>33.17*0.018</t>
  </si>
  <si>
    <t>173.2*0.05*0.03</t>
  </si>
  <si>
    <t>88</t>
  </si>
  <si>
    <t>998762104R00</t>
  </si>
  <si>
    <t>Přesun hmot pro tesařské konstrukce, výšky do 36 m</t>
  </si>
  <si>
    <t>89</t>
  </si>
  <si>
    <t>59590737</t>
  </si>
  <si>
    <t>Deska cementotřísková s finální povrchovou úpravou dle PD tl. 12 mm</t>
  </si>
  <si>
    <t>1.29*0.69*3</t>
  </si>
  <si>
    <t>;ztratné 10%; 0.267</t>
  </si>
  <si>
    <t>90</t>
  </si>
  <si>
    <t>762421220RT2</t>
  </si>
  <si>
    <t>Montáž obložení stropů dřevotřískou tl. do 12 mm</t>
  </si>
  <si>
    <t>0.69*1.29*3</t>
  </si>
  <si>
    <t>91</t>
  </si>
  <si>
    <t>764</t>
  </si>
  <si>
    <t>Konstrukce klempířské</t>
  </si>
  <si>
    <t>92</t>
  </si>
  <si>
    <t>764900020RA0</t>
  </si>
  <si>
    <t>Demontáž oplechování zdí</t>
  </si>
  <si>
    <t>10.3+18.2+117.7</t>
  </si>
  <si>
    <t>2.9+18.6+18.6+10.4+1.75+1.75</t>
  </si>
  <si>
    <t>93</t>
  </si>
  <si>
    <t>764918911R00</t>
  </si>
  <si>
    <t>1/K závětrné lišty z ocel.popl.plechu  rš 300 mm</t>
  </si>
  <si>
    <t>110.3</t>
  </si>
  <si>
    <t>94</t>
  </si>
  <si>
    <t>764918931R00</t>
  </si>
  <si>
    <t>2/K Stěnová tmelicí lišta z ocel. popl. plechu rš 120 mm</t>
  </si>
  <si>
    <t>38.9</t>
  </si>
  <si>
    <t>95</t>
  </si>
  <si>
    <t>764918934R00</t>
  </si>
  <si>
    <t>3/K-Krycí lišta z ocel. popl. plechu rš 150mm</t>
  </si>
  <si>
    <t>96</t>
  </si>
  <si>
    <t>764918910RT2</t>
  </si>
  <si>
    <t>4/KRohový profil z ocel.popl.plechu  rš 100 mm</t>
  </si>
  <si>
    <t>97</t>
  </si>
  <si>
    <t>25783125.A</t>
  </si>
  <si>
    <t>Poplastovaný ocelový plech k navaření folií viplanyl</t>
  </si>
  <si>
    <t>110.3*0.3</t>
  </si>
  <si>
    <t>38.9*0.12</t>
  </si>
  <si>
    <t>18.2*0.15</t>
  </si>
  <si>
    <t>117.7*0.1</t>
  </si>
  <si>
    <t>;ztratné 7%; 3.6582</t>
  </si>
  <si>
    <t>98</t>
  </si>
  <si>
    <t>764231420R00</t>
  </si>
  <si>
    <t>11/K Lemování Ti Zn 0,7 plechem okapnice,rš 250 mm</t>
  </si>
  <si>
    <t>99</t>
  </si>
  <si>
    <t>764259431R00</t>
  </si>
  <si>
    <t>12/K Kotlík čtyřhran. pro žlaby Ti Zn 0,7 200 x 250 x 300mm</t>
  </si>
  <si>
    <t>100</t>
  </si>
  <si>
    <t>764554410RAA</t>
  </si>
  <si>
    <t>13/K Chrlič z TiZn 0,7 plechu kruhové průměru 60 mm</t>
  </si>
  <si>
    <t>101</t>
  </si>
  <si>
    <t>00572471</t>
  </si>
  <si>
    <t>14/K Koleno odpadní TiZn 0,7 kruhové DN 60</t>
  </si>
  <si>
    <t>102</t>
  </si>
  <si>
    <t>764251410RAA</t>
  </si>
  <si>
    <t>15/K Žlab z TiZn  0,7 plechu podokapní čtyřhranný</t>
  </si>
  <si>
    <t>103</t>
  </si>
  <si>
    <t>55351587</t>
  </si>
  <si>
    <t>16/K Čelo žlabové hranatého žlabu TiZn 0,7 rš 200</t>
  </si>
  <si>
    <t>104</t>
  </si>
  <si>
    <t>55351591</t>
  </si>
  <si>
    <t>17/K Žlabový hák hranatý nerez ocel pro rš 200</t>
  </si>
  <si>
    <t>105</t>
  </si>
  <si>
    <t>764230410RAB</t>
  </si>
  <si>
    <t>18/K Oplechování ke stěně TiZn  0,7 (Markýza) rš 330 mm</t>
  </si>
  <si>
    <t>106</t>
  </si>
  <si>
    <t>764231720R00</t>
  </si>
  <si>
    <t>19/K Krycí lišta TiZn 0,7 rš 150mm</t>
  </si>
  <si>
    <t>107</t>
  </si>
  <si>
    <t>764230410RAA</t>
  </si>
  <si>
    <t>21/K Okapnice strojovna lakovaný pozink plech 0,6 rš 250 mm</t>
  </si>
  <si>
    <t>18.6</t>
  </si>
  <si>
    <t>108</t>
  </si>
  <si>
    <t>764230410RAD</t>
  </si>
  <si>
    <t>22/K Oplechování boku desky  llakovaný pozink plech 0,6 plech rš 330</t>
  </si>
  <si>
    <t>109</t>
  </si>
  <si>
    <t>764230410RAF</t>
  </si>
  <si>
    <t>23/K Oplechování stříšky (šachta) lakovaný pozink plech 0,6 rš 750mm</t>
  </si>
  <si>
    <t>10.4</t>
  </si>
  <si>
    <t>110</t>
  </si>
  <si>
    <t>24/K Oplechování stříšky (přípojková skříň) lakovaný pozink plech 0,6 rš 600mm</t>
  </si>
  <si>
    <t>111</t>
  </si>
  <si>
    <t>25/K Krycí lišta rš 150 lakovaný pozink plech 0,6</t>
  </si>
  <si>
    <t>112</t>
  </si>
  <si>
    <t>764410850R00</t>
  </si>
  <si>
    <t>Demontáž oplechování parapetů,rš od 100 do 330 mm</t>
  </si>
  <si>
    <t>1.8*8+1.2*5+2.4*95+36*1.5+60*1.2+1.2</t>
  </si>
  <si>
    <t>113</t>
  </si>
  <si>
    <t>764410360R00</t>
  </si>
  <si>
    <t>PE/3 Exteriérový hliníkový parapet 2400/360 s plastovými bočnicemi hl.ostění 300mm dle PD</t>
  </si>
  <si>
    <t>114</t>
  </si>
  <si>
    <t>PE/4 Exteriérový hliníkový parapet 1500/360 s plastovými bočnicemi hl.ostění 300mm dle PD</t>
  </si>
  <si>
    <t>115</t>
  </si>
  <si>
    <t>PE/5 Exteriérový hliníkový parapet 1200/360 s plastovými bočnicemi hl.ostění 300mm dle PD</t>
  </si>
  <si>
    <t>116</t>
  </si>
  <si>
    <t>764410340R00</t>
  </si>
  <si>
    <t>PE/6 Exteriérový hliníkový parapet 1200/250 s plastovými bočnicem</t>
  </si>
  <si>
    <t>117</t>
  </si>
  <si>
    <t>764928401RT2</t>
  </si>
  <si>
    <t>Demontáž spižních větracích mřížek</t>
  </si>
  <si>
    <t>60*2</t>
  </si>
  <si>
    <t>118</t>
  </si>
  <si>
    <t>764900050RAC</t>
  </si>
  <si>
    <t>Demontáž výlezu</t>
  </si>
  <si>
    <t>119</t>
  </si>
  <si>
    <t>764211401R00</t>
  </si>
  <si>
    <t>Krytina hladká z Ti Zn tabulí 2 x 1 m, do 30°</t>
  </si>
  <si>
    <t>120</t>
  </si>
  <si>
    <t>998764104R00</t>
  </si>
  <si>
    <t>Přesun hmot pro klempířské konstr., výšky do 36 m</t>
  </si>
  <si>
    <t>766</t>
  </si>
  <si>
    <t>Konstrukce truhlářské</t>
  </si>
  <si>
    <t>121</t>
  </si>
  <si>
    <t>766629301R00</t>
  </si>
  <si>
    <t>Montáž oken plastových plochy do 1,50 m2</t>
  </si>
  <si>
    <t>8+5</t>
  </si>
  <si>
    <t>122</t>
  </si>
  <si>
    <t>766629303R00</t>
  </si>
  <si>
    <t>Montáž oken plastových plochy do 4,50 m2</t>
  </si>
  <si>
    <t>10+1</t>
  </si>
  <si>
    <t>123</t>
  </si>
  <si>
    <t>766629304R00</t>
  </si>
  <si>
    <t>Montáž  dveří plastových</t>
  </si>
  <si>
    <t>;ztratné 5%; 0.031</t>
  </si>
  <si>
    <t>124</t>
  </si>
  <si>
    <t>OZ/1-Okno plastové1750/475 dle PD</t>
  </si>
  <si>
    <t>8   jednokřídlové sklápěcí částečně pevně zasklené zasklení dvojsklem s drátosklem</t>
  </si>
  <si>
    <t>-   včetně začiš´´</t>
  </si>
  <si>
    <t>125</t>
  </si>
  <si>
    <t>OZ/2-Okno plastové1150/475 dle PD</t>
  </si>
  <si>
    <t>5   jednokřídlové sklápěcí částečně pevně zasklené zasklení dvojsklem s drátosklem</t>
  </si>
  <si>
    <t>-   včetně začiš´ťovacích  lišt</t>
  </si>
  <si>
    <t>126</t>
  </si>
  <si>
    <t>OZ/6-Plastové okno 1650/2800 dle PD</t>
  </si>
  <si>
    <t>10   6 komorový profil částečně pevné jednokřídlové otevíravé a sklápěcí s mikroventilací</t>
  </si>
  <si>
    <t>127</t>
  </si>
  <si>
    <t>OZ/7-Plastové okno 1650/3000 dle PD</t>
  </si>
  <si>
    <t>1   6 komorový profil částečně pevné jednokřídlové otevíravé a sklápěcí s mikroventilací</t>
  </si>
  <si>
    <t>128</t>
  </si>
  <si>
    <t>DO/2-Plastové dveře s nadsvětlíkem 1650/2350 dle PD</t>
  </si>
  <si>
    <t>1   dveřní křídlo 900/2000 dovnitř otevíravé 8.04.Zateplení bytových domů Edisonova Varnsdorf</t>
  </si>
  <si>
    <t>-   zasklení bezpečnostním dvojsklem</t>
  </si>
  <si>
    <t>-   1xstavěč+1xdoraz +samozavírač 2xklika bezpečnostní zámek +začišťovací lišty</t>
  </si>
  <si>
    <t>129</t>
  </si>
  <si>
    <t>59160888.A1</t>
  </si>
  <si>
    <t>DO-7 Výlez na střechu plechový lakovaný  13500/1050  vnitřní rozměry výlezu 900/600 včetně zateplení EPS 100 s tl. 100mm</t>
  </si>
  <si>
    <t>130</t>
  </si>
  <si>
    <t>765322715R00</t>
  </si>
  <si>
    <t>Montáž výlezu na střechu,, s povrchovou úpravou</t>
  </si>
  <si>
    <t>131</t>
  </si>
  <si>
    <t>998766104R00</t>
  </si>
  <si>
    <t>Přesun hmot pro truhlářské konstr., výšky do 36 m</t>
  </si>
  <si>
    <t>767</t>
  </si>
  <si>
    <t>Konstrukce doplňkové stavební (zámečnické)</t>
  </si>
  <si>
    <t>132</t>
  </si>
  <si>
    <t>767995103R00</t>
  </si>
  <si>
    <t>Montáž kovových atypických konstrukcí do 20 kg</t>
  </si>
  <si>
    <t>42*(13.87+4.52)   kotvení atikových panelů</t>
  </si>
  <si>
    <t>133</t>
  </si>
  <si>
    <t>13322939</t>
  </si>
  <si>
    <t>Tyč ocelová plochá jakost 11523  80x8 mm</t>
  </si>
  <si>
    <t>T</t>
  </si>
  <si>
    <t>42*4.52/1000   kotvení atik</t>
  </si>
  <si>
    <t>;ztratné 7%; 0.0133</t>
  </si>
  <si>
    <t>134</t>
  </si>
  <si>
    <t>13331782</t>
  </si>
  <si>
    <t>Úhelník rovnoramenný L jakost 11375   80x 80x 8 mm</t>
  </si>
  <si>
    <t>13.87*42/1000   kotvení atik</t>
  </si>
  <si>
    <t>;ztratné 7%; 0.0406</t>
  </si>
  <si>
    <t>135</t>
  </si>
  <si>
    <t>767991911R00</t>
  </si>
  <si>
    <t>Žárové zinkování</t>
  </si>
  <si>
    <t>772.38</t>
  </si>
  <si>
    <t>136</t>
  </si>
  <si>
    <t>953981203R00</t>
  </si>
  <si>
    <t>Chemické kotvy HIT HY 200 A, beton, hl. 120 mm, +HIT M12/120(5,8)´´</t>
  </si>
  <si>
    <t>137</t>
  </si>
  <si>
    <t>14115290</t>
  </si>
  <si>
    <t>Trubky bezešvé hladké jakost 11353.1 D 42,4x2,6 mm</t>
  </si>
  <si>
    <t>3*4   2-nový stožár</t>
  </si>
  <si>
    <t>;ztratné 7%; 0.84</t>
  </si>
  <si>
    <t>138</t>
  </si>
  <si>
    <t>13227702</t>
  </si>
  <si>
    <t>Tyč ocelová plochá jakost 11373  50x6 mm</t>
  </si>
  <si>
    <t>0.25*10*3*1.96/1000   2 nový stožár</t>
  </si>
  <si>
    <t>;ztratné 7%; 0.0007</t>
  </si>
  <si>
    <t>139</t>
  </si>
  <si>
    <t>767996801R00</t>
  </si>
  <si>
    <t>3-Demontáž atypických ocelových konstr. do 50 kg</t>
  </si>
  <si>
    <t>49.8   demontáž stávajícího stožáru</t>
  </si>
  <si>
    <t>140</t>
  </si>
  <si>
    <t>900      RT4</t>
  </si>
  <si>
    <t>Hzs - nezmeřitelné práce   čl.17-1a</t>
  </si>
  <si>
    <t>hod</t>
  </si>
  <si>
    <t>141</t>
  </si>
  <si>
    <t>998767104R00</t>
  </si>
  <si>
    <t>Přesun hmot pro zámečnické konstr., výšky do 36 m</t>
  </si>
  <si>
    <t>142</t>
  </si>
  <si>
    <t>767999801R00</t>
  </si>
  <si>
    <t>Demontáž doplňků staveb o hmotnosti do 50 kg</t>
  </si>
  <si>
    <t>126.5</t>
  </si>
  <si>
    <t>143</t>
  </si>
  <si>
    <t>Z/1 Mříž na sklepní okno 1600/375 se svařenou drát výplní rám 30/30 žárově zinkováno</t>
  </si>
  <si>
    <t>144</t>
  </si>
  <si>
    <t>767662110R00</t>
  </si>
  <si>
    <t>Montáž mříží pevných - šroubováním</t>
  </si>
  <si>
    <t>1.6*0.375*8</t>
  </si>
  <si>
    <t>1.1*0.375*5</t>
  </si>
  <si>
    <t>145</t>
  </si>
  <si>
    <t>Z/1 Mříž na sklepní okno 1100/375 se svařenou drát výplní rám 30/30 žárově zinkováno</t>
  </si>
  <si>
    <t>146</t>
  </si>
  <si>
    <t>Z/3 Nerezový držák satelitní antény</t>
  </si>
  <si>
    <t>147</t>
  </si>
  <si>
    <t>767867802R00</t>
  </si>
  <si>
    <t>Montáž držáku satelitních antén</t>
  </si>
  <si>
    <t>148</t>
  </si>
  <si>
    <t>00572402</t>
  </si>
  <si>
    <t>Z/4 Venkovní rohožka 900/600 kovový rám pozink+pryž dle PD</t>
  </si>
  <si>
    <t>149</t>
  </si>
  <si>
    <t>767863101R00</t>
  </si>
  <si>
    <t>Montáž venkovníc rohožek</t>
  </si>
  <si>
    <t>150</t>
  </si>
  <si>
    <t>Z/5 Venkovní rohožka 600/600 kovový rám pozink+pryž dle PD</t>
  </si>
  <si>
    <t>151</t>
  </si>
  <si>
    <t>Z/6 Ocelové stupačky VÝLEZU 600/200 dle PS</t>
  </si>
  <si>
    <t>152</t>
  </si>
  <si>
    <t>767995101R00</t>
  </si>
  <si>
    <t>Montáž kovových atypických konstrukcí do 5 kg</t>
  </si>
  <si>
    <t>3*0.42</t>
  </si>
  <si>
    <t>153</t>
  </si>
  <si>
    <t>767162220R00</t>
  </si>
  <si>
    <t>Montáž zábradlí z profilů na konstrukci do 30 kg</t>
  </si>
  <si>
    <t>(1.25+2.7)*2</t>
  </si>
  <si>
    <t>154</t>
  </si>
  <si>
    <t>767995106R00</t>
  </si>
  <si>
    <t>Výroba zábradlíí do 250 kg</t>
  </si>
  <si>
    <t>79+15.5+1.1+19.9+7.4</t>
  </si>
  <si>
    <t>155</t>
  </si>
  <si>
    <t>14587163</t>
  </si>
  <si>
    <t>Profil čtvercový uzavřený 11 343.0  50x3 mm</t>
  </si>
  <si>
    <t>;ztratné 7%; 5.53</t>
  </si>
  <si>
    <t>156</t>
  </si>
  <si>
    <t>8.6</t>
  </si>
  <si>
    <t>;ztratné 7%; 0.602</t>
  </si>
  <si>
    <t>157</t>
  </si>
  <si>
    <t>14587112</t>
  </si>
  <si>
    <t>Profil čtvercový uzavřený 11 343.0  20x2 mm</t>
  </si>
  <si>
    <t>1.1</t>
  </si>
  <si>
    <t>;ztratné 7%; 0.077</t>
  </si>
  <si>
    <t>158</t>
  </si>
  <si>
    <t>13211232</t>
  </si>
  <si>
    <t>Tyč ocelová kruhová jakost 11373  D 10 mm</t>
  </si>
  <si>
    <t>19.9</t>
  </si>
  <si>
    <t>;ztratné 7%; 1.393</t>
  </si>
  <si>
    <t>159</t>
  </si>
  <si>
    <t>13611220</t>
  </si>
  <si>
    <t>Plech hladký jakost 11375.1  6x1000x2000 mm</t>
  </si>
  <si>
    <t>7.4</t>
  </si>
  <si>
    <t>;ztratné 7%; 0.518</t>
  </si>
  <si>
    <t>160</t>
  </si>
  <si>
    <t>953981201R00</t>
  </si>
  <si>
    <t>Chemická kotva, beton, hl. 80 mm,závitová tyč  M8, včetně podložek a matek</t>
  </si>
  <si>
    <t>161</t>
  </si>
  <si>
    <t>767249110R00</t>
  </si>
  <si>
    <t>Montáž ocelových konstrukcí markýz</t>
  </si>
  <si>
    <t>2.34*1.61</t>
  </si>
  <si>
    <t>2.25*2.34</t>
  </si>
  <si>
    <t>162</t>
  </si>
  <si>
    <t>Výroba markýzy do 250 kg</t>
  </si>
  <si>
    <t>92.7+29.3+2.2+12.6+4.7+1+4.7</t>
  </si>
  <si>
    <t>163</t>
  </si>
  <si>
    <t>14587594</t>
  </si>
  <si>
    <t>Profil obdélníkový uzavřený 11 343.0  100x60x3 mm</t>
  </si>
  <si>
    <t>92.7</t>
  </si>
  <si>
    <t>;ztratné 7%; 6.489</t>
  </si>
  <si>
    <t>164</t>
  </si>
  <si>
    <t>14587272</t>
  </si>
  <si>
    <t>Profil čtvercový uzavřený 11 373.0  60x4 mm</t>
  </si>
  <si>
    <t>29.3</t>
  </si>
  <si>
    <t>;ztratné 7%; 2.051</t>
  </si>
  <si>
    <t>165</t>
  </si>
  <si>
    <t>14587212</t>
  </si>
  <si>
    <t>Profil čtvercový uzavřený 11 373.0  20x2 mm</t>
  </si>
  <si>
    <t>2.2</t>
  </si>
  <si>
    <t>;ztratné 7%; 0.154</t>
  </si>
  <si>
    <t>166</t>
  </si>
  <si>
    <t>14587522</t>
  </si>
  <si>
    <t>Profil L otevřený  11 343.0  35x35x2 mm</t>
  </si>
  <si>
    <t>12.6</t>
  </si>
  <si>
    <t>;ztratné 7%; 0.882</t>
  </si>
  <si>
    <t>167</t>
  </si>
  <si>
    <t>4.7</t>
  </si>
  <si>
    <t>;ztratné 7%; 0.329</t>
  </si>
  <si>
    <t>168</t>
  </si>
  <si>
    <t>;ztratné 7%; 0.07</t>
  </si>
  <si>
    <t>169</t>
  </si>
  <si>
    <t>13331860</t>
  </si>
  <si>
    <t>Úhelník rovnoramenný L jakost 11375 120x120x 8 mm</t>
  </si>
  <si>
    <t>170</t>
  </si>
  <si>
    <t>953981202R00</t>
  </si>
  <si>
    <t>Chemické kotva, beton, hl. 100 mm,závitová tyč M10,podložka, matka</t>
  </si>
  <si>
    <t>171</t>
  </si>
  <si>
    <t>767141940R00</t>
  </si>
  <si>
    <t>Demontáž stávajícího zábradlí</t>
  </si>
  <si>
    <t>7.9</t>
  </si>
  <si>
    <t>5.6</t>
  </si>
  <si>
    <t>7.5</t>
  </si>
  <si>
    <t>172</t>
  </si>
  <si>
    <t>767193802R00</t>
  </si>
  <si>
    <t>Demontáž větracích mříží</t>
  </si>
  <si>
    <t>1.05*0.3</t>
  </si>
  <si>
    <t>0.55*0.65</t>
  </si>
  <si>
    <t>173</t>
  </si>
  <si>
    <t>767861803R00</t>
  </si>
  <si>
    <t>Demontáž mříží do 15 kg</t>
  </si>
  <si>
    <t>7*1.8*0.6</t>
  </si>
  <si>
    <t>5*1.2*0.6</t>
  </si>
  <si>
    <t>1.65*2.8*12</t>
  </si>
  <si>
    <t>174</t>
  </si>
  <si>
    <t>767999803R00</t>
  </si>
  <si>
    <t>Demontáž doplňků staveb o hmotnosti do 250 kg</t>
  </si>
  <si>
    <t>218.5   demontáž stávajících markýz</t>
  </si>
  <si>
    <t>175</t>
  </si>
  <si>
    <t>767991912R00</t>
  </si>
  <si>
    <t>Demontáž azpětná montáž cedulky č.p.</t>
  </si>
  <si>
    <t>176</t>
  </si>
  <si>
    <t>Demontáž vnitřního zábradlí oken včetně zpětné montáže</t>
  </si>
  <si>
    <t>1.65*12</t>
  </si>
  <si>
    <t>177</t>
  </si>
  <si>
    <t>771</t>
  </si>
  <si>
    <t>Podlahy z dlaždic</t>
  </si>
  <si>
    <t>178</t>
  </si>
  <si>
    <t>771101116R00</t>
  </si>
  <si>
    <t>Vyrovnání podkladů samonivel. hmotou tl. do 30 mm</t>
  </si>
  <si>
    <t>179</t>
  </si>
  <si>
    <t>771275105RT3</t>
  </si>
  <si>
    <t>Obklad keram.schod.stupňů vnějších  protiskluzových do tmele 15x15</t>
  </si>
  <si>
    <t>0.3*7*0.85</t>
  </si>
  <si>
    <t>0.25*7*0.85</t>
  </si>
  <si>
    <t>2.8*0.85</t>
  </si>
  <si>
    <t>180</t>
  </si>
  <si>
    <t>771277801R00</t>
  </si>
  <si>
    <t>Hrana stupně profil výšky 8 mm</t>
  </si>
  <si>
    <t>0.85*7</t>
  </si>
  <si>
    <t>181</t>
  </si>
  <si>
    <t>59764201</t>
  </si>
  <si>
    <t>Dlažba vnější protiskluzová 150x150x9 mm</t>
  </si>
  <si>
    <t>5.66+6.75*0.1</t>
  </si>
  <si>
    <t>;ztratné 10%; 0.634</t>
  </si>
  <si>
    <t>182</t>
  </si>
  <si>
    <t>771579793RT1</t>
  </si>
  <si>
    <t>Příplatek za spárovací hmotu - plošně</t>
  </si>
  <si>
    <t>183</t>
  </si>
  <si>
    <t>771589791R00</t>
  </si>
  <si>
    <t>Příplatek za plochu do 5 m2 jednotlivě</t>
  </si>
  <si>
    <t>184</t>
  </si>
  <si>
    <t>771471034R00</t>
  </si>
  <si>
    <t>Obklad soklíků keram.stupňov.do MC,20x10 H 10 cm</t>
  </si>
  <si>
    <t>2.75+0.5*8</t>
  </si>
  <si>
    <t>185</t>
  </si>
  <si>
    <t>998771104R00</t>
  </si>
  <si>
    <t>Přesun hmot pro podlahy z dlaždic, výšky do 36 m</t>
  </si>
  <si>
    <t>781</t>
  </si>
  <si>
    <t>Obklady vnější parapetu</t>
  </si>
  <si>
    <t>186</t>
  </si>
  <si>
    <t>781670116RA0</t>
  </si>
  <si>
    <t>Obklad parapetu, do tmele šířka do 30 cm</t>
  </si>
  <si>
    <t>1.8*8+1.2*5</t>
  </si>
  <si>
    <t>187</t>
  </si>
  <si>
    <t>Obklad vnější parapetu šedý  dle PD</t>
  </si>
  <si>
    <t>20.4*0.3</t>
  </si>
  <si>
    <t>;ztratné 10%; 0.612</t>
  </si>
  <si>
    <t>188</t>
  </si>
  <si>
    <t>998781101R00</t>
  </si>
  <si>
    <t>Přesun hmot pro obklady keramické, výšky do 6 m</t>
  </si>
  <si>
    <t>783</t>
  </si>
  <si>
    <t>Nátěry</t>
  </si>
  <si>
    <t>189</t>
  </si>
  <si>
    <t>783124620R00</t>
  </si>
  <si>
    <t>Nátěr ocelových konstrukcí  OK  3x email dle PD</t>
  </si>
  <si>
    <t>(1.25+2.7)*1.1*4   markýza+zábradlí</t>
  </si>
  <si>
    <t>10.8*0.32</t>
  </si>
  <si>
    <t>0.24*4.5</t>
  </si>
  <si>
    <t>0.08*2.1</t>
  </si>
  <si>
    <t>0.14*12</t>
  </si>
  <si>
    <t>0.8</t>
  </si>
  <si>
    <t>1.65*1.2*2*12   stávající vnitřní zábradlí</t>
  </si>
  <si>
    <t>1.8*0.8*2   strojovna</t>
  </si>
  <si>
    <t>1.05*0.55*2</t>
  </si>
  <si>
    <t>784</t>
  </si>
  <si>
    <t>Malby</t>
  </si>
  <si>
    <t>190</t>
  </si>
  <si>
    <t>784115312R00</t>
  </si>
  <si>
    <t>Oprava maleb bílá, bez penetrace, 2 x</t>
  </si>
  <si>
    <t>350</t>
  </si>
  <si>
    <t>Hodinové zúčtovací sazby (HZS)</t>
  </si>
  <si>
    <t>191</t>
  </si>
  <si>
    <t>900      RT3</t>
  </si>
  <si>
    <t>192</t>
  </si>
  <si>
    <t>193</t>
  </si>
  <si>
    <t>900      RT5</t>
  </si>
  <si>
    <t>194</t>
  </si>
  <si>
    <t>904      R01</t>
  </si>
  <si>
    <t>Hzs-zkousky v ramci montaz.praci</t>
  </si>
  <si>
    <t>Doplňující konstrukce a práce pozemních komunikací, letišť a ploch</t>
  </si>
  <si>
    <t>195</t>
  </si>
  <si>
    <t>919735114R00</t>
  </si>
  <si>
    <t>Řezání stávajícího živičného krytu tl. 15 - 20 cm</t>
  </si>
  <si>
    <t>2.1+0.8+0.8</t>
  </si>
  <si>
    <t>4.8+1</t>
  </si>
  <si>
    <t>196</t>
  </si>
  <si>
    <t>916561111RT6</t>
  </si>
  <si>
    <t>Osazení záhon.obrubníků do lože z B 12,5 s opěrou</t>
  </si>
  <si>
    <t>2+4.2+0.8+2.1+2.4+1.2</t>
  </si>
  <si>
    <t>Lešení a stavební výtahy</t>
  </si>
  <si>
    <t>197</t>
  </si>
  <si>
    <t>941941042R00</t>
  </si>
  <si>
    <t>Montáž lešení leh.řad.s podlahami,š.1,2 m, H 30 m</t>
  </si>
  <si>
    <t>(7.95+1.45+1.45+6+6.75+3+7.2+15.75+7.35+3+13.65+7.2+1.8+8.55)*35.3</t>
  </si>
  <si>
    <t>198</t>
  </si>
  <si>
    <t>941941292R00</t>
  </si>
  <si>
    <t>Příplatek za každý měsíc použití lešení k pol.1042</t>
  </si>
  <si>
    <t>(7.95+1.45+1.45+6+6.75+3+7.2+15.75+7.35+3+13.65+7.2+1.8+8.55)*35.3*5</t>
  </si>
  <si>
    <t>199</t>
  </si>
  <si>
    <t>941941842R00</t>
  </si>
  <si>
    <t>Demontáž lešení leh.řad.s podlahami,š.1,2 m,H 30 m</t>
  </si>
  <si>
    <t>200</t>
  </si>
  <si>
    <t>944944011R00</t>
  </si>
  <si>
    <t>Montáž ochranné sítě z umělých vláken</t>
  </si>
  <si>
    <t>201</t>
  </si>
  <si>
    <t>944944031R00</t>
  </si>
  <si>
    <t>Příplatek za každý měsíc použití sítí k pol. 4011</t>
  </si>
  <si>
    <t>202</t>
  </si>
  <si>
    <t>944945013R00</t>
  </si>
  <si>
    <t>Montáž záchytné stříšky H 4,5 m, šířky nad 2 m</t>
  </si>
  <si>
    <t>203</t>
  </si>
  <si>
    <t>944945813R00</t>
  </si>
  <si>
    <t>Demontáž záchytné stříšky H 4,5 m, šířky nad 2 m</t>
  </si>
  <si>
    <t>204</t>
  </si>
  <si>
    <t>998009101R00</t>
  </si>
  <si>
    <t>Přesun hmot lešení samostatně budovaného</t>
  </si>
  <si>
    <t>Bourání konstrukcí</t>
  </si>
  <si>
    <t>205</t>
  </si>
  <si>
    <t>963051113R00</t>
  </si>
  <si>
    <t>Bourání ŽB stropů deskových tl. nad 8 cm</t>
  </si>
  <si>
    <t>206</t>
  </si>
  <si>
    <t>965200021RAA</t>
  </si>
  <si>
    <t>Odstranění násypů pod podlahami a na střechách</t>
  </si>
  <si>
    <t>49.8*0.15</t>
  </si>
  <si>
    <t>207</t>
  </si>
  <si>
    <t>712300833RT3</t>
  </si>
  <si>
    <t>Odstranění živičné krytiny střech do 10° 3vrstvé</t>
  </si>
  <si>
    <t>208</t>
  </si>
  <si>
    <t>713100823R00</t>
  </si>
  <si>
    <t>Odstr.  kombidesky POLSID tl. 5 cm</t>
  </si>
  <si>
    <t>209</t>
  </si>
  <si>
    <t>713100812R00</t>
  </si>
  <si>
    <t>Odstranění tepelné izolace, polystyrén tl. do 5 cm</t>
  </si>
  <si>
    <t>210</t>
  </si>
  <si>
    <t>967043111R00</t>
  </si>
  <si>
    <t>Odsekání  vrstvy betonu na konstrukci tl. do 15 cm</t>
  </si>
  <si>
    <t>211</t>
  </si>
  <si>
    <t>965100032RA0</t>
  </si>
  <si>
    <t>Demontáž stávajícího okapového chodníku dlažeb betonových</t>
  </si>
  <si>
    <t>212</t>
  </si>
  <si>
    <t>962042321R00</t>
  </si>
  <si>
    <t>Bourání schodišť a podest  z betonu železového</t>
  </si>
  <si>
    <t>2.7*2.1*0.25</t>
  </si>
  <si>
    <t>1.25*2.1*0.17</t>
  </si>
  <si>
    <t>2.1*0.35*0.17*7</t>
  </si>
  <si>
    <t>213</t>
  </si>
  <si>
    <t>968062356R00</t>
  </si>
  <si>
    <t>Vybourání dřevěných rámů oken dvojitých pl. 4 m2</t>
  </si>
  <si>
    <t>1.65*2.8*10</t>
  </si>
  <si>
    <t>1.65*3*1</t>
  </si>
  <si>
    <t>214</t>
  </si>
  <si>
    <t>968062456R00</t>
  </si>
  <si>
    <t>Vybourání dřevěných dveřních zárubní pl. nad 2 m2</t>
  </si>
  <si>
    <t>1.65*2.8</t>
  </si>
  <si>
    <t>215</t>
  </si>
  <si>
    <t>968072244R00</t>
  </si>
  <si>
    <t>Vybourání kovových rámů oken jednod. pl. 1,5 m2</t>
  </si>
  <si>
    <t>1.8*0.6*8</t>
  </si>
  <si>
    <t>1.2*0.6*5</t>
  </si>
  <si>
    <t>216</t>
  </si>
  <si>
    <t>968072247R00</t>
  </si>
  <si>
    <t>Vybourání kovových rámů oken jednod. nad 4 m2</t>
  </si>
  <si>
    <t>217</t>
  </si>
  <si>
    <t>965100032RAB</t>
  </si>
  <si>
    <t>Bourání dlažeb keramických</t>
  </si>
  <si>
    <t>218</t>
  </si>
  <si>
    <t>460030091RT1</t>
  </si>
  <si>
    <t>Vytrhání obrubníků, lože písek, ležatých</t>
  </si>
  <si>
    <t>219</t>
  </si>
  <si>
    <t>973042241R00</t>
  </si>
  <si>
    <t>Vysekání kapes zeď betonová pl. 0,1 m2, hl. 15 cm</t>
  </si>
  <si>
    <t>220</t>
  </si>
  <si>
    <t>973048141R00</t>
  </si>
  <si>
    <t>Vysekání kapes zeď beton. zavázání zdí tl. 30 cm</t>
  </si>
  <si>
    <t>221</t>
  </si>
  <si>
    <t>967041112R00</t>
  </si>
  <si>
    <t>Vybourání sond ke kotvám v panelech včetně zpětné opravy monierky</t>
  </si>
  <si>
    <t>222</t>
  </si>
  <si>
    <t>969021111R00</t>
  </si>
  <si>
    <t>Demontáž plastových krytek větracích otvorů atik</t>
  </si>
  <si>
    <t>8*7+14*4+8*3</t>
  </si>
  <si>
    <t>223</t>
  </si>
  <si>
    <t>968072866R00</t>
  </si>
  <si>
    <t>Demontáž STA stožár</t>
  </si>
  <si>
    <t>224</t>
  </si>
  <si>
    <t>968072875R00</t>
  </si>
  <si>
    <t>Demontáž stupaček</t>
  </si>
  <si>
    <t>H99</t>
  </si>
  <si>
    <t>Ostatní přesuny hmot</t>
  </si>
  <si>
    <t>PR</t>
  </si>
  <si>
    <t>225</t>
  </si>
  <si>
    <t>999281112R00</t>
  </si>
  <si>
    <t>Přesun hmot pro opravy a údržbu do výšky 36 m</t>
  </si>
  <si>
    <t>4.09+0.95+4.77+25.35+0.94+118.37+12.26</t>
  </si>
  <si>
    <t>M21</t>
  </si>
  <si>
    <t>Elektromontáže</t>
  </si>
  <si>
    <t>MP</t>
  </si>
  <si>
    <t>226</t>
  </si>
  <si>
    <t>212190004R00</t>
  </si>
  <si>
    <t>Monierka-přeložení kabelů při úpravě elektroinstalace</t>
  </si>
  <si>
    <t>227</t>
  </si>
  <si>
    <t>Monierka-demontáž a zpětná montáž rozvaděče pro provádění</t>
  </si>
  <si>
    <t>228</t>
  </si>
  <si>
    <t>212190005R00</t>
  </si>
  <si>
    <t>Revize</t>
  </si>
  <si>
    <t>M22</t>
  </si>
  <si>
    <t>Hromosvod</t>
  </si>
  <si>
    <t>229</t>
  </si>
  <si>
    <t>220010001R00</t>
  </si>
  <si>
    <t>M24</t>
  </si>
  <si>
    <t>Montáže vzduchotechnických zařízení</t>
  </si>
  <si>
    <t>230</t>
  </si>
  <si>
    <t>240071187R00</t>
  </si>
  <si>
    <t>Z/7 Žaluzie protidešťová AL s rámem  1050/300  kotvení do 100 mm dle PD</t>
  </si>
  <si>
    <t>231</t>
  </si>
  <si>
    <t>240071180R00</t>
  </si>
  <si>
    <t>Z/8 Žaluzie protidešťové AL s rámem  500x 600 kotvení do 50mm dle PD</t>
  </si>
  <si>
    <t>S0</t>
  </si>
  <si>
    <t>Přesuny sutí</t>
  </si>
  <si>
    <t>232</t>
  </si>
  <si>
    <t>979011111R00</t>
  </si>
  <si>
    <t>Svislá doprava suti a vybour. hmot za 1.a 2. podlaží</t>
  </si>
  <si>
    <t>43.54+1.67</t>
  </si>
  <si>
    <t>233</t>
  </si>
  <si>
    <t>979082111R00</t>
  </si>
  <si>
    <t>Vnitrostaveništní doprava suti do 10 m</t>
  </si>
  <si>
    <t>234</t>
  </si>
  <si>
    <t>979999999R00</t>
  </si>
  <si>
    <t>Poplatek za skladku 10 % příměsí</t>
  </si>
  <si>
    <t>43.54</t>
  </si>
  <si>
    <t>235</t>
  </si>
  <si>
    <t>979083117R00</t>
  </si>
  <si>
    <t>Vodorovné přemístění suti na skládku do 6000 m</t>
  </si>
  <si>
    <t>236</t>
  </si>
  <si>
    <t>979083191R00</t>
  </si>
  <si>
    <t>Příplatek za dalších započatých 1000 m nad 6000 m</t>
  </si>
  <si>
    <t>(43.54+1.67)*6</t>
  </si>
  <si>
    <t>237</t>
  </si>
  <si>
    <t>979999997R00</t>
  </si>
  <si>
    <t>Poplatek za skládku asfalt</t>
  </si>
  <si>
    <t>1.67</t>
  </si>
  <si>
    <t>Celkem:</t>
  </si>
  <si>
    <t>Poznámka:</t>
  </si>
  <si>
    <t>Bytový dům č.p. 2739 ve Varnsdorfu</t>
  </si>
  <si>
    <t>Ochrana před bleskem LPS</t>
  </si>
  <si>
    <t>Edisonova 2739, 407 47 Varnsdorf</t>
  </si>
  <si>
    <t>Johana Langerová</t>
  </si>
  <si>
    <t>H724</t>
  </si>
  <si>
    <t>Strojní vybavení</t>
  </si>
  <si>
    <t>998724105R00</t>
  </si>
  <si>
    <t>Přesun hmot pro strojní vybavení, výšky do 48 m</t>
  </si>
  <si>
    <t>RTS I / 2014</t>
  </si>
  <si>
    <t>210220301R00</t>
  </si>
  <si>
    <t>Svorka hromosvodová do 2 šroubů /SS, SZ, SO/</t>
  </si>
  <si>
    <t>210220302R00</t>
  </si>
  <si>
    <t>Svorka hromosvodová nad 2 šrouby /ST, SJ, SR, atd/</t>
  </si>
  <si>
    <t>210220021R00</t>
  </si>
  <si>
    <t>Vedení uzemňovací v zemi FeZn do 120 mm2</t>
  </si>
  <si>
    <t>210220022R00</t>
  </si>
  <si>
    <t>Vedení uzemňovací v zemi FeZn, D 8 - 10 mm</t>
  </si>
  <si>
    <t>210220101R00</t>
  </si>
  <si>
    <t>Vodiče svodové FeZn D do 10,Al 10,Cu 8 +podpěry</t>
  </si>
  <si>
    <t>210220372R00</t>
  </si>
  <si>
    <t>Úhelník ochranný nebo trubka s držáky do zdiva</t>
  </si>
  <si>
    <t>210220102R00</t>
  </si>
  <si>
    <t>Demontáž - Vodiče svodové FeZn, lano do D 70 mm + podpěry</t>
  </si>
  <si>
    <t>Demontáž - Svorka hromosvodová do 2 šroubů /SS, SZ, SO/</t>
  </si>
  <si>
    <t>Demontáž -Svorka hromosvodová nad 2 šrouby /ST, SJ, SR, atd/</t>
  </si>
  <si>
    <t>Demontáž - Úhelník ochranný nebo trubka s držáky do zdiva</t>
  </si>
  <si>
    <t>M46</t>
  </si>
  <si>
    <t>460030011R00</t>
  </si>
  <si>
    <t>Sejmutí drnu</t>
  </si>
  <si>
    <t>460030081R00</t>
  </si>
  <si>
    <t>Řezání spáry v asfaltu nebo betonu</t>
  </si>
  <si>
    <t>460030072R00</t>
  </si>
  <si>
    <t>Bourání živičných povrchů tl. vrstvy 5 - 10 cm</t>
  </si>
  <si>
    <t>460200143RT2</t>
  </si>
  <si>
    <t>Výkop kabelové rýhy 35/60 cm  hor.3</t>
  </si>
  <si>
    <t>460560143RT1</t>
  </si>
  <si>
    <t>Zához rýhy 35/60 cm, hornina třídy 3</t>
  </si>
  <si>
    <t>460620013RT1</t>
  </si>
  <si>
    <t>Provizorní úprava terénu v přírodní hornině 3</t>
  </si>
  <si>
    <t>S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</si>
  <si>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</si>
  <si>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</si>
  <si>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</si>
  <si>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</si>
  <si>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</si>
  <si>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</si>
  <si>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</si>
  <si>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979087113R00</t>
  </si>
  <si>
    <t>Nakládání vybouraných hmot na dopravní prostředky</t>
  </si>
  <si>
    <t>979990001R00</t>
  </si>
  <si>
    <t>Poplatek za skládku stavební suti</t>
  </si>
  <si>
    <t>Ostatní materiál</t>
  </si>
  <si>
    <t>OM</t>
  </si>
  <si>
    <t>001LPSVD</t>
  </si>
  <si>
    <t>Hromosvodní drát AlMgSi (hliníkový) 8mm, 1kg=7,4m</t>
  </si>
  <si>
    <t>Z99999</t>
  </si>
  <si>
    <t>Z</t>
  </si>
  <si>
    <t>003LPSVD</t>
  </si>
  <si>
    <t>Pásek zemnící ZP 30x4 FEZN 1kg=1.05m</t>
  </si>
  <si>
    <t>Drát10IMVD</t>
  </si>
  <si>
    <t>drát Ř 10 mm (0,62 kg/m)</t>
  </si>
  <si>
    <t>Štítekč1IMVD</t>
  </si>
  <si>
    <t>štítek označení č.1</t>
  </si>
  <si>
    <t>ks</t>
  </si>
  <si>
    <t>Štítekč2IMVD</t>
  </si>
  <si>
    <t>štítek označení č.2</t>
  </si>
  <si>
    <t>Štítekč3IMVD</t>
  </si>
  <si>
    <t>štítek označení č.3</t>
  </si>
  <si>
    <t>Štítekč4IMVD</t>
  </si>
  <si>
    <t>štítek označení č.4</t>
  </si>
  <si>
    <t>Štítekč5IMVD</t>
  </si>
  <si>
    <t>štítek označení č.5</t>
  </si>
  <si>
    <t>Štítekč6IMVD</t>
  </si>
  <si>
    <t>štítek označení č.6</t>
  </si>
  <si>
    <t>Štítekč7IMVD</t>
  </si>
  <si>
    <t>štítek označení č.7</t>
  </si>
  <si>
    <t>SR3bEIMVD</t>
  </si>
  <si>
    <t>svorka páska-drát M6</t>
  </si>
  <si>
    <t>SR2b+1IMVD</t>
  </si>
  <si>
    <t>svorka páska-páska+mezideska</t>
  </si>
  <si>
    <t>000SUVD</t>
  </si>
  <si>
    <t>svorka univerzální</t>
  </si>
  <si>
    <t>001SUaVD</t>
  </si>
  <si>
    <t>svorka univerzální s jednou příložkou</t>
  </si>
  <si>
    <t>000SZVD</t>
  </si>
  <si>
    <t>svorka zkušební</t>
  </si>
  <si>
    <t>000OTVD</t>
  </si>
  <si>
    <t>ochranná trubka</t>
  </si>
  <si>
    <t>DJTVD</t>
  </si>
  <si>
    <t>držák jímače a ochr. trubky</t>
  </si>
  <si>
    <t>PV17pppVD</t>
  </si>
  <si>
    <t>podpěra vedení do zdi PV17ppp, vrut 250mm, hmoždina</t>
  </si>
  <si>
    <t>PV17ppIMVD</t>
  </si>
  <si>
    <t>podpěra vedení do zdi PV17pp, vrut 200mm, hmoždina</t>
  </si>
  <si>
    <t>PV17VD</t>
  </si>
  <si>
    <t>podpěra vedení do zdi PV17, vrut 100mm, hmoždina</t>
  </si>
  <si>
    <t>PV21VD</t>
  </si>
  <si>
    <t>podp. ved. na ploché stř. nalepovací 10cm</t>
  </si>
  <si>
    <t>005VD</t>
  </si>
  <si>
    <t>Stříbřenka 250g</t>
  </si>
  <si>
    <t>001ZHVD</t>
  </si>
  <si>
    <t>Zalévací hmota K1 2kg</t>
  </si>
  <si>
    <t>SvorkovniceIMVD</t>
  </si>
  <si>
    <t>svorkovnice hlavního pospojení</t>
  </si>
  <si>
    <t>001VD</t>
  </si>
  <si>
    <t>Drobný instalační materiál</t>
  </si>
  <si>
    <t>obj.</t>
  </si>
  <si>
    <t>Výkaz výměr</t>
  </si>
  <si>
    <t>Cenová soustava</t>
  </si>
  <si>
    <t>dlažba HBB 40 x 40 x 5 cm</t>
  </si>
  <si>
    <t>dlažba přírodní tloušťka 6 cm</t>
  </si>
  <si>
    <t>s použitím suché maltové směsi</t>
  </si>
  <si>
    <t>podlah a obkladů</t>
  </si>
  <si>
    <t>s mozaikovou omítkou 5,5 kg/m2</t>
  </si>
  <si>
    <t>s omítkou silikonovou 3,2 kg/m2</t>
  </si>
  <si>
    <t>zakončený stěrkou s výztužnou tkaninou</t>
  </si>
  <si>
    <t>otlučení uvolněých částí,ošetření výztuže +prohození zdiva reprofilační maltou</t>
  </si>
  <si>
    <t>včetně vrtání a provedení chem kotvy HIT-HY 200-A+HIT -V (8,8) M16x250</t>
  </si>
  <si>
    <t xml:space="preserve"> beton, proti vlhkosti</t>
  </si>
  <si>
    <t>1 vrstva - včetně dod. polyesterové fólie  tl.1,5mm</t>
  </si>
  <si>
    <t>1 vrstva - materiál ve specifikaci</t>
  </si>
  <si>
    <t>1x nátěr - včetně dodávky asfaltové suspenze SA</t>
  </si>
  <si>
    <t>dvoúrovňové odvodnění DN 125</t>
  </si>
  <si>
    <t>souprava větrací hlavice PP HL807  DN 110</t>
  </si>
  <si>
    <t>včetně dodávky řeziva, latě 3/5 cm</t>
  </si>
  <si>
    <t>bez zednických výpomocí</t>
  </si>
  <si>
    <t>průměru 60 mm</t>
  </si>
  <si>
    <t>rš 200 mm</t>
  </si>
  <si>
    <t>rš 330 mm</t>
  </si>
  <si>
    <t>rš 250 mm</t>
  </si>
  <si>
    <t>rš 750 mm</t>
  </si>
  <si>
    <t>rš 600 mm</t>
  </si>
  <si>
    <t>rš 150 mm</t>
  </si>
  <si>
    <t>pz</t>
  </si>
  <si>
    <t>Práce v tarifní třídě 7</t>
  </si>
  <si>
    <t>malta Otavit 450 (Hasit)</t>
  </si>
  <si>
    <t>Práce v tarifní třídě 6</t>
  </si>
  <si>
    <t>Práce v tarifní třídě 8</t>
  </si>
  <si>
    <t>Komplexni vyzkouseni</t>
  </si>
  <si>
    <t>včetně obrubníku 60/6,5/30 cm</t>
  </si>
  <si>
    <t>tloušťka 10 cm</t>
  </si>
  <si>
    <t>z ploch jednotlivě nad 20 m2</t>
  </si>
  <si>
    <t>bez podkladních vrstev, tloušťka přes 10 mm</t>
  </si>
  <si>
    <t>s očištěním a uložením na hromady</t>
  </si>
  <si>
    <t>35   7x37m svody</t>
  </si>
  <si>
    <t>14,8   110m obvod střechy</t>
  </si>
  <si>
    <t>13,5   100m mřížová soustava</t>
  </si>
  <si>
    <t>3,5   26m pomocné jímače na stříškách</t>
  </si>
  <si>
    <t>14,2   20+15+30+40m nástavba a antény</t>
  </si>
  <si>
    <t>13,5   100m přesahy u svorek</t>
  </si>
  <si>
    <t>110   Obvod budovy ve vzdálenosti 1m + přesahy</t>
  </si>
  <si>
    <t>10   Zavedení do budovy na HOP</t>
  </si>
  <si>
    <t>7   Upevnění svodu na zemní pásek</t>
  </si>
  <si>
    <t>5   Propoje v zemi</t>
  </si>
  <si>
    <t>50   Propjen mřážové soustavy na střeše</t>
  </si>
  <si>
    <t>100   Upevnění vedení po obvodu střechy</t>
  </si>
  <si>
    <t>50   Propoejní kovových součástí na střeše</t>
  </si>
  <si>
    <t>35*7   7 svodů</t>
  </si>
  <si>
    <t>15   Upevnění vedení nástavba</t>
  </si>
  <si>
    <t>26   Upevnění pomocných jímačů na stříškách</t>
  </si>
  <si>
    <t>90   Upevnění jímacího vedení na ploché střeše</t>
  </si>
  <si>
    <t>20   Nátěry svorek</t>
  </si>
  <si>
    <t>2   ošetření svodů a svorek v zemi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</si>
  <si>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</si>
  <si>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</si>
  <si>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</si>
  <si>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</si>
  <si>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</si>
  <si>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</si>
  <si>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</si>
  <si>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</si>
  <si>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</si>
  <si>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</si>
  <si>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</si>
  <si>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</si>
  <si>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</si>
  <si>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Rozpočtová rezerva</t>
  </si>
  <si>
    <t>Bez pevné podl.</t>
  </si>
  <si>
    <t>Mimostav. doprava</t>
  </si>
  <si>
    <t>PSV</t>
  </si>
  <si>
    <t>Kulturní památka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</si>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</sst>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2">
    <font>
      <sz val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8">
    <xf numFmtId="164" fontId="0" fillId="0" borderId="0" xfId="0" applyAlignment="1">
      <alignment/>
    </xf>
    <xf numFmtId="165" fontId="1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2" xfId="0" applyNumberFormat="1" applyFont="1" applyFill="1" applyBorder="1" applyAlignment="1" applyProtection="1">
      <alignment horizontal="left" vertical="center" wrapText="1"/>
      <protection/>
    </xf>
    <xf numFmtId="164" fontId="3" fillId="0" borderId="3" xfId="0" applyNumberFormat="1" applyFont="1" applyFill="1" applyBorder="1" applyAlignment="1" applyProtection="1">
      <alignment horizontal="left" vertical="center" wrapText="1"/>
      <protection/>
    </xf>
    <xf numFmtId="165" fontId="2" fillId="0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NumberFormat="1" applyFont="1" applyFill="1" applyBorder="1" applyAlignment="1" applyProtection="1">
      <alignment horizontal="left" vertical="center" wrapText="1"/>
      <protection/>
    </xf>
    <xf numFmtId="164" fontId="2" fillId="0" borderId="4" xfId="0" applyNumberFormat="1" applyFont="1" applyFill="1" applyBorder="1" applyAlignment="1" applyProtection="1">
      <alignment horizontal="left" vertical="center" wrapText="1"/>
      <protection/>
    </xf>
    <xf numFmtId="164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2" fillId="0" borderId="0" xfId="0" applyNumberFormat="1" applyFont="1" applyFill="1" applyBorder="1" applyAlignment="1" applyProtection="1">
      <alignment horizontal="left" vertical="center"/>
      <protection/>
    </xf>
    <xf numFmtId="166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6" xfId="0" applyNumberFormat="1" applyFont="1" applyFill="1" applyBorder="1" applyAlignment="1" applyProtection="1">
      <alignment horizontal="left" vertical="center" wrapText="1"/>
      <protection/>
    </xf>
    <xf numFmtId="164" fontId="2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7" xfId="0" applyNumberFormat="1" applyFont="1" applyFill="1" applyBorder="1" applyAlignment="1" applyProtection="1">
      <alignment horizontal="left" vertical="center" wrapText="1"/>
      <protection/>
    </xf>
    <xf numFmtId="164" fontId="2" fillId="0" borderId="8" xfId="0" applyNumberFormat="1" applyFont="1" applyFill="1" applyBorder="1" applyAlignment="1" applyProtection="1">
      <alignment horizontal="left" vertical="center" wrapText="1"/>
      <protection/>
    </xf>
    <xf numFmtId="165" fontId="2" fillId="0" borderId="8" xfId="0" applyNumberFormat="1" applyFont="1" applyFill="1" applyBorder="1" applyAlignment="1" applyProtection="1">
      <alignment horizontal="left" vertical="center"/>
      <protection/>
    </xf>
    <xf numFmtId="166" fontId="2" fillId="0" borderId="8" xfId="0" applyNumberFormat="1" applyFont="1" applyFill="1" applyBorder="1" applyAlignment="1" applyProtection="1">
      <alignment horizontal="left" vertical="center"/>
      <protection/>
    </xf>
    <xf numFmtId="164" fontId="2" fillId="0" borderId="9" xfId="0" applyNumberFormat="1" applyFont="1" applyFill="1" applyBorder="1" applyAlignment="1" applyProtection="1">
      <alignment horizontal="left" vertical="center" wrapText="1"/>
      <protection/>
    </xf>
    <xf numFmtId="165" fontId="3" fillId="0" borderId="10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5" fontId="3" fillId="0" borderId="14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vertical="center"/>
      <protection/>
    </xf>
    <xf numFmtId="165" fontId="2" fillId="0" borderId="16" xfId="0" applyNumberFormat="1" applyFont="1" applyFill="1" applyBorder="1" applyAlignment="1" applyProtection="1">
      <alignment horizontal="left" vertical="center"/>
      <protection/>
    </xf>
    <xf numFmtId="165" fontId="2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7" xfId="0" applyNumberFormat="1" applyFont="1" applyFill="1" applyBorder="1" applyAlignment="1" applyProtection="1">
      <alignment horizontal="left" vertical="center"/>
      <protection/>
    </xf>
    <xf numFmtId="165" fontId="3" fillId="0" borderId="18" xfId="0" applyNumberFormat="1" applyFont="1" applyFill="1" applyBorder="1" applyAlignment="1" applyProtection="1">
      <alignment horizontal="right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21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2" fillId="2" borderId="23" xfId="0" applyNumberFormat="1" applyFont="1" applyFill="1" applyBorder="1" applyAlignment="1" applyProtection="1">
      <alignment horizontal="left" vertical="center"/>
      <protection/>
    </xf>
    <xf numFmtId="165" fontId="3" fillId="2" borderId="23" xfId="0" applyNumberFormat="1" applyFont="1" applyFill="1" applyBorder="1" applyAlignment="1" applyProtection="1">
      <alignment horizontal="left" vertical="center"/>
      <protection/>
    </xf>
    <xf numFmtId="167" fontId="3" fillId="2" borderId="23" xfId="0" applyNumberFormat="1" applyFont="1" applyFill="1" applyBorder="1" applyAlignment="1" applyProtection="1">
      <alignment horizontal="right" vertical="center"/>
      <protection/>
    </xf>
    <xf numFmtId="165" fontId="3" fillId="2" borderId="23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0" xfId="0" applyNumberFormat="1" applyFont="1" applyFill="1" applyBorder="1" applyAlignment="1" applyProtection="1">
      <alignment horizontal="right" vertical="center"/>
      <protection/>
    </xf>
    <xf numFmtId="165" fontId="2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4" fillId="0" borderId="0" xfId="0" applyNumberFormat="1" applyFont="1" applyFill="1" applyBorder="1" applyAlignment="1" applyProtection="1">
      <alignment horizontal="left" vertical="center"/>
      <protection/>
    </xf>
    <xf numFmtId="167" fontId="4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165" fontId="4" fillId="0" borderId="1" xfId="0" applyNumberFormat="1" applyFont="1" applyFill="1" applyBorder="1" applyAlignment="1" applyProtection="1">
      <alignment horizontal="left" vertical="center"/>
      <protection/>
    </xf>
    <xf numFmtId="167" fontId="4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3" xfId="0" applyNumberFormat="1" applyFont="1" applyFill="1" applyBorder="1" applyAlignment="1" applyProtection="1">
      <alignment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5" fontId="5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left" vertical="center"/>
      <protection/>
    </xf>
    <xf numFmtId="167" fontId="2" fillId="0" borderId="1" xfId="0" applyNumberFormat="1" applyFont="1" applyFill="1" applyBorder="1" applyAlignment="1" applyProtection="1">
      <alignment horizontal="right" vertical="center"/>
      <protection/>
    </xf>
    <xf numFmtId="165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left" vertical="center"/>
      <protection/>
    </xf>
    <xf numFmtId="165" fontId="3" fillId="0" borderId="25" xfId="0" applyNumberFormat="1" applyFont="1" applyFill="1" applyBorder="1" applyAlignment="1" applyProtection="1">
      <alignment horizontal="right" vertical="center"/>
      <protection/>
    </xf>
    <xf numFmtId="165" fontId="3" fillId="0" borderId="26" xfId="0" applyNumberFormat="1" applyFont="1" applyFill="1" applyBorder="1" applyAlignment="1" applyProtection="1">
      <alignment horizontal="left" vertical="center"/>
      <protection/>
    </xf>
    <xf numFmtId="165" fontId="2" fillId="0" borderId="23" xfId="0" applyNumberFormat="1" applyFont="1" applyFill="1" applyBorder="1" applyAlignment="1" applyProtection="1">
      <alignment horizontal="left" vertical="center"/>
      <protection/>
    </xf>
    <xf numFmtId="167" fontId="2" fillId="0" borderId="23" xfId="0" applyNumberFormat="1" applyFont="1" applyFill="1" applyBorder="1" applyAlignment="1" applyProtection="1">
      <alignment horizontal="right" vertical="center"/>
      <protection/>
    </xf>
    <xf numFmtId="165" fontId="2" fillId="0" borderId="23" xfId="0" applyNumberFormat="1" applyFont="1" applyFill="1" applyBorder="1" applyAlignment="1" applyProtection="1">
      <alignment horizontal="right" vertical="center"/>
      <protection/>
    </xf>
    <xf numFmtId="165" fontId="6" fillId="0" borderId="1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horizontal="left" vertical="center"/>
      <protection/>
    </xf>
    <xf numFmtId="165" fontId="2" fillId="0" borderId="6" xfId="0" applyNumberFormat="1" applyFont="1" applyFill="1" applyBorder="1" applyAlignment="1" applyProtection="1">
      <alignment horizontal="left" vertical="center"/>
      <protection/>
    </xf>
    <xf numFmtId="164" fontId="2" fillId="0" borderId="27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NumberFormat="1" applyFont="1" applyFill="1" applyBorder="1" applyAlignment="1" applyProtection="1">
      <alignment horizontal="left" vertical="center" wrapText="1"/>
      <protection/>
    </xf>
    <xf numFmtId="166" fontId="2" fillId="0" borderId="28" xfId="0" applyNumberFormat="1" applyFont="1" applyFill="1" applyBorder="1" applyAlignment="1" applyProtection="1">
      <alignment horizontal="left" vertical="center"/>
      <protection/>
    </xf>
    <xf numFmtId="165" fontId="7" fillId="0" borderId="29" xfId="0" applyNumberFormat="1" applyFont="1" applyFill="1" applyBorder="1" applyAlignment="1" applyProtection="1">
      <alignment horizontal="center" vertical="center"/>
      <protection/>
    </xf>
    <xf numFmtId="165" fontId="8" fillId="2" borderId="30" xfId="0" applyNumberFormat="1" applyFont="1" applyFill="1" applyBorder="1" applyAlignment="1" applyProtection="1">
      <alignment horizontal="center" vertical="center"/>
      <protection/>
    </xf>
    <xf numFmtId="165" fontId="9" fillId="0" borderId="30" xfId="0" applyNumberFormat="1" applyFont="1" applyFill="1" applyBorder="1" applyAlignment="1" applyProtection="1">
      <alignment horizontal="left" vertical="center"/>
      <protection/>
    </xf>
    <xf numFmtId="165" fontId="10" fillId="0" borderId="31" xfId="0" applyNumberFormat="1" applyFont="1" applyFill="1" applyBorder="1" applyAlignment="1" applyProtection="1">
      <alignment horizontal="left" vertical="center"/>
      <protection/>
    </xf>
    <xf numFmtId="165" fontId="11" fillId="0" borderId="30" xfId="0" applyNumberFormat="1" applyFont="1" applyFill="1" applyBorder="1" applyAlignment="1" applyProtection="1">
      <alignment horizontal="left" vertical="center"/>
      <protection/>
    </xf>
    <xf numFmtId="167" fontId="11" fillId="0" borderId="30" xfId="0" applyNumberFormat="1" applyFont="1" applyFill="1" applyBorder="1" applyAlignment="1" applyProtection="1">
      <alignment horizontal="right" vertical="center"/>
      <protection/>
    </xf>
    <xf numFmtId="165" fontId="10" fillId="0" borderId="32" xfId="0" applyNumberFormat="1" applyFont="1" applyFill="1" applyBorder="1" applyAlignment="1" applyProtection="1">
      <alignment horizontal="left" vertical="center"/>
      <protection/>
    </xf>
    <xf numFmtId="165" fontId="11" fillId="0" borderId="30" xfId="0" applyNumberFormat="1" applyFont="1" applyFill="1" applyBorder="1" applyAlignment="1" applyProtection="1">
      <alignment horizontal="right" vertical="center"/>
      <protection/>
    </xf>
    <xf numFmtId="165" fontId="10" fillId="0" borderId="30" xfId="0" applyNumberFormat="1" applyFont="1" applyFill="1" applyBorder="1" applyAlignment="1" applyProtection="1">
      <alignment horizontal="left"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7" fontId="11" fillId="0" borderId="20" xfId="0" applyNumberFormat="1" applyFont="1" applyFill="1" applyBorder="1" applyAlignment="1" applyProtection="1">
      <alignment horizontal="right" vertical="center"/>
      <protection/>
    </xf>
    <xf numFmtId="164" fontId="2" fillId="0" borderId="33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Fill="1" applyBorder="1" applyAlignment="1" applyProtection="1">
      <alignment vertical="center"/>
      <protection/>
    </xf>
    <xf numFmtId="165" fontId="10" fillId="2" borderId="34" xfId="0" applyNumberFormat="1" applyFont="1" applyFill="1" applyBorder="1" applyAlignment="1" applyProtection="1">
      <alignment horizontal="left" vertical="center"/>
      <protection/>
    </xf>
    <xf numFmtId="167" fontId="10" fillId="2" borderId="35" xfId="0" applyNumberFormat="1" applyFont="1" applyFill="1" applyBorder="1" applyAlignment="1" applyProtection="1">
      <alignment horizontal="right" vertical="center"/>
      <protection/>
    </xf>
    <xf numFmtId="164" fontId="2" fillId="0" borderId="27" xfId="0" applyNumberFormat="1" applyFont="1" applyFill="1" applyBorder="1" applyAlignment="1" applyProtection="1">
      <alignment vertical="center"/>
      <protection/>
    </xf>
    <xf numFmtId="164" fontId="2" fillId="0" borderId="36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horizontal="left" vertical="center"/>
      <protection/>
    </xf>
    <xf numFmtId="165" fontId="11" fillId="0" borderId="37" xfId="0" applyNumberFormat="1" applyFont="1" applyFill="1" applyBorder="1" applyAlignment="1" applyProtection="1">
      <alignment horizontal="left" vertical="center"/>
      <protection/>
    </xf>
    <xf numFmtId="165" fontId="11" fillId="0" borderId="22" xfId="0" applyNumberFormat="1" applyFont="1" applyFill="1" applyBorder="1" applyAlignment="1" applyProtection="1">
      <alignment horizontal="left" vertical="center"/>
      <protection/>
    </xf>
    <xf numFmtId="165" fontId="5" fillId="0" borderId="23" xfId="0" applyNumberFormat="1" applyFont="1" applyFill="1" applyBorder="1" applyAlignment="1" applyProtection="1">
      <alignment horizontal="left" vertical="center"/>
      <protection/>
    </xf>
    <xf numFmtId="164" fontId="2" fillId="0" borderId="23" xfId="0" applyNumberFormat="1" applyFont="1" applyFill="1" applyBorder="1" applyAlignment="1" applyProtection="1">
      <alignment vertical="center"/>
      <protection/>
    </xf>
    <xf numFmtId="165" fontId="10" fillId="0" borderId="8" xfId="0" applyNumberFormat="1" applyFont="1" applyFill="1" applyBorder="1" applyAlignment="1" applyProtection="1">
      <alignment horizontal="left" vertical="center"/>
      <protection/>
    </xf>
    <xf numFmtId="164" fontId="2" fillId="0" borderId="8" xfId="0" applyNumberFormat="1" applyFont="1" applyFill="1" applyBorder="1" applyAlignment="1" applyProtection="1">
      <alignment vertical="center"/>
      <protection/>
    </xf>
    <xf numFmtId="165" fontId="3" fillId="0" borderId="13" xfId="0" applyNumberFormat="1" applyFont="1" applyFill="1" applyBorder="1" applyAlignment="1" applyProtection="1">
      <alignment horizontal="left" vertical="center"/>
      <protection/>
    </xf>
    <xf numFmtId="165" fontId="3" fillId="0" borderId="13" xfId="0" applyNumberFormat="1" applyFont="1" applyFill="1" applyBorder="1" applyAlignment="1" applyProtection="1">
      <alignment horizontal="right" vertical="center"/>
      <protection/>
    </xf>
    <xf numFmtId="165" fontId="2" fillId="0" borderId="30" xfId="0" applyNumberFormat="1" applyFont="1" applyFill="1" applyBorder="1" applyAlignment="1" applyProtection="1">
      <alignment horizontal="left" vertical="center"/>
      <protection/>
    </xf>
    <xf numFmtId="167" fontId="2" fillId="0" borderId="30" xfId="0" applyNumberFormat="1" applyFont="1" applyFill="1" applyBorder="1" applyAlignment="1" applyProtection="1">
      <alignment horizontal="right" vertical="center"/>
      <protection/>
    </xf>
    <xf numFmtId="165" fontId="2" fillId="0" borderId="20" xfId="0" applyNumberFormat="1" applyFont="1" applyFill="1" applyBorder="1" applyAlignment="1" applyProtection="1">
      <alignment horizontal="left" vertical="center"/>
      <protection/>
    </xf>
    <xf numFmtId="167" fontId="2" fillId="0" borderId="20" xfId="0" applyNumberFormat="1" applyFont="1" applyFill="1" applyBorder="1" applyAlignment="1" applyProtection="1">
      <alignment horizontal="right" vertical="center"/>
      <protection/>
    </xf>
    <xf numFmtId="165" fontId="3" fillId="0" borderId="38" xfId="0" applyNumberFormat="1" applyFont="1" applyFill="1" applyBorder="1" applyAlignment="1" applyProtection="1">
      <alignment horizontal="left" vertical="center"/>
      <protection/>
    </xf>
    <xf numFmtId="165" fontId="3" fillId="0" borderId="38" xfId="0" applyNumberFormat="1" applyFont="1" applyFill="1" applyBorder="1" applyAlignment="1" applyProtection="1">
      <alignment horizontal="right" vertical="center"/>
      <protection/>
    </xf>
    <xf numFmtId="167" fontId="3" fillId="0" borderId="38" xfId="0" applyNumberFormat="1" applyFont="1" applyFill="1" applyBorder="1" applyAlignment="1" applyProtection="1">
      <alignment horizontal="right" vertical="center"/>
      <protection/>
    </xf>
    <xf numFmtId="164" fontId="2" fillId="0" borderId="39" xfId="0" applyNumberFormat="1" applyFont="1" applyFill="1" applyBorder="1" applyAlignment="1" applyProtection="1">
      <alignment vertical="center"/>
      <protection/>
    </xf>
    <xf numFmtId="165" fontId="10" fillId="0" borderId="38" xfId="0" applyNumberFormat="1" applyFont="1" applyFill="1" applyBorder="1" applyAlignment="1" applyProtection="1">
      <alignment horizontal="left" vertical="center"/>
      <protection/>
    </xf>
    <xf numFmtId="167" fontId="10" fillId="0" borderId="38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6"/>
  <sheetViews>
    <sheetView workbookViewId="0" topLeftCell="A1">
      <selection activeCell="G554" sqref="G554"/>
    </sheetView>
  </sheetViews>
  <sheetFormatPr defaultColWidth="11.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111.57421875" style="0" customWidth="1"/>
    <col min="5" max="5" width="5.140625" style="0" customWidth="1"/>
    <col min="6" max="6" width="10.8515625" style="0" customWidth="1"/>
    <col min="7" max="7" width="12.00390625" style="0" customWidth="1"/>
    <col min="8" max="10" width="14.28125" style="0" customWidth="1"/>
    <col min="11" max="13" width="11.7109375" style="0" customWidth="1"/>
    <col min="14" max="37" width="0" style="0" hidden="1" customWidth="1"/>
    <col min="38" max="16384" width="11.57421875" style="0" customWidth="1"/>
  </cols>
  <sheetData>
    <row r="1" spans="1:13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1</v>
      </c>
      <c r="B2" s="2"/>
      <c r="C2" s="2"/>
      <c r="D2" s="3" t="s">
        <v>2</v>
      </c>
      <c r="E2" s="4" t="s">
        <v>3</v>
      </c>
      <c r="F2" s="4"/>
      <c r="G2" s="4"/>
      <c r="H2" s="4"/>
      <c r="I2" s="5" t="s">
        <v>4</v>
      </c>
      <c r="J2" s="6" t="s">
        <v>5</v>
      </c>
      <c r="K2" s="6"/>
      <c r="L2" s="6"/>
      <c r="M2" s="6"/>
      <c r="N2" s="7"/>
    </row>
    <row r="3" spans="1:14" ht="12.75">
      <c r="A3" s="2"/>
      <c r="B3" s="2"/>
      <c r="C3" s="2"/>
      <c r="D3" s="3"/>
      <c r="E3" s="4"/>
      <c r="F3" s="4"/>
      <c r="G3" s="4"/>
      <c r="H3" s="4"/>
      <c r="I3" s="5"/>
      <c r="J3" s="5"/>
      <c r="K3" s="6"/>
      <c r="L3" s="6"/>
      <c r="M3" s="6"/>
      <c r="N3" s="7"/>
    </row>
    <row r="4" spans="1:14" ht="12.75" customHeight="1">
      <c r="A4" s="8" t="s">
        <v>6</v>
      </c>
      <c r="B4" s="8"/>
      <c r="C4" s="8"/>
      <c r="D4" s="9" t="s">
        <v>7</v>
      </c>
      <c r="E4" s="10" t="s">
        <v>8</v>
      </c>
      <c r="F4" s="10"/>
      <c r="G4" s="11">
        <v>41737</v>
      </c>
      <c r="H4" s="11"/>
      <c r="I4" s="9" t="s">
        <v>9</v>
      </c>
      <c r="J4" s="12" t="s">
        <v>10</v>
      </c>
      <c r="K4" s="12"/>
      <c r="L4" s="12"/>
      <c r="M4" s="12"/>
      <c r="N4" s="7"/>
    </row>
    <row r="5" spans="1:14" ht="12.75">
      <c r="A5" s="8"/>
      <c r="B5" s="8"/>
      <c r="C5" s="8"/>
      <c r="D5" s="9"/>
      <c r="E5" s="9"/>
      <c r="F5" s="10"/>
      <c r="G5" s="11"/>
      <c r="H5" s="11"/>
      <c r="I5" s="9"/>
      <c r="J5" s="9"/>
      <c r="K5" s="12"/>
      <c r="L5" s="12"/>
      <c r="M5" s="12"/>
      <c r="N5" s="7"/>
    </row>
    <row r="6" spans="1:14" ht="12.75" customHeight="1">
      <c r="A6" s="8" t="s">
        <v>11</v>
      </c>
      <c r="B6" s="8"/>
      <c r="C6" s="8"/>
      <c r="D6" s="9" t="s">
        <v>12</v>
      </c>
      <c r="E6" s="10" t="s">
        <v>13</v>
      </c>
      <c r="F6" s="10"/>
      <c r="G6" s="13"/>
      <c r="H6" s="13"/>
      <c r="I6" s="9" t="s">
        <v>14</v>
      </c>
      <c r="J6" s="12"/>
      <c r="K6" s="12"/>
      <c r="L6" s="12"/>
      <c r="M6" s="12"/>
      <c r="N6" s="7"/>
    </row>
    <row r="7" spans="1:14" ht="12.75">
      <c r="A7" s="8"/>
      <c r="B7" s="8"/>
      <c r="C7" s="8"/>
      <c r="D7" s="9"/>
      <c r="E7" s="9"/>
      <c r="F7" s="10"/>
      <c r="G7" s="13"/>
      <c r="H7" s="13"/>
      <c r="I7" s="9"/>
      <c r="J7" s="9"/>
      <c r="K7" s="12"/>
      <c r="L7" s="12"/>
      <c r="M7" s="12"/>
      <c r="N7" s="7"/>
    </row>
    <row r="8" spans="1:14" ht="12.75" customHeight="1">
      <c r="A8" s="14" t="s">
        <v>15</v>
      </c>
      <c r="B8" s="14"/>
      <c r="C8" s="14"/>
      <c r="D8" s="15"/>
      <c r="E8" s="16" t="s">
        <v>16</v>
      </c>
      <c r="F8" s="16"/>
      <c r="G8" s="17">
        <v>41737</v>
      </c>
      <c r="H8" s="17"/>
      <c r="I8" s="15" t="s">
        <v>17</v>
      </c>
      <c r="J8" s="18"/>
      <c r="K8" s="18"/>
      <c r="L8" s="18"/>
      <c r="M8" s="18"/>
      <c r="N8" s="7"/>
    </row>
    <row r="9" spans="1:14" ht="12.75">
      <c r="A9" s="14"/>
      <c r="B9" s="14"/>
      <c r="C9" s="14"/>
      <c r="D9" s="15"/>
      <c r="E9" s="15"/>
      <c r="F9" s="16"/>
      <c r="G9" s="17"/>
      <c r="H9" s="17"/>
      <c r="I9" s="15"/>
      <c r="J9" s="15"/>
      <c r="K9" s="18"/>
      <c r="L9" s="18"/>
      <c r="M9" s="18"/>
      <c r="N9" s="7"/>
    </row>
    <row r="10" spans="1:14" ht="12.75">
      <c r="A10" s="19" t="s">
        <v>18</v>
      </c>
      <c r="B10" s="20" t="s">
        <v>19</v>
      </c>
      <c r="C10" s="20" t="s">
        <v>20</v>
      </c>
      <c r="D10" s="20" t="s">
        <v>21</v>
      </c>
      <c r="E10" s="20" t="s">
        <v>22</v>
      </c>
      <c r="F10" s="21" t="s">
        <v>23</v>
      </c>
      <c r="G10" s="22" t="s">
        <v>24</v>
      </c>
      <c r="H10" s="23" t="s">
        <v>25</v>
      </c>
      <c r="I10" s="23"/>
      <c r="J10" s="23"/>
      <c r="K10" s="23" t="s">
        <v>26</v>
      </c>
      <c r="L10" s="23"/>
      <c r="M10" s="24" t="s">
        <v>27</v>
      </c>
      <c r="N10" s="25"/>
    </row>
    <row r="11" spans="1:24" ht="12.75">
      <c r="A11" s="26" t="s">
        <v>28</v>
      </c>
      <c r="B11" s="27" t="s">
        <v>28</v>
      </c>
      <c r="C11" s="27" t="s">
        <v>28</v>
      </c>
      <c r="D11" s="28" t="s">
        <v>29</v>
      </c>
      <c r="E11" s="27" t="s">
        <v>28</v>
      </c>
      <c r="F11" s="27" t="s">
        <v>28</v>
      </c>
      <c r="G11" s="29" t="s">
        <v>30</v>
      </c>
      <c r="H11" s="30" t="s">
        <v>31</v>
      </c>
      <c r="I11" s="31" t="s">
        <v>32</v>
      </c>
      <c r="J11" s="32" t="s">
        <v>33</v>
      </c>
      <c r="K11" s="30" t="s">
        <v>24</v>
      </c>
      <c r="L11" s="32" t="s">
        <v>33</v>
      </c>
      <c r="M11" s="33" t="s">
        <v>34</v>
      </c>
      <c r="N11" s="25"/>
      <c r="P11" s="34" t="s">
        <v>35</v>
      </c>
      <c r="Q11" s="34" t="s">
        <v>36</v>
      </c>
      <c r="R11" s="34" t="s">
        <v>37</v>
      </c>
      <c r="S11" s="34" t="s">
        <v>38</v>
      </c>
      <c r="T11" s="34" t="s">
        <v>39</v>
      </c>
      <c r="U11" s="34" t="s">
        <v>40</v>
      </c>
      <c r="V11" s="34" t="s">
        <v>41</v>
      </c>
      <c r="W11" s="34" t="s">
        <v>42</v>
      </c>
      <c r="X11" s="34" t="s">
        <v>43</v>
      </c>
    </row>
    <row r="12" spans="1:37" ht="12.75">
      <c r="A12" s="35"/>
      <c r="B12" s="36"/>
      <c r="C12" s="36" t="s">
        <v>44</v>
      </c>
      <c r="D12" s="36" t="s">
        <v>45</v>
      </c>
      <c r="E12" s="36"/>
      <c r="F12" s="36"/>
      <c r="G12" s="36"/>
      <c r="H12" s="37">
        <f>SUM(H13:H18)</f>
        <v>0</v>
      </c>
      <c r="I12" s="37">
        <f>SUM(I13:I18)</f>
        <v>0</v>
      </c>
      <c r="J12" s="37">
        <f>H12+I12</f>
        <v>0</v>
      </c>
      <c r="K12" s="38"/>
      <c r="L12" s="37">
        <f>SUM(L13:L18)</f>
        <v>0</v>
      </c>
      <c r="M12" s="38"/>
      <c r="P12" s="39">
        <f>IF(Q12="PR",J12,SUM(O13:O18))</f>
        <v>0</v>
      </c>
      <c r="Q12" s="34" t="s">
        <v>46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34"/>
      <c r="AI12" s="39">
        <f>SUM(Z13:Z18)</f>
        <v>0</v>
      </c>
      <c r="AJ12" s="39">
        <f>SUM(AA13:AA18)</f>
        <v>0</v>
      </c>
      <c r="AK12" s="39">
        <f>SUM(AB13:AB18)</f>
        <v>0</v>
      </c>
    </row>
    <row r="13" spans="1:32" ht="12.75">
      <c r="A13" s="10" t="s">
        <v>47</v>
      </c>
      <c r="B13" s="10"/>
      <c r="C13" s="10" t="s">
        <v>48</v>
      </c>
      <c r="D13" s="10" t="s">
        <v>49</v>
      </c>
      <c r="E13" s="10" t="s">
        <v>50</v>
      </c>
      <c r="F13" s="40">
        <v>1</v>
      </c>
      <c r="G13" s="40">
        <v>0</v>
      </c>
      <c r="H13" s="40">
        <f aca="true" t="shared" si="0" ref="H13:H18">ROUND(F13*AE13,2)</f>
        <v>0</v>
      </c>
      <c r="I13" s="40">
        <f aca="true" t="shared" si="1" ref="I13:I18">J13-H13</f>
        <v>0</v>
      </c>
      <c r="J13" s="40">
        <f aca="true" t="shared" si="2" ref="J13:J18">ROUND(F13*G13,2)</f>
        <v>0</v>
      </c>
      <c r="K13" s="40">
        <v>0</v>
      </c>
      <c r="L13" s="40">
        <f aca="true" t="shared" si="3" ref="L13:L18">F13*K13</f>
        <v>0</v>
      </c>
      <c r="M13" s="41"/>
      <c r="N13" s="41" t="s">
        <v>47</v>
      </c>
      <c r="O13" s="40">
        <f aca="true" t="shared" si="4" ref="O13:O18">IF(N13="5",I13,0)</f>
        <v>0</v>
      </c>
      <c r="Z13" s="40">
        <f aca="true" t="shared" si="5" ref="Z13:Z18">IF(AD13=0,J13,0)</f>
        <v>0</v>
      </c>
      <c r="AA13" s="40">
        <f aca="true" t="shared" si="6" ref="AA13:AA18">IF(AD13=15,J13,0)</f>
        <v>0</v>
      </c>
      <c r="AB13" s="40">
        <f aca="true" t="shared" si="7" ref="AB13:AB18">IF(AD13=21,J13,0)</f>
        <v>0</v>
      </c>
      <c r="AD13" s="40">
        <v>21</v>
      </c>
      <c r="AE13" s="40">
        <f aca="true" t="shared" si="8" ref="AE13:AE18">G13*0</f>
        <v>0</v>
      </c>
      <c r="AF13" s="40">
        <f aca="true" t="shared" si="9" ref="AF13:AF18">G13*(1-0)</f>
        <v>0</v>
      </c>
    </row>
    <row r="14" spans="1:32" ht="12.75">
      <c r="A14" s="10" t="s">
        <v>51</v>
      </c>
      <c r="B14" s="10"/>
      <c r="C14" s="10" t="s">
        <v>52</v>
      </c>
      <c r="D14" s="10" t="s">
        <v>53</v>
      </c>
      <c r="E14" s="10" t="s">
        <v>50</v>
      </c>
      <c r="F14" s="40">
        <v>1</v>
      </c>
      <c r="G14" s="40">
        <v>0</v>
      </c>
      <c r="H14" s="40">
        <f t="shared" si="0"/>
        <v>0</v>
      </c>
      <c r="I14" s="40">
        <f t="shared" si="1"/>
        <v>0</v>
      </c>
      <c r="J14" s="40">
        <f t="shared" si="2"/>
        <v>0</v>
      </c>
      <c r="K14" s="40">
        <v>0</v>
      </c>
      <c r="L14" s="40">
        <f t="shared" si="3"/>
        <v>0</v>
      </c>
      <c r="M14" s="41"/>
      <c r="N14" s="41" t="s">
        <v>47</v>
      </c>
      <c r="O14" s="40">
        <f t="shared" si="4"/>
        <v>0</v>
      </c>
      <c r="Z14" s="40">
        <f t="shared" si="5"/>
        <v>0</v>
      </c>
      <c r="AA14" s="40">
        <f t="shared" si="6"/>
        <v>0</v>
      </c>
      <c r="AB14" s="40">
        <f t="shared" si="7"/>
        <v>0</v>
      </c>
      <c r="AD14" s="40">
        <v>21</v>
      </c>
      <c r="AE14" s="40">
        <f t="shared" si="8"/>
        <v>0</v>
      </c>
      <c r="AF14" s="40">
        <f t="shared" si="9"/>
        <v>0</v>
      </c>
    </row>
    <row r="15" spans="1:32" ht="12.75">
      <c r="A15" s="10" t="s">
        <v>54</v>
      </c>
      <c r="B15" s="10"/>
      <c r="C15" s="10" t="s">
        <v>55</v>
      </c>
      <c r="D15" s="10" t="s">
        <v>56</v>
      </c>
      <c r="E15" s="10" t="s">
        <v>50</v>
      </c>
      <c r="F15" s="40">
        <v>1</v>
      </c>
      <c r="G15" s="40">
        <v>0</v>
      </c>
      <c r="H15" s="40">
        <f t="shared" si="0"/>
        <v>0</v>
      </c>
      <c r="I15" s="40">
        <f t="shared" si="1"/>
        <v>0</v>
      </c>
      <c r="J15" s="40">
        <f t="shared" si="2"/>
        <v>0</v>
      </c>
      <c r="K15" s="40">
        <v>0</v>
      </c>
      <c r="L15" s="40">
        <f t="shared" si="3"/>
        <v>0</v>
      </c>
      <c r="M15" s="41"/>
      <c r="N15" s="41" t="s">
        <v>47</v>
      </c>
      <c r="O15" s="40">
        <f t="shared" si="4"/>
        <v>0</v>
      </c>
      <c r="Z15" s="40">
        <f t="shared" si="5"/>
        <v>0</v>
      </c>
      <c r="AA15" s="40">
        <f t="shared" si="6"/>
        <v>0</v>
      </c>
      <c r="AB15" s="40">
        <f t="shared" si="7"/>
        <v>0</v>
      </c>
      <c r="AD15" s="40">
        <v>21</v>
      </c>
      <c r="AE15" s="40">
        <f t="shared" si="8"/>
        <v>0</v>
      </c>
      <c r="AF15" s="40">
        <f t="shared" si="9"/>
        <v>0</v>
      </c>
    </row>
    <row r="16" spans="1:32" ht="12.75">
      <c r="A16" s="10" t="s">
        <v>57</v>
      </c>
      <c r="B16" s="10"/>
      <c r="C16" s="10" t="s">
        <v>58</v>
      </c>
      <c r="D16" s="10" t="s">
        <v>59</v>
      </c>
      <c r="E16" s="10" t="s">
        <v>50</v>
      </c>
      <c r="F16" s="40">
        <v>1</v>
      </c>
      <c r="G16" s="40">
        <v>0</v>
      </c>
      <c r="H16" s="40">
        <f t="shared" si="0"/>
        <v>0</v>
      </c>
      <c r="I16" s="40">
        <f t="shared" si="1"/>
        <v>0</v>
      </c>
      <c r="J16" s="40">
        <f t="shared" si="2"/>
        <v>0</v>
      </c>
      <c r="K16" s="40">
        <v>0</v>
      </c>
      <c r="L16" s="40">
        <f t="shared" si="3"/>
        <v>0</v>
      </c>
      <c r="M16" s="41"/>
      <c r="N16" s="41" t="s">
        <v>47</v>
      </c>
      <c r="O16" s="40">
        <f t="shared" si="4"/>
        <v>0</v>
      </c>
      <c r="Z16" s="40">
        <f t="shared" si="5"/>
        <v>0</v>
      </c>
      <c r="AA16" s="40">
        <f t="shared" si="6"/>
        <v>0</v>
      </c>
      <c r="AB16" s="40">
        <f t="shared" si="7"/>
        <v>0</v>
      </c>
      <c r="AD16" s="40">
        <v>21</v>
      </c>
      <c r="AE16" s="40">
        <f t="shared" si="8"/>
        <v>0</v>
      </c>
      <c r="AF16" s="40">
        <f t="shared" si="9"/>
        <v>0</v>
      </c>
    </row>
    <row r="17" spans="1:32" ht="12.75">
      <c r="A17" s="10" t="s">
        <v>60</v>
      </c>
      <c r="B17" s="10"/>
      <c r="C17" s="10" t="s">
        <v>61</v>
      </c>
      <c r="D17" s="10" t="s">
        <v>62</v>
      </c>
      <c r="E17" s="10" t="s">
        <v>50</v>
      </c>
      <c r="F17" s="40">
        <v>1</v>
      </c>
      <c r="G17" s="40">
        <v>0</v>
      </c>
      <c r="H17" s="40">
        <f t="shared" si="0"/>
        <v>0</v>
      </c>
      <c r="I17" s="40">
        <f t="shared" si="1"/>
        <v>0</v>
      </c>
      <c r="J17" s="40">
        <f t="shared" si="2"/>
        <v>0</v>
      </c>
      <c r="K17" s="40">
        <v>0</v>
      </c>
      <c r="L17" s="40">
        <f t="shared" si="3"/>
        <v>0</v>
      </c>
      <c r="M17" s="41"/>
      <c r="N17" s="41" t="s">
        <v>47</v>
      </c>
      <c r="O17" s="40">
        <f t="shared" si="4"/>
        <v>0</v>
      </c>
      <c r="Z17" s="40">
        <f t="shared" si="5"/>
        <v>0</v>
      </c>
      <c r="AA17" s="40">
        <f t="shared" si="6"/>
        <v>0</v>
      </c>
      <c r="AB17" s="40">
        <f t="shared" si="7"/>
        <v>0</v>
      </c>
      <c r="AD17" s="40">
        <v>21</v>
      </c>
      <c r="AE17" s="40">
        <f t="shared" si="8"/>
        <v>0</v>
      </c>
      <c r="AF17" s="40">
        <f t="shared" si="9"/>
        <v>0</v>
      </c>
    </row>
    <row r="18" spans="1:32" ht="12.75">
      <c r="A18" s="10" t="s">
        <v>63</v>
      </c>
      <c r="B18" s="10"/>
      <c r="C18" s="10" t="s">
        <v>64</v>
      </c>
      <c r="D18" s="10" t="s">
        <v>65</v>
      </c>
      <c r="E18" s="10" t="s">
        <v>50</v>
      </c>
      <c r="F18" s="40">
        <v>1</v>
      </c>
      <c r="G18" s="40">
        <v>0</v>
      </c>
      <c r="H18" s="40">
        <f t="shared" si="0"/>
        <v>0</v>
      </c>
      <c r="I18" s="40">
        <f t="shared" si="1"/>
        <v>0</v>
      </c>
      <c r="J18" s="40">
        <f t="shared" si="2"/>
        <v>0</v>
      </c>
      <c r="K18" s="40">
        <v>0</v>
      </c>
      <c r="L18" s="40">
        <f t="shared" si="3"/>
        <v>0</v>
      </c>
      <c r="M18" s="41"/>
      <c r="N18" s="41" t="s">
        <v>47</v>
      </c>
      <c r="O18" s="40">
        <f t="shared" si="4"/>
        <v>0</v>
      </c>
      <c r="Z18" s="40">
        <f t="shared" si="5"/>
        <v>0</v>
      </c>
      <c r="AA18" s="40">
        <f t="shared" si="6"/>
        <v>0</v>
      </c>
      <c r="AB18" s="40">
        <f t="shared" si="7"/>
        <v>0</v>
      </c>
      <c r="AD18" s="40">
        <v>21</v>
      </c>
      <c r="AE18" s="40">
        <f t="shared" si="8"/>
        <v>0</v>
      </c>
      <c r="AF18" s="40">
        <f t="shared" si="9"/>
        <v>0</v>
      </c>
    </row>
    <row r="19" spans="1:37" ht="12.75">
      <c r="A19" s="42"/>
      <c r="B19" s="43"/>
      <c r="C19" s="43" t="s">
        <v>66</v>
      </c>
      <c r="D19" s="43" t="s">
        <v>67</v>
      </c>
      <c r="E19" s="43"/>
      <c r="F19" s="43"/>
      <c r="G19" s="43"/>
      <c r="H19" s="39">
        <f>SUM(H20:H23)</f>
        <v>0</v>
      </c>
      <c r="I19" s="39">
        <f>SUM(I20:I23)</f>
        <v>0</v>
      </c>
      <c r="J19" s="39">
        <f>H19+I19</f>
        <v>0</v>
      </c>
      <c r="K19" s="34"/>
      <c r="L19" s="39">
        <f>SUM(L20:L23)</f>
        <v>2.27556</v>
      </c>
      <c r="M19" s="34"/>
      <c r="P19" s="39">
        <f>IF(Q19="PR",J19,SUM(O20:O23))</f>
        <v>0</v>
      </c>
      <c r="Q19" s="34" t="s">
        <v>46</v>
      </c>
      <c r="R19" s="39">
        <f>IF(Q19="HS",H19,0)</f>
        <v>0</v>
      </c>
      <c r="S19" s="39">
        <f>IF(Q19="HS",I19-P19,0)</f>
        <v>0</v>
      </c>
      <c r="T19" s="39">
        <f>IF(Q19="PS",H19,0)</f>
        <v>0</v>
      </c>
      <c r="U19" s="39">
        <f>IF(Q19="PS",I19-P19,0)</f>
        <v>0</v>
      </c>
      <c r="V19" s="39">
        <f>IF(Q19="MP",H19,0)</f>
        <v>0</v>
      </c>
      <c r="W19" s="39">
        <f>IF(Q19="MP",I19-P19,0)</f>
        <v>0</v>
      </c>
      <c r="X19" s="39">
        <f>IF(Q19="OM",H19,0)</f>
        <v>0</v>
      </c>
      <c r="Y19" s="34"/>
      <c r="AI19" s="39">
        <f>SUM(Z20:Z23)</f>
        <v>0</v>
      </c>
      <c r="AJ19" s="39">
        <f>SUM(AA20:AA23)</f>
        <v>0</v>
      </c>
      <c r="AK19" s="39">
        <f>SUM(AB20:AB23)</f>
        <v>0</v>
      </c>
    </row>
    <row r="20" spans="1:32" ht="12.75">
      <c r="A20" s="10" t="s">
        <v>68</v>
      </c>
      <c r="B20" s="10"/>
      <c r="C20" s="10" t="s">
        <v>69</v>
      </c>
      <c r="D20" s="10" t="s">
        <v>70</v>
      </c>
      <c r="E20" s="10" t="s">
        <v>71</v>
      </c>
      <c r="F20" s="40">
        <v>8.82</v>
      </c>
      <c r="G20" s="40">
        <v>0</v>
      </c>
      <c r="H20" s="40">
        <f>ROUND(F20*AE20,2)</f>
        <v>0</v>
      </c>
      <c r="I20" s="40">
        <f>J20-H20</f>
        <v>0</v>
      </c>
      <c r="J20" s="40">
        <f>ROUND(F20*G20,2)</f>
        <v>0</v>
      </c>
      <c r="K20" s="40">
        <v>0.16</v>
      </c>
      <c r="L20" s="40">
        <f>F20*K20</f>
        <v>1.4112</v>
      </c>
      <c r="M20" s="41" t="s">
        <v>72</v>
      </c>
      <c r="N20" s="41" t="s">
        <v>47</v>
      </c>
      <c r="O20" s="40">
        <f>IF(N20="5",I20,0)</f>
        <v>0</v>
      </c>
      <c r="Z20" s="40">
        <f>IF(AD20=0,J20,0)</f>
        <v>0</v>
      </c>
      <c r="AA20" s="40">
        <f>IF(AD20=15,J20,0)</f>
        <v>0</v>
      </c>
      <c r="AB20" s="40">
        <f>IF(AD20=21,J20,0)</f>
        <v>0</v>
      </c>
      <c r="AD20" s="40">
        <v>21</v>
      </c>
      <c r="AE20" s="40">
        <f>G20*0</f>
        <v>0</v>
      </c>
      <c r="AF20" s="40">
        <f>G20*(1-0)</f>
        <v>0</v>
      </c>
    </row>
    <row r="21" spans="4:6" ht="12.75">
      <c r="D21" s="44" t="s">
        <v>73</v>
      </c>
      <c r="F21" s="45">
        <v>1.68</v>
      </c>
    </row>
    <row r="22" spans="4:6" ht="12.75">
      <c r="D22" s="44" t="s">
        <v>74</v>
      </c>
      <c r="F22" s="45">
        <v>7.14</v>
      </c>
    </row>
    <row r="23" spans="1:32" ht="12.75">
      <c r="A23" s="10" t="s">
        <v>75</v>
      </c>
      <c r="B23" s="10"/>
      <c r="C23" s="10" t="s">
        <v>76</v>
      </c>
      <c r="D23" s="10" t="s">
        <v>77</v>
      </c>
      <c r="E23" s="10" t="s">
        <v>71</v>
      </c>
      <c r="F23" s="40">
        <v>8.82</v>
      </c>
      <c r="G23" s="40">
        <v>0</v>
      </c>
      <c r="H23" s="40">
        <f>ROUND(F23*AE23,2)</f>
        <v>0</v>
      </c>
      <c r="I23" s="40">
        <f>J23-H23</f>
        <v>0</v>
      </c>
      <c r="J23" s="40">
        <f>ROUND(F23*G23,2)</f>
        <v>0</v>
      </c>
      <c r="K23" s="40">
        <v>0.098</v>
      </c>
      <c r="L23" s="40">
        <f>F23*K23</f>
        <v>0.86436</v>
      </c>
      <c r="M23" s="41" t="s">
        <v>72</v>
      </c>
      <c r="N23" s="41" t="s">
        <v>47</v>
      </c>
      <c r="O23" s="40">
        <f>IF(N23="5",I23,0)</f>
        <v>0</v>
      </c>
      <c r="Z23" s="40">
        <f>IF(AD23=0,J23,0)</f>
        <v>0</v>
      </c>
      <c r="AA23" s="40">
        <f>IF(AD23=15,J23,0)</f>
        <v>0</v>
      </c>
      <c r="AB23" s="40">
        <f>IF(AD23=21,J23,0)</f>
        <v>0</v>
      </c>
      <c r="AD23" s="40">
        <v>21</v>
      </c>
      <c r="AE23" s="40">
        <f>G23*0</f>
        <v>0</v>
      </c>
      <c r="AF23" s="40">
        <f>G23*(1-0)</f>
        <v>0</v>
      </c>
    </row>
    <row r="24" spans="4:6" ht="12.75">
      <c r="D24" s="44" t="s">
        <v>73</v>
      </c>
      <c r="F24" s="45">
        <v>1.68</v>
      </c>
    </row>
    <row r="25" spans="4:6" ht="12.75">
      <c r="D25" s="44" t="s">
        <v>74</v>
      </c>
      <c r="F25" s="45">
        <v>7.14</v>
      </c>
    </row>
    <row r="26" spans="1:37" ht="12.75">
      <c r="A26" s="42"/>
      <c r="B26" s="43"/>
      <c r="C26" s="43" t="s">
        <v>78</v>
      </c>
      <c r="D26" s="43" t="s">
        <v>79</v>
      </c>
      <c r="E26" s="43"/>
      <c r="F26" s="43"/>
      <c r="G26" s="43"/>
      <c r="H26" s="39">
        <f>SUM(H27:H27)</f>
        <v>0</v>
      </c>
      <c r="I26" s="39">
        <f>SUM(I27:I27)</f>
        <v>0</v>
      </c>
      <c r="J26" s="39">
        <f>H26+I26</f>
        <v>0</v>
      </c>
      <c r="K26" s="34"/>
      <c r="L26" s="39">
        <f>SUM(L27:L27)</f>
        <v>0</v>
      </c>
      <c r="M26" s="34"/>
      <c r="P26" s="39">
        <f>IF(Q26="PR",J26,SUM(O27:O27))</f>
        <v>0</v>
      </c>
      <c r="Q26" s="34" t="s">
        <v>46</v>
      </c>
      <c r="R26" s="39">
        <f>IF(Q26="HS",H26,0)</f>
        <v>0</v>
      </c>
      <c r="S26" s="39">
        <f>IF(Q26="HS",I26-P26,0)</f>
        <v>0</v>
      </c>
      <c r="T26" s="39">
        <f>IF(Q26="PS",H26,0)</f>
        <v>0</v>
      </c>
      <c r="U26" s="39">
        <f>IF(Q26="PS",I26-P26,0)</f>
        <v>0</v>
      </c>
      <c r="V26" s="39">
        <f>IF(Q26="MP",H26,0)</f>
        <v>0</v>
      </c>
      <c r="W26" s="39">
        <f>IF(Q26="MP",I26-P26,0)</f>
        <v>0</v>
      </c>
      <c r="X26" s="39">
        <f>IF(Q26="OM",H26,0)</f>
        <v>0</v>
      </c>
      <c r="Y26" s="34"/>
      <c r="AI26" s="39">
        <f>SUM(Z27:Z27)</f>
        <v>0</v>
      </c>
      <c r="AJ26" s="39">
        <f>SUM(AA27:AA27)</f>
        <v>0</v>
      </c>
      <c r="AK26" s="39">
        <f>SUM(AB27:AB27)</f>
        <v>0</v>
      </c>
    </row>
    <row r="27" spans="1:32" ht="12.75">
      <c r="A27" s="10" t="s">
        <v>80</v>
      </c>
      <c r="B27" s="10"/>
      <c r="C27" s="10" t="s">
        <v>81</v>
      </c>
      <c r="D27" s="10" t="s">
        <v>82</v>
      </c>
      <c r="E27" s="10" t="s">
        <v>83</v>
      </c>
      <c r="F27" s="40">
        <v>7.96</v>
      </c>
      <c r="G27" s="40">
        <v>0</v>
      </c>
      <c r="H27" s="40">
        <f>ROUND(F27*AE27,2)</f>
        <v>0</v>
      </c>
      <c r="I27" s="40">
        <f>J27-H27</f>
        <v>0</v>
      </c>
      <c r="J27" s="40">
        <f>ROUND(F27*G27,2)</f>
        <v>0</v>
      </c>
      <c r="K27" s="40">
        <v>0</v>
      </c>
      <c r="L27" s="40">
        <f>F27*K27</f>
        <v>0</v>
      </c>
      <c r="M27" s="41" t="s">
        <v>72</v>
      </c>
      <c r="N27" s="41" t="s">
        <v>47</v>
      </c>
      <c r="O27" s="40">
        <f>IF(N27="5",I27,0)</f>
        <v>0</v>
      </c>
      <c r="Z27" s="40">
        <f>IF(AD27=0,J27,0)</f>
        <v>0</v>
      </c>
      <c r="AA27" s="40">
        <f>IF(AD27=15,J27,0)</f>
        <v>0</v>
      </c>
      <c r="AB27" s="40">
        <f>IF(AD27=21,J27,0)</f>
        <v>0</v>
      </c>
      <c r="AD27" s="40">
        <v>21</v>
      </c>
      <c r="AE27" s="40">
        <f>G27*0</f>
        <v>0</v>
      </c>
      <c r="AF27" s="40">
        <f>G27*(1-0)</f>
        <v>0</v>
      </c>
    </row>
    <row r="28" spans="4:6" ht="12.75">
      <c r="D28" s="44" t="s">
        <v>84</v>
      </c>
      <c r="F28" s="45">
        <v>7.96</v>
      </c>
    </row>
    <row r="29" spans="1:37" ht="12.75">
      <c r="A29" s="42"/>
      <c r="B29" s="43"/>
      <c r="C29" s="43" t="s">
        <v>85</v>
      </c>
      <c r="D29" s="43" t="s">
        <v>86</v>
      </c>
      <c r="E29" s="43"/>
      <c r="F29" s="43"/>
      <c r="G29" s="43"/>
      <c r="H29" s="39">
        <f>SUM(H30:H30)</f>
        <v>0</v>
      </c>
      <c r="I29" s="39">
        <f>SUM(I30:I30)</f>
        <v>0</v>
      </c>
      <c r="J29" s="39">
        <f>H29+I29</f>
        <v>0</v>
      </c>
      <c r="K29" s="34"/>
      <c r="L29" s="39">
        <f>SUM(L30:L30)</f>
        <v>0</v>
      </c>
      <c r="M29" s="34"/>
      <c r="P29" s="39">
        <f>IF(Q29="PR",J29,SUM(O30:O30))</f>
        <v>0</v>
      </c>
      <c r="Q29" s="34" t="s">
        <v>46</v>
      </c>
      <c r="R29" s="39">
        <f>IF(Q29="HS",H29,0)</f>
        <v>0</v>
      </c>
      <c r="S29" s="39">
        <f>IF(Q29="HS",I29-P29,0)</f>
        <v>0</v>
      </c>
      <c r="T29" s="39">
        <f>IF(Q29="PS",H29,0)</f>
        <v>0</v>
      </c>
      <c r="U29" s="39">
        <f>IF(Q29="PS",I29-P29,0)</f>
        <v>0</v>
      </c>
      <c r="V29" s="39">
        <f>IF(Q29="MP",H29,0)</f>
        <v>0</v>
      </c>
      <c r="W29" s="39">
        <f>IF(Q29="MP",I29-P29,0)</f>
        <v>0</v>
      </c>
      <c r="X29" s="39">
        <f>IF(Q29="OM",H29,0)</f>
        <v>0</v>
      </c>
      <c r="Y29" s="34"/>
      <c r="AI29" s="39">
        <f>SUM(Z30:Z30)</f>
        <v>0</v>
      </c>
      <c r="AJ29" s="39">
        <f>SUM(AA30:AA30)</f>
        <v>0</v>
      </c>
      <c r="AK29" s="39">
        <f>SUM(AB30:AB30)</f>
        <v>0</v>
      </c>
    </row>
    <row r="30" spans="1:32" ht="12.75">
      <c r="A30" s="10" t="s">
        <v>87</v>
      </c>
      <c r="B30" s="10"/>
      <c r="C30" s="10" t="s">
        <v>88</v>
      </c>
      <c r="D30" s="10" t="s">
        <v>89</v>
      </c>
      <c r="E30" s="10" t="s">
        <v>83</v>
      </c>
      <c r="F30" s="40">
        <v>5.97</v>
      </c>
      <c r="G30" s="40">
        <v>0</v>
      </c>
      <c r="H30" s="40">
        <f>ROUND(F30*AE30,2)</f>
        <v>0</v>
      </c>
      <c r="I30" s="40">
        <f>J30-H30</f>
        <v>0</v>
      </c>
      <c r="J30" s="40">
        <f>ROUND(F30*G30,2)</f>
        <v>0</v>
      </c>
      <c r="K30" s="40">
        <v>0</v>
      </c>
      <c r="L30" s="40">
        <f>F30*K30</f>
        <v>0</v>
      </c>
      <c r="M30" s="41" t="s">
        <v>72</v>
      </c>
      <c r="N30" s="41" t="s">
        <v>54</v>
      </c>
      <c r="O30" s="40">
        <f>IF(N30="5",I30,0)</f>
        <v>0</v>
      </c>
      <c r="Z30" s="40">
        <f>IF(AD30=0,J30,0)</f>
        <v>0</v>
      </c>
      <c r="AA30" s="40">
        <f>IF(AD30=15,J30,0)</f>
        <v>0</v>
      </c>
      <c r="AB30" s="40">
        <f>IF(AD30=21,J30,0)</f>
        <v>0</v>
      </c>
      <c r="AD30" s="40">
        <v>21</v>
      </c>
      <c r="AE30" s="40">
        <f>G30*0</f>
        <v>0</v>
      </c>
      <c r="AF30" s="40">
        <f>G30*(1-0)</f>
        <v>0</v>
      </c>
    </row>
    <row r="31" spans="4:6" ht="12.75">
      <c r="D31" s="44" t="s">
        <v>90</v>
      </c>
      <c r="F31" s="45">
        <v>5.97</v>
      </c>
    </row>
    <row r="32" spans="1:37" ht="12.75">
      <c r="A32" s="42"/>
      <c r="B32" s="43"/>
      <c r="C32" s="43" t="s">
        <v>91</v>
      </c>
      <c r="D32" s="43" t="s">
        <v>92</v>
      </c>
      <c r="E32" s="43"/>
      <c r="F32" s="43"/>
      <c r="G32" s="43"/>
      <c r="H32" s="39">
        <f>SUM(H33:H33)</f>
        <v>0</v>
      </c>
      <c r="I32" s="39">
        <f>SUM(I33:I33)</f>
        <v>0</v>
      </c>
      <c r="J32" s="39">
        <f>H32+I32</f>
        <v>0</v>
      </c>
      <c r="K32" s="34"/>
      <c r="L32" s="39">
        <f>SUM(L33:L33)</f>
        <v>0</v>
      </c>
      <c r="M32" s="34"/>
      <c r="P32" s="39">
        <f>IF(Q32="PR",J32,SUM(O33:O33))</f>
        <v>0</v>
      </c>
      <c r="Q32" s="34" t="s">
        <v>46</v>
      </c>
      <c r="R32" s="39">
        <f>IF(Q32="HS",H32,0)</f>
        <v>0</v>
      </c>
      <c r="S32" s="39">
        <f>IF(Q32="HS",I32-P32,0)</f>
        <v>0</v>
      </c>
      <c r="T32" s="39">
        <f>IF(Q32="PS",H32,0)</f>
        <v>0</v>
      </c>
      <c r="U32" s="39">
        <f>IF(Q32="PS",I32-P32,0)</f>
        <v>0</v>
      </c>
      <c r="V32" s="39">
        <f>IF(Q32="MP",H32,0)</f>
        <v>0</v>
      </c>
      <c r="W32" s="39">
        <f>IF(Q32="MP",I32-P32,0)</f>
        <v>0</v>
      </c>
      <c r="X32" s="39">
        <f>IF(Q32="OM",H32,0)</f>
        <v>0</v>
      </c>
      <c r="Y32" s="34"/>
      <c r="AI32" s="39">
        <f>SUM(Z33:Z33)</f>
        <v>0</v>
      </c>
      <c r="AJ32" s="39">
        <f>SUM(AA33:AA33)</f>
        <v>0</v>
      </c>
      <c r="AK32" s="39">
        <f>SUM(AB33:AB33)</f>
        <v>0</v>
      </c>
    </row>
    <row r="33" spans="1:32" ht="12.75">
      <c r="A33" s="10" t="s">
        <v>66</v>
      </c>
      <c r="B33" s="10"/>
      <c r="C33" s="10" t="s">
        <v>93</v>
      </c>
      <c r="D33" s="10" t="s">
        <v>94</v>
      </c>
      <c r="E33" s="10" t="s">
        <v>83</v>
      </c>
      <c r="F33" s="40">
        <v>7.96</v>
      </c>
      <c r="G33" s="40">
        <v>0</v>
      </c>
      <c r="H33" s="40">
        <f>ROUND(F33*AE33,2)</f>
        <v>0</v>
      </c>
      <c r="I33" s="40">
        <f>J33-H33</f>
        <v>0</v>
      </c>
      <c r="J33" s="40">
        <f>ROUND(F33*G33,2)</f>
        <v>0</v>
      </c>
      <c r="K33" s="40">
        <v>0</v>
      </c>
      <c r="L33" s="40">
        <f>F33*K33</f>
        <v>0</v>
      </c>
      <c r="M33" s="41"/>
      <c r="N33" s="41" t="s">
        <v>47</v>
      </c>
      <c r="O33" s="40">
        <f>IF(N33="5",I33,0)</f>
        <v>0</v>
      </c>
      <c r="Z33" s="40">
        <f>IF(AD33=0,J33,0)</f>
        <v>0</v>
      </c>
      <c r="AA33" s="40">
        <f>IF(AD33=15,J33,0)</f>
        <v>0</v>
      </c>
      <c r="AB33" s="40">
        <f>IF(AD33=21,J33,0)</f>
        <v>0</v>
      </c>
      <c r="AD33" s="40">
        <v>21</v>
      </c>
      <c r="AE33" s="40">
        <f>G33*0</f>
        <v>0</v>
      </c>
      <c r="AF33" s="40">
        <f>G33*(1-0)</f>
        <v>0</v>
      </c>
    </row>
    <row r="34" spans="4:6" ht="12.75">
      <c r="D34" s="44" t="s">
        <v>84</v>
      </c>
      <c r="F34" s="45">
        <v>7.96</v>
      </c>
    </row>
    <row r="35" spans="1:37" ht="12.75">
      <c r="A35" s="42"/>
      <c r="B35" s="43"/>
      <c r="C35" s="43" t="s">
        <v>95</v>
      </c>
      <c r="D35" s="43" t="s">
        <v>96</v>
      </c>
      <c r="E35" s="43"/>
      <c r="F35" s="43"/>
      <c r="G35" s="43"/>
      <c r="H35" s="39">
        <f>SUM(H36:H36)</f>
        <v>0</v>
      </c>
      <c r="I35" s="39">
        <f>SUM(I36:I36)</f>
        <v>0</v>
      </c>
      <c r="J35" s="39">
        <f>H35+I35</f>
        <v>0</v>
      </c>
      <c r="K35" s="34"/>
      <c r="L35" s="39">
        <f>SUM(L36:L36)</f>
        <v>0</v>
      </c>
      <c r="M35" s="34"/>
      <c r="P35" s="39">
        <f>IF(Q35="PR",J35,SUM(O36:O36))</f>
        <v>0</v>
      </c>
      <c r="Q35" s="34" t="s">
        <v>46</v>
      </c>
      <c r="R35" s="39">
        <f>IF(Q35="HS",H35,0)</f>
        <v>0</v>
      </c>
      <c r="S35" s="39">
        <f>IF(Q35="HS",I35-P35,0)</f>
        <v>0</v>
      </c>
      <c r="T35" s="39">
        <f>IF(Q35="PS",H35,0)</f>
        <v>0</v>
      </c>
      <c r="U35" s="39">
        <f>IF(Q35="PS",I35-P35,0)</f>
        <v>0</v>
      </c>
      <c r="V35" s="39">
        <f>IF(Q35="MP",H35,0)</f>
        <v>0</v>
      </c>
      <c r="W35" s="39">
        <f>IF(Q35="MP",I35-P35,0)</f>
        <v>0</v>
      </c>
      <c r="X35" s="39">
        <f>IF(Q35="OM",H35,0)</f>
        <v>0</v>
      </c>
      <c r="Y35" s="34"/>
      <c r="AI35" s="39">
        <f>SUM(Z36:Z36)</f>
        <v>0</v>
      </c>
      <c r="AJ35" s="39">
        <f>SUM(AA36:AA36)</f>
        <v>0</v>
      </c>
      <c r="AK35" s="39">
        <f>SUM(AB36:AB36)</f>
        <v>0</v>
      </c>
    </row>
    <row r="36" spans="1:32" ht="12.75">
      <c r="A36" s="10" t="s">
        <v>78</v>
      </c>
      <c r="B36" s="10"/>
      <c r="C36" s="10" t="s">
        <v>97</v>
      </c>
      <c r="D36" s="10" t="s">
        <v>98</v>
      </c>
      <c r="E36" s="10" t="s">
        <v>71</v>
      </c>
      <c r="F36" s="40">
        <v>159.2</v>
      </c>
      <c r="G36" s="40">
        <v>0</v>
      </c>
      <c r="H36" s="40">
        <f>ROUND(F36*AE36,2)</f>
        <v>0</v>
      </c>
      <c r="I36" s="40">
        <f>J36-H36</f>
        <v>0</v>
      </c>
      <c r="J36" s="40">
        <f>ROUND(F36*G36,2)</f>
        <v>0</v>
      </c>
      <c r="K36" s="40">
        <v>0</v>
      </c>
      <c r="L36" s="40">
        <f>F36*K36</f>
        <v>0</v>
      </c>
      <c r="M36" s="41" t="s">
        <v>72</v>
      </c>
      <c r="N36" s="41" t="s">
        <v>47</v>
      </c>
      <c r="O36" s="40">
        <f>IF(N36="5",I36,0)</f>
        <v>0</v>
      </c>
      <c r="Z36" s="40">
        <f>IF(AD36=0,J36,0)</f>
        <v>0</v>
      </c>
      <c r="AA36" s="40">
        <f>IF(AD36=15,J36,0)</f>
        <v>0</v>
      </c>
      <c r="AB36" s="40">
        <f>IF(AD36=21,J36,0)</f>
        <v>0</v>
      </c>
      <c r="AD36" s="40">
        <v>21</v>
      </c>
      <c r="AE36" s="40">
        <f>G36*0.0428865979381443</f>
        <v>0</v>
      </c>
      <c r="AF36" s="40">
        <f>G36*(1-0.0428865979381443)</f>
        <v>0</v>
      </c>
    </row>
    <row r="37" spans="4:6" ht="12.75">
      <c r="D37" s="44" t="s">
        <v>99</v>
      </c>
      <c r="F37" s="45">
        <v>159.2</v>
      </c>
    </row>
    <row r="38" spans="1:37" ht="12.75">
      <c r="A38" s="42"/>
      <c r="B38" s="43"/>
      <c r="C38" s="43" t="s">
        <v>100</v>
      </c>
      <c r="D38" s="43" t="s">
        <v>101</v>
      </c>
      <c r="E38" s="43"/>
      <c r="F38" s="43"/>
      <c r="G38" s="43"/>
      <c r="H38" s="39">
        <f>SUM(H39:H47)</f>
        <v>0</v>
      </c>
      <c r="I38" s="39">
        <f>SUM(I39:I47)</f>
        <v>0</v>
      </c>
      <c r="J38" s="39">
        <f>H38+I38</f>
        <v>0</v>
      </c>
      <c r="K38" s="34"/>
      <c r="L38" s="39">
        <f>SUM(L39:L47)</f>
        <v>4.0922665</v>
      </c>
      <c r="M38" s="34"/>
      <c r="P38" s="39">
        <f>IF(Q38="PR",J38,SUM(O39:O47))</f>
        <v>0</v>
      </c>
      <c r="Q38" s="34" t="s">
        <v>46</v>
      </c>
      <c r="R38" s="39">
        <f>IF(Q38="HS",H38,0)</f>
        <v>0</v>
      </c>
      <c r="S38" s="39">
        <f>IF(Q38="HS",I38-P38,0)</f>
        <v>0</v>
      </c>
      <c r="T38" s="39">
        <f>IF(Q38="PS",H38,0)</f>
        <v>0</v>
      </c>
      <c r="U38" s="39">
        <f>IF(Q38="PS",I38-P38,0)</f>
        <v>0</v>
      </c>
      <c r="V38" s="39">
        <f>IF(Q38="MP",H38,0)</f>
        <v>0</v>
      </c>
      <c r="W38" s="39">
        <f>IF(Q38="MP",I38-P38,0)</f>
        <v>0</v>
      </c>
      <c r="X38" s="39">
        <f>IF(Q38="OM",H38,0)</f>
        <v>0</v>
      </c>
      <c r="Y38" s="34"/>
      <c r="AI38" s="39">
        <f>SUM(Z39:Z47)</f>
        <v>0</v>
      </c>
      <c r="AJ38" s="39">
        <f>SUM(AA39:AA47)</f>
        <v>0</v>
      </c>
      <c r="AK38" s="39">
        <f>SUM(AB39:AB47)</f>
        <v>0</v>
      </c>
    </row>
    <row r="39" spans="1:32" ht="12.75">
      <c r="A39" s="10" t="s">
        <v>85</v>
      </c>
      <c r="B39" s="10"/>
      <c r="C39" s="10" t="s">
        <v>102</v>
      </c>
      <c r="D39" s="10" t="s">
        <v>103</v>
      </c>
      <c r="E39" s="10" t="s">
        <v>83</v>
      </c>
      <c r="F39" s="40">
        <v>0.43</v>
      </c>
      <c r="G39" s="40">
        <v>0</v>
      </c>
      <c r="H39" s="40">
        <f>ROUND(F39*AE39,2)</f>
        <v>0</v>
      </c>
      <c r="I39" s="40">
        <f>J39-H39</f>
        <v>0</v>
      </c>
      <c r="J39" s="40">
        <f>ROUND(F39*G39,2)</f>
        <v>0</v>
      </c>
      <c r="K39" s="40">
        <v>2.4196</v>
      </c>
      <c r="L39" s="40">
        <f>F39*K39</f>
        <v>1.040428</v>
      </c>
      <c r="M39" s="41" t="s">
        <v>72</v>
      </c>
      <c r="N39" s="41" t="s">
        <v>47</v>
      </c>
      <c r="O39" s="40">
        <f>IF(N39="5",I39,0)</f>
        <v>0</v>
      </c>
      <c r="Z39" s="40">
        <f>IF(AD39=0,J39,0)</f>
        <v>0</v>
      </c>
      <c r="AA39" s="40">
        <f>IF(AD39=15,J39,0)</f>
        <v>0</v>
      </c>
      <c r="AB39" s="40">
        <f>IF(AD39=21,J39,0)</f>
        <v>0</v>
      </c>
      <c r="AD39" s="40">
        <v>21</v>
      </c>
      <c r="AE39" s="40">
        <f>G39*0.889877100126873</f>
        <v>0</v>
      </c>
      <c r="AF39" s="40">
        <f>G39*(1-0.889877100126873)</f>
        <v>0</v>
      </c>
    </row>
    <row r="40" spans="4:6" ht="12.75">
      <c r="D40" s="44" t="s">
        <v>104</v>
      </c>
      <c r="F40" s="45">
        <v>0.43</v>
      </c>
    </row>
    <row r="41" spans="1:32" ht="12.75">
      <c r="A41" s="10" t="s">
        <v>105</v>
      </c>
      <c r="B41" s="10"/>
      <c r="C41" s="10" t="s">
        <v>106</v>
      </c>
      <c r="D41" s="10" t="s">
        <v>107</v>
      </c>
      <c r="E41" s="10" t="s">
        <v>108</v>
      </c>
      <c r="F41" s="40">
        <v>2.85</v>
      </c>
      <c r="G41" s="40">
        <v>0</v>
      </c>
      <c r="H41" s="40">
        <f>ROUND(F41*AE41,2)</f>
        <v>0</v>
      </c>
      <c r="I41" s="40">
        <f>J41-H41</f>
        <v>0</v>
      </c>
      <c r="J41" s="40">
        <f>ROUND(F41*G41,2)</f>
        <v>0</v>
      </c>
      <c r="K41" s="40">
        <v>1.00216</v>
      </c>
      <c r="L41" s="40">
        <f>F41*K41</f>
        <v>2.856156</v>
      </c>
      <c r="M41" s="41"/>
      <c r="N41" s="41" t="s">
        <v>47</v>
      </c>
      <c r="O41" s="40">
        <f>IF(N41="5",I41,0)</f>
        <v>0</v>
      </c>
      <c r="Z41" s="40">
        <f>IF(AD41=0,J41,0)</f>
        <v>0</v>
      </c>
      <c r="AA41" s="40">
        <f>IF(AD41=15,J41,0)</f>
        <v>0</v>
      </c>
      <c r="AB41" s="40">
        <f>IF(AD41=21,J41,0)</f>
        <v>0</v>
      </c>
      <c r="AD41" s="40">
        <v>21</v>
      </c>
      <c r="AE41" s="40">
        <f>G41*0.872340425531915</f>
        <v>0</v>
      </c>
      <c r="AF41" s="40">
        <f>G41*(1-0.872340425531915)</f>
        <v>0</v>
      </c>
    </row>
    <row r="42" spans="4:6" ht="12.75">
      <c r="D42" s="44" t="s">
        <v>109</v>
      </c>
      <c r="F42" s="45">
        <v>2.85</v>
      </c>
    </row>
    <row r="43" spans="1:32" ht="12.75">
      <c r="A43" s="10" t="s">
        <v>110</v>
      </c>
      <c r="B43" s="10"/>
      <c r="C43" s="10" t="s">
        <v>111</v>
      </c>
      <c r="D43" s="10" t="s">
        <v>112</v>
      </c>
      <c r="E43" s="10" t="s">
        <v>113</v>
      </c>
      <c r="F43" s="40">
        <v>0.03</v>
      </c>
      <c r="G43" s="40">
        <v>0</v>
      </c>
      <c r="H43" s="40">
        <f>ROUND(F43*AE43,2)</f>
        <v>0</v>
      </c>
      <c r="I43" s="40">
        <f>J43-H43</f>
        <v>0</v>
      </c>
      <c r="J43" s="40">
        <f>ROUND(F43*G43,2)</f>
        <v>0</v>
      </c>
      <c r="K43" s="40">
        <v>0.8957</v>
      </c>
      <c r="L43" s="40">
        <f>F43*K43</f>
        <v>0.026871</v>
      </c>
      <c r="M43" s="41" t="s">
        <v>72</v>
      </c>
      <c r="N43" s="41" t="s">
        <v>47</v>
      </c>
      <c r="O43" s="40">
        <f>IF(N43="5",I43,0)</f>
        <v>0</v>
      </c>
      <c r="Z43" s="40">
        <f>IF(AD43=0,J43,0)</f>
        <v>0</v>
      </c>
      <c r="AA43" s="40">
        <f>IF(AD43=15,J43,0)</f>
        <v>0</v>
      </c>
      <c r="AB43" s="40">
        <f>IF(AD43=21,J43,0)</f>
        <v>0</v>
      </c>
      <c r="AD43" s="40">
        <v>21</v>
      </c>
      <c r="AE43" s="40">
        <f>G43*0.597795016280641</f>
        <v>0</v>
      </c>
      <c r="AF43" s="40">
        <f>G43*(1-0.597795016280641)</f>
        <v>0</v>
      </c>
    </row>
    <row r="44" spans="4:6" ht="12.75">
      <c r="D44" s="44" t="s">
        <v>114</v>
      </c>
      <c r="F44" s="45">
        <v>0.03</v>
      </c>
    </row>
    <row r="45" spans="1:32" ht="12.75">
      <c r="A45" s="10" t="s">
        <v>115</v>
      </c>
      <c r="B45" s="10"/>
      <c r="C45" s="10" t="s">
        <v>116</v>
      </c>
      <c r="D45" s="10" t="s">
        <v>117</v>
      </c>
      <c r="E45" s="10" t="s">
        <v>71</v>
      </c>
      <c r="F45" s="40">
        <v>4.29</v>
      </c>
      <c r="G45" s="40">
        <v>0</v>
      </c>
      <c r="H45" s="40">
        <f>ROUND(F45*AE45,2)</f>
        <v>0</v>
      </c>
      <c r="I45" s="40">
        <f>J45-H45</f>
        <v>0</v>
      </c>
      <c r="J45" s="40">
        <f>ROUND(F45*G45,2)</f>
        <v>0</v>
      </c>
      <c r="K45" s="40">
        <v>0.03935</v>
      </c>
      <c r="L45" s="40">
        <f>F45*K45</f>
        <v>0.1688115</v>
      </c>
      <c r="M45" s="41" t="s">
        <v>72</v>
      </c>
      <c r="N45" s="41" t="s">
        <v>47</v>
      </c>
      <c r="O45" s="40">
        <f>IF(N45="5",I45,0)</f>
        <v>0</v>
      </c>
      <c r="Z45" s="40">
        <f>IF(AD45=0,J45,0)</f>
        <v>0</v>
      </c>
      <c r="AA45" s="40">
        <f>IF(AD45=15,J45,0)</f>
        <v>0</v>
      </c>
      <c r="AB45" s="40">
        <f>IF(AD45=21,J45,0)</f>
        <v>0</v>
      </c>
      <c r="AD45" s="40">
        <v>21</v>
      </c>
      <c r="AE45" s="40">
        <f>G45*0.315403543307087</f>
        <v>0</v>
      </c>
      <c r="AF45" s="40">
        <f>G45*(1-0.315403543307087)</f>
        <v>0</v>
      </c>
    </row>
    <row r="46" spans="4:6" ht="12.75">
      <c r="D46" s="44" t="s">
        <v>118</v>
      </c>
      <c r="F46" s="45">
        <v>4.29</v>
      </c>
    </row>
    <row r="47" spans="1:32" ht="12.75">
      <c r="A47" s="10" t="s">
        <v>91</v>
      </c>
      <c r="B47" s="10"/>
      <c r="C47" s="10" t="s">
        <v>119</v>
      </c>
      <c r="D47" s="10" t="s">
        <v>120</v>
      </c>
      <c r="E47" s="10" t="s">
        <v>71</v>
      </c>
      <c r="F47" s="40">
        <v>4.29</v>
      </c>
      <c r="G47" s="40">
        <v>0</v>
      </c>
      <c r="H47" s="40">
        <f>ROUND(F47*AE47,2)</f>
        <v>0</v>
      </c>
      <c r="I47" s="40">
        <f>J47-H47</f>
        <v>0</v>
      </c>
      <c r="J47" s="40">
        <f>ROUND(F47*G47,2)</f>
        <v>0</v>
      </c>
      <c r="K47" s="40">
        <v>0</v>
      </c>
      <c r="L47" s="40">
        <f>F47*K47</f>
        <v>0</v>
      </c>
      <c r="M47" s="41" t="s">
        <v>72</v>
      </c>
      <c r="N47" s="41" t="s">
        <v>47</v>
      </c>
      <c r="O47" s="40">
        <f>IF(N47="5",I47,0)</f>
        <v>0</v>
      </c>
      <c r="Z47" s="40">
        <f>IF(AD47=0,J47,0)</f>
        <v>0</v>
      </c>
      <c r="AA47" s="40">
        <f>IF(AD47=15,J47,0)</f>
        <v>0</v>
      </c>
      <c r="AB47" s="40">
        <f>IF(AD47=21,J47,0)</f>
        <v>0</v>
      </c>
      <c r="AD47" s="40">
        <v>21</v>
      </c>
      <c r="AE47" s="40">
        <f>G47*0</f>
        <v>0</v>
      </c>
      <c r="AF47" s="40">
        <f>G47*(1-0)</f>
        <v>0</v>
      </c>
    </row>
    <row r="48" spans="4:6" ht="12.75">
      <c r="D48" s="44" t="s">
        <v>118</v>
      </c>
      <c r="F48" s="45">
        <v>4.29</v>
      </c>
    </row>
    <row r="49" spans="1:37" ht="12.75">
      <c r="A49" s="42"/>
      <c r="B49" s="43"/>
      <c r="C49" s="43" t="s">
        <v>121</v>
      </c>
      <c r="D49" s="43" t="s">
        <v>122</v>
      </c>
      <c r="E49" s="43"/>
      <c r="F49" s="43"/>
      <c r="G49" s="43"/>
      <c r="H49" s="39">
        <f>SUM(H50:H50)</f>
        <v>0</v>
      </c>
      <c r="I49" s="39">
        <f>SUM(I50:I50)</f>
        <v>0</v>
      </c>
      <c r="J49" s="39">
        <f>H49+I49</f>
        <v>0</v>
      </c>
      <c r="K49" s="34"/>
      <c r="L49" s="39">
        <f>SUM(L50:L50)</f>
        <v>0.9506016</v>
      </c>
      <c r="M49" s="34"/>
      <c r="P49" s="39">
        <f>IF(Q49="PR",J49,SUM(O50:O50))</f>
        <v>0</v>
      </c>
      <c r="Q49" s="34" t="s">
        <v>46</v>
      </c>
      <c r="R49" s="39">
        <f>IF(Q49="HS",H49,0)</f>
        <v>0</v>
      </c>
      <c r="S49" s="39">
        <f>IF(Q49="HS",I49-P49,0)</f>
        <v>0</v>
      </c>
      <c r="T49" s="39">
        <f>IF(Q49="PS",H49,0)</f>
        <v>0</v>
      </c>
      <c r="U49" s="39">
        <f>IF(Q49="PS",I49-P49,0)</f>
        <v>0</v>
      </c>
      <c r="V49" s="39">
        <f>IF(Q49="MP",H49,0)</f>
        <v>0</v>
      </c>
      <c r="W49" s="39">
        <f>IF(Q49="MP",I49-P49,0)</f>
        <v>0</v>
      </c>
      <c r="X49" s="39">
        <f>IF(Q49="OM",H49,0)</f>
        <v>0</v>
      </c>
      <c r="Y49" s="34"/>
      <c r="AI49" s="39">
        <f>SUM(Z50:Z50)</f>
        <v>0</v>
      </c>
      <c r="AJ49" s="39">
        <f>SUM(AA50:AA50)</f>
        <v>0</v>
      </c>
      <c r="AK49" s="39">
        <f>SUM(AB50:AB50)</f>
        <v>0</v>
      </c>
    </row>
    <row r="50" spans="1:32" ht="12.75">
      <c r="A50" s="10" t="s">
        <v>95</v>
      </c>
      <c r="B50" s="10"/>
      <c r="C50" s="10" t="s">
        <v>123</v>
      </c>
      <c r="D50" s="10" t="s">
        <v>124</v>
      </c>
      <c r="E50" s="10" t="s">
        <v>71</v>
      </c>
      <c r="F50" s="40">
        <v>6.24</v>
      </c>
      <c r="G50" s="40">
        <v>0</v>
      </c>
      <c r="H50" s="40">
        <f>ROUND(F50*AE50,2)</f>
        <v>0</v>
      </c>
      <c r="I50" s="40">
        <f>J50-H50</f>
        <v>0</v>
      </c>
      <c r="J50" s="40">
        <f>ROUND(F50*G50,2)</f>
        <v>0</v>
      </c>
      <c r="K50" s="40">
        <v>0.15234</v>
      </c>
      <c r="L50" s="40">
        <f>F50*K50</f>
        <v>0.9506016</v>
      </c>
      <c r="M50" s="41" t="s">
        <v>72</v>
      </c>
      <c r="N50" s="41" t="s">
        <v>47</v>
      </c>
      <c r="O50" s="40">
        <f>IF(N50="5",I50,0)</f>
        <v>0</v>
      </c>
      <c r="Z50" s="40">
        <f>IF(AD50=0,J50,0)</f>
        <v>0</v>
      </c>
      <c r="AA50" s="40">
        <f>IF(AD50=15,J50,0)</f>
        <v>0</v>
      </c>
      <c r="AB50" s="40">
        <f>IF(AD50=21,J50,0)</f>
        <v>0</v>
      </c>
      <c r="AD50" s="40">
        <v>21</v>
      </c>
      <c r="AE50" s="40">
        <f>G50*0.650799347959382</f>
        <v>0</v>
      </c>
      <c r="AF50" s="40">
        <f>G50*(1-0.650799347959382)</f>
        <v>0</v>
      </c>
    </row>
    <row r="51" spans="4:6" ht="12.75">
      <c r="D51" s="44" t="s">
        <v>125</v>
      </c>
      <c r="F51" s="45">
        <v>6.24</v>
      </c>
    </row>
    <row r="52" spans="1:37" ht="12.75">
      <c r="A52" s="42"/>
      <c r="B52" s="43"/>
      <c r="C52" s="43" t="s">
        <v>126</v>
      </c>
      <c r="D52" s="43" t="s">
        <v>127</v>
      </c>
      <c r="E52" s="43"/>
      <c r="F52" s="43"/>
      <c r="G52" s="43"/>
      <c r="H52" s="39">
        <f>SUM(H53:H64)</f>
        <v>0</v>
      </c>
      <c r="I52" s="39">
        <f>SUM(I53:I64)</f>
        <v>0</v>
      </c>
      <c r="J52" s="39">
        <f>H52+I52</f>
        <v>0</v>
      </c>
      <c r="K52" s="34"/>
      <c r="L52" s="39">
        <f>SUM(L53:L64)</f>
        <v>4.771274</v>
      </c>
      <c r="M52" s="34"/>
      <c r="P52" s="39">
        <f>IF(Q52="PR",J52,SUM(O53:O64))</f>
        <v>0</v>
      </c>
      <c r="Q52" s="34" t="s">
        <v>46</v>
      </c>
      <c r="R52" s="39">
        <f>IF(Q52="HS",H52,0)</f>
        <v>0</v>
      </c>
      <c r="S52" s="39">
        <f>IF(Q52="HS",I52-P52,0)</f>
        <v>0</v>
      </c>
      <c r="T52" s="39">
        <f>IF(Q52="PS",H52,0)</f>
        <v>0</v>
      </c>
      <c r="U52" s="39">
        <f>IF(Q52="PS",I52-P52,0)</f>
        <v>0</v>
      </c>
      <c r="V52" s="39">
        <f>IF(Q52="MP",H52,0)</f>
        <v>0</v>
      </c>
      <c r="W52" s="39">
        <f>IF(Q52="MP",I52-P52,0)</f>
        <v>0</v>
      </c>
      <c r="X52" s="39">
        <f>IF(Q52="OM",H52,0)</f>
        <v>0</v>
      </c>
      <c r="Y52" s="34"/>
      <c r="AI52" s="39">
        <f>SUM(Z53:Z64)</f>
        <v>0</v>
      </c>
      <c r="AJ52" s="39">
        <f>SUM(AA53:AA64)</f>
        <v>0</v>
      </c>
      <c r="AK52" s="39">
        <f>SUM(AB53:AB64)</f>
        <v>0</v>
      </c>
    </row>
    <row r="53" spans="1:32" ht="12.75">
      <c r="A53" s="10" t="s">
        <v>128</v>
      </c>
      <c r="B53" s="10"/>
      <c r="C53" s="10" t="s">
        <v>129</v>
      </c>
      <c r="D53" s="10" t="s">
        <v>130</v>
      </c>
      <c r="E53" s="10" t="s">
        <v>131</v>
      </c>
      <c r="F53" s="40">
        <v>1</v>
      </c>
      <c r="G53" s="40">
        <v>0</v>
      </c>
      <c r="H53" s="40">
        <f>ROUND(F53*AE53,2)</f>
        <v>0</v>
      </c>
      <c r="I53" s="40">
        <f>J53-H53</f>
        <v>0</v>
      </c>
      <c r="J53" s="40">
        <f>ROUND(F53*G53,2)</f>
        <v>0</v>
      </c>
      <c r="K53" s="40">
        <v>1.838</v>
      </c>
      <c r="L53" s="40">
        <f>F53*K53</f>
        <v>1.838</v>
      </c>
      <c r="M53" s="41" t="s">
        <v>72</v>
      </c>
      <c r="N53" s="41" t="s">
        <v>44</v>
      </c>
      <c r="O53" s="40">
        <f>IF(N53="5",I53,0)</f>
        <v>0</v>
      </c>
      <c r="Z53" s="40">
        <f>IF(AD53=0,J53,0)</f>
        <v>0</v>
      </c>
      <c r="AA53" s="40">
        <f>IF(AD53=15,J53,0)</f>
        <v>0</v>
      </c>
      <c r="AB53" s="40">
        <f>IF(AD53=21,J53,0)</f>
        <v>0</v>
      </c>
      <c r="AD53" s="40">
        <v>21</v>
      </c>
      <c r="AE53" s="40">
        <f>G53*1</f>
        <v>0</v>
      </c>
      <c r="AF53" s="40">
        <f>G53*(1-1)</f>
        <v>0</v>
      </c>
    </row>
    <row r="54" spans="4:6" ht="12.75">
      <c r="D54" s="44" t="s">
        <v>132</v>
      </c>
      <c r="F54" s="45">
        <v>1</v>
      </c>
    </row>
    <row r="55" spans="1:32" ht="12.75">
      <c r="A55" s="10" t="s">
        <v>133</v>
      </c>
      <c r="B55" s="10"/>
      <c r="C55" s="10" t="s">
        <v>134</v>
      </c>
      <c r="D55" s="10" t="s">
        <v>135</v>
      </c>
      <c r="E55" s="10" t="s">
        <v>131</v>
      </c>
      <c r="F55" s="40">
        <v>1</v>
      </c>
      <c r="G55" s="40">
        <v>0</v>
      </c>
      <c r="H55" s="40">
        <f aca="true" t="shared" si="10" ref="H55:H56">ROUND(F55*AE55,2)</f>
        <v>0</v>
      </c>
      <c r="I55" s="40">
        <f aca="true" t="shared" si="11" ref="I55:I56">J55-H55</f>
        <v>0</v>
      </c>
      <c r="J55" s="40">
        <f aca="true" t="shared" si="12" ref="J55:J56">ROUND(F55*G55,2)</f>
        <v>0</v>
      </c>
      <c r="K55" s="40">
        <v>0.09036</v>
      </c>
      <c r="L55" s="40">
        <f aca="true" t="shared" si="13" ref="L55:L56">F55*K55</f>
        <v>0.09036</v>
      </c>
      <c r="M55" s="41" t="s">
        <v>72</v>
      </c>
      <c r="N55" s="41" t="s">
        <v>47</v>
      </c>
      <c r="O55" s="40">
        <f aca="true" t="shared" si="14" ref="O55:O56">IF(N55="5",I55,0)</f>
        <v>0</v>
      </c>
      <c r="Z55" s="40">
        <f aca="true" t="shared" si="15" ref="Z55:Z56">IF(AD55=0,J55,0)</f>
        <v>0</v>
      </c>
      <c r="AA55" s="40">
        <f aca="true" t="shared" si="16" ref="AA55:AA56">IF(AD55=15,J55,0)</f>
        <v>0</v>
      </c>
      <c r="AB55" s="40">
        <f aca="true" t="shared" si="17" ref="AB55:AB56">IF(AD55=21,J55,0)</f>
        <v>0</v>
      </c>
      <c r="AD55" s="40">
        <v>21</v>
      </c>
      <c r="AE55" s="40">
        <f>G55*0.13115939826774</f>
        <v>0</v>
      </c>
      <c r="AF55" s="40">
        <f>G55*(1-0.13115939826774)</f>
        <v>0</v>
      </c>
    </row>
    <row r="56" spans="1:32" ht="12.75">
      <c r="A56" s="10" t="s">
        <v>136</v>
      </c>
      <c r="B56" s="10"/>
      <c r="C56" s="10" t="s">
        <v>137</v>
      </c>
      <c r="D56" s="10" t="s">
        <v>138</v>
      </c>
      <c r="E56" s="10" t="s">
        <v>131</v>
      </c>
      <c r="F56" s="40">
        <v>5</v>
      </c>
      <c r="G56" s="40">
        <v>0</v>
      </c>
      <c r="H56" s="40">
        <f t="shared" si="10"/>
        <v>0</v>
      </c>
      <c r="I56" s="40">
        <f t="shared" si="11"/>
        <v>0</v>
      </c>
      <c r="J56" s="40">
        <f t="shared" si="12"/>
        <v>0</v>
      </c>
      <c r="K56" s="40">
        <v>0.12</v>
      </c>
      <c r="L56" s="40">
        <f t="shared" si="13"/>
        <v>0.6</v>
      </c>
      <c r="M56" s="41"/>
      <c r="N56" s="41" t="s">
        <v>44</v>
      </c>
      <c r="O56" s="40">
        <f t="shared" si="14"/>
        <v>0</v>
      </c>
      <c r="Z56" s="40">
        <f t="shared" si="15"/>
        <v>0</v>
      </c>
      <c r="AA56" s="40">
        <f t="shared" si="16"/>
        <v>0</v>
      </c>
      <c r="AB56" s="40">
        <f t="shared" si="17"/>
        <v>0</v>
      </c>
      <c r="AD56" s="40">
        <v>21</v>
      </c>
      <c r="AE56" s="40">
        <f>G56*1</f>
        <v>0</v>
      </c>
      <c r="AF56" s="40">
        <f>G56*(1-1)</f>
        <v>0</v>
      </c>
    </row>
    <row r="57" spans="4:6" ht="12.75">
      <c r="D57" s="44" t="s">
        <v>139</v>
      </c>
      <c r="F57" s="45">
        <v>5</v>
      </c>
    </row>
    <row r="58" spans="1:32" ht="12.75">
      <c r="A58" s="10" t="s">
        <v>140</v>
      </c>
      <c r="B58" s="10"/>
      <c r="C58" s="10" t="s">
        <v>141</v>
      </c>
      <c r="D58" s="10" t="s">
        <v>142</v>
      </c>
      <c r="E58" s="10" t="s">
        <v>143</v>
      </c>
      <c r="F58" s="40">
        <v>1.25</v>
      </c>
      <c r="G58" s="40">
        <v>0</v>
      </c>
      <c r="H58" s="40">
        <f>ROUND(F58*AE58,2)</f>
        <v>0</v>
      </c>
      <c r="I58" s="40">
        <f>J58-H58</f>
        <v>0</v>
      </c>
      <c r="J58" s="40">
        <f>ROUND(F58*G58,2)</f>
        <v>0</v>
      </c>
      <c r="K58" s="40">
        <v>0.03463</v>
      </c>
      <c r="L58" s="40">
        <f>F58*K58</f>
        <v>0.0432875</v>
      </c>
      <c r="M58" s="41" t="s">
        <v>72</v>
      </c>
      <c r="N58" s="41" t="s">
        <v>47</v>
      </c>
      <c r="O58" s="40">
        <f>IF(N58="5",I58,0)</f>
        <v>0</v>
      </c>
      <c r="Z58" s="40">
        <f>IF(AD58=0,J58,0)</f>
        <v>0</v>
      </c>
      <c r="AA58" s="40">
        <f>IF(AD58=15,J58,0)</f>
        <v>0</v>
      </c>
      <c r="AB58" s="40">
        <f>IF(AD58=21,J58,0)</f>
        <v>0</v>
      </c>
      <c r="AD58" s="40">
        <v>21</v>
      </c>
      <c r="AE58" s="40">
        <f>G58*0.227538543328017</f>
        <v>0</v>
      </c>
      <c r="AF58" s="40">
        <f>G58*(1-0.227538543328017)</f>
        <v>0</v>
      </c>
    </row>
    <row r="59" spans="4:6" ht="12.75">
      <c r="D59" s="44" t="s">
        <v>144</v>
      </c>
      <c r="F59" s="45">
        <v>1.25</v>
      </c>
    </row>
    <row r="60" spans="1:32" ht="12.75">
      <c r="A60" s="10" t="s">
        <v>145</v>
      </c>
      <c r="B60" s="10"/>
      <c r="C60" s="10" t="s">
        <v>146</v>
      </c>
      <c r="D60" s="10" t="s">
        <v>147</v>
      </c>
      <c r="E60" s="10" t="s">
        <v>131</v>
      </c>
      <c r="F60" s="40">
        <v>2</v>
      </c>
      <c r="G60" s="40">
        <v>0</v>
      </c>
      <c r="H60" s="40">
        <f>ROUND(F60*AE60,2)</f>
        <v>0</v>
      </c>
      <c r="I60" s="40">
        <f>J60-H60</f>
        <v>0</v>
      </c>
      <c r="J60" s="40">
        <f>ROUND(F60*G60,2)</f>
        <v>0</v>
      </c>
      <c r="K60" s="40">
        <v>0.301</v>
      </c>
      <c r="L60" s="40">
        <f>F60*K60</f>
        <v>0.602</v>
      </c>
      <c r="M60" s="41"/>
      <c r="N60" s="41" t="s">
        <v>44</v>
      </c>
      <c r="O60" s="40">
        <f>IF(N60="5",I60,0)</f>
        <v>0</v>
      </c>
      <c r="Z60" s="40">
        <f>IF(AD60=0,J60,0)</f>
        <v>0</v>
      </c>
      <c r="AA60" s="40">
        <f>IF(AD60=15,J60,0)</f>
        <v>0</v>
      </c>
      <c r="AB60" s="40">
        <f>IF(AD60=21,J60,0)</f>
        <v>0</v>
      </c>
      <c r="AD60" s="40">
        <v>21</v>
      </c>
      <c r="AE60" s="40">
        <f>G60*1</f>
        <v>0</v>
      </c>
      <c r="AF60" s="40">
        <f>G60*(1-1)</f>
        <v>0</v>
      </c>
    </row>
    <row r="61" spans="4:6" ht="12.75">
      <c r="D61" s="44" t="s">
        <v>148</v>
      </c>
      <c r="F61" s="45">
        <v>2</v>
      </c>
    </row>
    <row r="62" spans="1:32" ht="12.75">
      <c r="A62" s="10" t="s">
        <v>149</v>
      </c>
      <c r="B62" s="10"/>
      <c r="C62" s="10" t="s">
        <v>150</v>
      </c>
      <c r="D62" s="10" t="s">
        <v>151</v>
      </c>
      <c r="E62" s="10" t="s">
        <v>131</v>
      </c>
      <c r="F62" s="40">
        <v>2</v>
      </c>
      <c r="G62" s="40">
        <v>0</v>
      </c>
      <c r="H62" s="40">
        <f>ROUND(F62*AE62,2)</f>
        <v>0</v>
      </c>
      <c r="I62" s="40">
        <f>J62-H62</f>
        <v>0</v>
      </c>
      <c r="J62" s="40">
        <f>ROUND(F62*G62,2)</f>
        <v>0</v>
      </c>
      <c r="K62" s="40">
        <v>0.4</v>
      </c>
      <c r="L62" s="40">
        <f>F62*K62</f>
        <v>0.8</v>
      </c>
      <c r="M62" s="41"/>
      <c r="N62" s="41" t="s">
        <v>44</v>
      </c>
      <c r="O62" s="40">
        <f>IF(N62="5",I62,0)</f>
        <v>0</v>
      </c>
      <c r="Z62" s="40">
        <f>IF(AD62=0,J62,0)</f>
        <v>0</v>
      </c>
      <c r="AA62" s="40">
        <f>IF(AD62=15,J62,0)</f>
        <v>0</v>
      </c>
      <c r="AB62" s="40">
        <f>IF(AD62=21,J62,0)</f>
        <v>0</v>
      </c>
      <c r="AD62" s="40">
        <v>21</v>
      </c>
      <c r="AE62" s="40">
        <f>G62*1</f>
        <v>0</v>
      </c>
      <c r="AF62" s="40">
        <f>G62*(1-1)</f>
        <v>0</v>
      </c>
    </row>
    <row r="63" spans="4:6" ht="12.75">
      <c r="D63" s="44" t="s">
        <v>148</v>
      </c>
      <c r="F63" s="45">
        <v>2</v>
      </c>
    </row>
    <row r="64" spans="1:32" ht="12.75">
      <c r="A64" s="10" t="s">
        <v>152</v>
      </c>
      <c r="B64" s="10"/>
      <c r="C64" s="10" t="s">
        <v>153</v>
      </c>
      <c r="D64" s="10" t="s">
        <v>154</v>
      </c>
      <c r="E64" s="10" t="s">
        <v>83</v>
      </c>
      <c r="F64" s="40">
        <v>0.33</v>
      </c>
      <c r="G64" s="40">
        <v>0</v>
      </c>
      <c r="H64" s="40">
        <f>ROUND(F64*AE64,2)</f>
        <v>0</v>
      </c>
      <c r="I64" s="40">
        <f>J64-H64</f>
        <v>0</v>
      </c>
      <c r="J64" s="40">
        <f>ROUND(F64*G64,2)</f>
        <v>0</v>
      </c>
      <c r="K64" s="40">
        <v>2.41705</v>
      </c>
      <c r="L64" s="40">
        <f>F64*K64</f>
        <v>0.7976265000000001</v>
      </c>
      <c r="M64" s="41"/>
      <c r="N64" s="41" t="s">
        <v>47</v>
      </c>
      <c r="O64" s="40">
        <f>IF(N64="5",I64,0)</f>
        <v>0</v>
      </c>
      <c r="Z64" s="40">
        <f>IF(AD64=0,J64,0)</f>
        <v>0</v>
      </c>
      <c r="AA64" s="40">
        <f>IF(AD64=15,J64,0)</f>
        <v>0</v>
      </c>
      <c r="AB64" s="40">
        <f>IF(AD64=21,J64,0)</f>
        <v>0</v>
      </c>
      <c r="AD64" s="40">
        <v>21</v>
      </c>
      <c r="AE64" s="40">
        <f>G64*0.713686872918456</f>
        <v>0</v>
      </c>
      <c r="AF64" s="40">
        <f>G64*(1-0.713686872918456)</f>
        <v>0</v>
      </c>
    </row>
    <row r="65" spans="4:6" ht="12.75">
      <c r="D65" s="44" t="s">
        <v>155</v>
      </c>
      <c r="F65" s="45">
        <v>0.13</v>
      </c>
    </row>
    <row r="66" spans="4:6" ht="12.75">
      <c r="D66" s="44" t="s">
        <v>156</v>
      </c>
      <c r="F66" s="45">
        <v>0.13</v>
      </c>
    </row>
    <row r="67" spans="4:6" ht="12.75">
      <c r="D67" s="44" t="s">
        <v>157</v>
      </c>
      <c r="F67" s="45">
        <v>0.07</v>
      </c>
    </row>
    <row r="68" spans="1:37" ht="12.75">
      <c r="A68" s="42"/>
      <c r="B68" s="43"/>
      <c r="C68" s="43" t="s">
        <v>158</v>
      </c>
      <c r="D68" s="43" t="s">
        <v>159</v>
      </c>
      <c r="E68" s="43"/>
      <c r="F68" s="43"/>
      <c r="G68" s="43"/>
      <c r="H68" s="39">
        <f>SUM(H69:H71)</f>
        <v>0</v>
      </c>
      <c r="I68" s="39">
        <f>SUM(I69:I71)</f>
        <v>0</v>
      </c>
      <c r="J68" s="39">
        <f>H68+I68</f>
        <v>0</v>
      </c>
      <c r="K68" s="34"/>
      <c r="L68" s="39">
        <f>SUM(L69:L71)</f>
        <v>25.3515272</v>
      </c>
      <c r="M68" s="34"/>
      <c r="P68" s="39">
        <f>IF(Q68="PR",J68,SUM(O69:O71))</f>
        <v>0</v>
      </c>
      <c r="Q68" s="34" t="s">
        <v>46</v>
      </c>
      <c r="R68" s="39">
        <f>IF(Q68="HS",H68,0)</f>
        <v>0</v>
      </c>
      <c r="S68" s="39">
        <f>IF(Q68="HS",I68-P68,0)</f>
        <v>0</v>
      </c>
      <c r="T68" s="39">
        <f>IF(Q68="PS",H68,0)</f>
        <v>0</v>
      </c>
      <c r="U68" s="39">
        <f>IF(Q68="PS",I68-P68,0)</f>
        <v>0</v>
      </c>
      <c r="V68" s="39">
        <f>IF(Q68="MP",H68,0)</f>
        <v>0</v>
      </c>
      <c r="W68" s="39">
        <f>IF(Q68="MP",I68-P68,0)</f>
        <v>0</v>
      </c>
      <c r="X68" s="39">
        <f>IF(Q68="OM",H68,0)</f>
        <v>0</v>
      </c>
      <c r="Y68" s="34"/>
      <c r="AI68" s="39">
        <f>SUM(Z69:Z71)</f>
        <v>0</v>
      </c>
      <c r="AJ68" s="39">
        <f>SUM(AA69:AA71)</f>
        <v>0</v>
      </c>
      <c r="AK68" s="39">
        <f>SUM(AB69:AB71)</f>
        <v>0</v>
      </c>
    </row>
    <row r="69" spans="1:32" ht="12.75">
      <c r="A69" s="10" t="s">
        <v>160</v>
      </c>
      <c r="B69" s="10"/>
      <c r="C69" s="10" t="s">
        <v>161</v>
      </c>
      <c r="D69" s="10" t="s">
        <v>162</v>
      </c>
      <c r="E69" s="10" t="s">
        <v>71</v>
      </c>
      <c r="F69" s="40">
        <v>39.8</v>
      </c>
      <c r="G69" s="40">
        <v>0</v>
      </c>
      <c r="H69" s="40">
        <f>ROUND(F69*AE69,2)</f>
        <v>0</v>
      </c>
      <c r="I69" s="40">
        <f>J69-H69</f>
        <v>0</v>
      </c>
      <c r="J69" s="40">
        <f>ROUND(F69*G69,2)</f>
        <v>0</v>
      </c>
      <c r="K69" s="40">
        <v>0.52261</v>
      </c>
      <c r="L69" s="40">
        <f>F69*K69</f>
        <v>20.799878</v>
      </c>
      <c r="M69" s="41" t="s">
        <v>72</v>
      </c>
      <c r="N69" s="41" t="s">
        <v>54</v>
      </c>
      <c r="O69" s="40">
        <f>IF(N69="5",I69,0)</f>
        <v>0</v>
      </c>
      <c r="Z69" s="40">
        <f>IF(AD69=0,J69,0)</f>
        <v>0</v>
      </c>
      <c r="AA69" s="40">
        <f>IF(AD69=15,J69,0)</f>
        <v>0</v>
      </c>
      <c r="AB69" s="40">
        <f>IF(AD69=21,J69,0)</f>
        <v>0</v>
      </c>
      <c r="AD69" s="40">
        <v>21</v>
      </c>
      <c r="AE69" s="40">
        <f>G69*0.649732450398465</f>
        <v>0</v>
      </c>
      <c r="AF69" s="40">
        <f>G69*(1-0.649732450398465)</f>
        <v>0</v>
      </c>
    </row>
    <row r="70" spans="4:6" ht="12.75">
      <c r="D70" s="44" t="s">
        <v>163</v>
      </c>
      <c r="F70" s="45">
        <v>39.8</v>
      </c>
    </row>
    <row r="71" spans="1:32" ht="12.75">
      <c r="A71" s="10" t="s">
        <v>164</v>
      </c>
      <c r="B71" s="10"/>
      <c r="C71" s="10" t="s">
        <v>165</v>
      </c>
      <c r="D71" s="10" t="s">
        <v>166</v>
      </c>
      <c r="E71" s="10" t="s">
        <v>71</v>
      </c>
      <c r="F71" s="40">
        <v>8.82</v>
      </c>
      <c r="G71" s="40">
        <v>0</v>
      </c>
      <c r="H71" s="40">
        <f>ROUND(F71*AE71,2)</f>
        <v>0</v>
      </c>
      <c r="I71" s="40">
        <f>J71-H71</f>
        <v>0</v>
      </c>
      <c r="J71" s="40">
        <f>ROUND(F71*G71,2)</f>
        <v>0</v>
      </c>
      <c r="K71" s="40">
        <v>0.51606</v>
      </c>
      <c r="L71" s="40">
        <f>F71*K71</f>
        <v>4.5516492</v>
      </c>
      <c r="M71" s="41" t="s">
        <v>72</v>
      </c>
      <c r="N71" s="41" t="s">
        <v>54</v>
      </c>
      <c r="O71" s="40">
        <f>IF(N71="5",I71,0)</f>
        <v>0</v>
      </c>
      <c r="Z71" s="40">
        <f>IF(AD71=0,J71,0)</f>
        <v>0</v>
      </c>
      <c r="AA71" s="40">
        <f>IF(AD71=15,J71,0)</f>
        <v>0</v>
      </c>
      <c r="AB71" s="40">
        <f>IF(AD71=21,J71,0)</f>
        <v>0</v>
      </c>
      <c r="AD71" s="40">
        <v>21</v>
      </c>
      <c r="AE71" s="40">
        <f>G71*0.574113697350845</f>
        <v>0</v>
      </c>
      <c r="AF71" s="40">
        <f>G71*(1-0.574113697350845)</f>
        <v>0</v>
      </c>
    </row>
    <row r="72" spans="4:6" ht="12.75">
      <c r="D72" s="44" t="s">
        <v>73</v>
      </c>
      <c r="F72" s="45">
        <v>1.68</v>
      </c>
    </row>
    <row r="73" spans="4:6" ht="12.75">
      <c r="D73" s="44" t="s">
        <v>74</v>
      </c>
      <c r="F73" s="45">
        <v>7.14</v>
      </c>
    </row>
    <row r="74" spans="1:37" ht="12.75">
      <c r="A74" s="42"/>
      <c r="B74" s="43"/>
      <c r="C74" s="43" t="s">
        <v>167</v>
      </c>
      <c r="D74" s="43" t="s">
        <v>168</v>
      </c>
      <c r="E74" s="43"/>
      <c r="F74" s="43"/>
      <c r="G74" s="43"/>
      <c r="H74" s="39">
        <f>SUM(H75:H83)</f>
        <v>0</v>
      </c>
      <c r="I74" s="39">
        <f>SUM(I75:I83)</f>
        <v>0</v>
      </c>
      <c r="J74" s="39">
        <f>H74+I74</f>
        <v>0</v>
      </c>
      <c r="K74" s="34"/>
      <c r="L74" s="39">
        <f>SUM(L75:L83)</f>
        <v>0.9472544</v>
      </c>
      <c r="M74" s="34"/>
      <c r="P74" s="39">
        <f>IF(Q74="PR",J74,SUM(O75:O83))</f>
        <v>0</v>
      </c>
      <c r="Q74" s="34" t="s">
        <v>46</v>
      </c>
      <c r="R74" s="39">
        <f>IF(Q74="HS",H74,0)</f>
        <v>0</v>
      </c>
      <c r="S74" s="39">
        <f>IF(Q74="HS",I74-P74,0)</f>
        <v>0</v>
      </c>
      <c r="T74" s="39">
        <f>IF(Q74="PS",H74,0)</f>
        <v>0</v>
      </c>
      <c r="U74" s="39">
        <f>IF(Q74="PS",I74-P74,0)</f>
        <v>0</v>
      </c>
      <c r="V74" s="39">
        <f>IF(Q74="MP",H74,0)</f>
        <v>0</v>
      </c>
      <c r="W74" s="39">
        <f>IF(Q74="MP",I74-P74,0)</f>
        <v>0</v>
      </c>
      <c r="X74" s="39">
        <f>IF(Q74="OM",H74,0)</f>
        <v>0</v>
      </c>
      <c r="Y74" s="34"/>
      <c r="AI74" s="39">
        <f>SUM(Z75:Z83)</f>
        <v>0</v>
      </c>
      <c r="AJ74" s="39">
        <f>SUM(AA75:AA83)</f>
        <v>0</v>
      </c>
      <c r="AK74" s="39">
        <f>SUM(AB75:AB83)</f>
        <v>0</v>
      </c>
    </row>
    <row r="75" spans="1:32" ht="12.75">
      <c r="A75" s="10" t="s">
        <v>169</v>
      </c>
      <c r="B75" s="10"/>
      <c r="C75" s="10" t="s">
        <v>170</v>
      </c>
      <c r="D75" s="10" t="s">
        <v>171</v>
      </c>
      <c r="E75" s="10" t="s">
        <v>71</v>
      </c>
      <c r="F75" s="40">
        <v>2.51</v>
      </c>
      <c r="G75" s="40">
        <v>0</v>
      </c>
      <c r="H75" s="40">
        <f>ROUND(F75*AE75,2)</f>
        <v>0</v>
      </c>
      <c r="I75" s="40">
        <f>J75-H75</f>
        <v>0</v>
      </c>
      <c r="J75" s="40">
        <f>ROUND(F75*G75,2)</f>
        <v>0</v>
      </c>
      <c r="K75" s="40">
        <v>0.0091</v>
      </c>
      <c r="L75" s="40">
        <f>F75*K75</f>
        <v>0.022841</v>
      </c>
      <c r="M75" s="41"/>
      <c r="N75" s="41" t="s">
        <v>47</v>
      </c>
      <c r="O75" s="40">
        <f>IF(N75="5",I75,0)</f>
        <v>0</v>
      </c>
      <c r="Z75" s="40">
        <f>IF(AD75=0,J75,0)</f>
        <v>0</v>
      </c>
      <c r="AA75" s="40">
        <f>IF(AD75=15,J75,0)</f>
        <v>0</v>
      </c>
      <c r="AB75" s="40">
        <f>IF(AD75=21,J75,0)</f>
        <v>0</v>
      </c>
      <c r="AD75" s="40">
        <v>21</v>
      </c>
      <c r="AE75" s="40">
        <f>G75*0.544571687145393</f>
        <v>0</v>
      </c>
      <c r="AF75" s="40">
        <f>G75*(1-0.544571687145393)</f>
        <v>0</v>
      </c>
    </row>
    <row r="76" spans="4:6" ht="12.75">
      <c r="D76" s="44" t="s">
        <v>172</v>
      </c>
      <c r="F76" s="45">
        <v>2.51</v>
      </c>
    </row>
    <row r="77" spans="1:32" ht="12.75">
      <c r="A77" s="10" t="s">
        <v>173</v>
      </c>
      <c r="B77" s="10"/>
      <c r="C77" s="10" t="s">
        <v>174</v>
      </c>
      <c r="D77" s="10" t="s">
        <v>175</v>
      </c>
      <c r="E77" s="10" t="s">
        <v>71</v>
      </c>
      <c r="F77" s="40">
        <v>11.94</v>
      </c>
      <c r="G77" s="40">
        <v>0</v>
      </c>
      <c r="H77" s="40">
        <f>ROUND(F77*AE77,2)</f>
        <v>0</v>
      </c>
      <c r="I77" s="40">
        <f>J77-H77</f>
        <v>0</v>
      </c>
      <c r="J77" s="40">
        <f>ROUND(F77*G77,2)</f>
        <v>0</v>
      </c>
      <c r="K77" s="40">
        <v>0.03371</v>
      </c>
      <c r="L77" s="40">
        <f>F77*K77</f>
        <v>0.40249739999999995</v>
      </c>
      <c r="M77" s="41"/>
      <c r="N77" s="41" t="s">
        <v>47</v>
      </c>
      <c r="O77" s="40">
        <f>IF(N77="5",I77,0)</f>
        <v>0</v>
      </c>
      <c r="Z77" s="40">
        <f>IF(AD77=0,J77,0)</f>
        <v>0</v>
      </c>
      <c r="AA77" s="40">
        <f>IF(AD77=15,J77,0)</f>
        <v>0</v>
      </c>
      <c r="AB77" s="40">
        <f>IF(AD77=21,J77,0)</f>
        <v>0</v>
      </c>
      <c r="AD77" s="40">
        <v>21</v>
      </c>
      <c r="AE77" s="40">
        <f>G77*0.276864797599004</f>
        <v>0</v>
      </c>
      <c r="AF77" s="40">
        <f>G77*(1-0.276864797599004)</f>
        <v>0</v>
      </c>
    </row>
    <row r="78" spans="4:6" ht="12.75">
      <c r="D78" s="44" t="s">
        <v>176</v>
      </c>
      <c r="F78" s="45">
        <v>2.2</v>
      </c>
    </row>
    <row r="79" spans="4:6" ht="12.75">
      <c r="D79" s="44" t="s">
        <v>177</v>
      </c>
      <c r="F79" s="45">
        <v>1.08</v>
      </c>
    </row>
    <row r="80" spans="4:6" ht="12.75">
      <c r="D80" s="44" t="s">
        <v>178</v>
      </c>
      <c r="F80" s="45">
        <v>0.64</v>
      </c>
    </row>
    <row r="81" spans="4:6" ht="12.75">
      <c r="D81" s="44" t="s">
        <v>179</v>
      </c>
      <c r="F81" s="45">
        <v>7.25</v>
      </c>
    </row>
    <row r="82" spans="4:6" ht="12.75">
      <c r="D82" s="44" t="s">
        <v>180</v>
      </c>
      <c r="F82" s="45">
        <v>0.77</v>
      </c>
    </row>
    <row r="83" spans="1:32" ht="12.75">
      <c r="A83" s="10" t="s">
        <v>181</v>
      </c>
      <c r="B83" s="10"/>
      <c r="C83" s="10" t="s">
        <v>182</v>
      </c>
      <c r="D83" s="10" t="s">
        <v>183</v>
      </c>
      <c r="E83" s="10" t="s">
        <v>143</v>
      </c>
      <c r="F83" s="40">
        <v>140.3</v>
      </c>
      <c r="G83" s="40">
        <v>0</v>
      </c>
      <c r="H83" s="40">
        <f>ROUND(F83*AE83,2)</f>
        <v>0</v>
      </c>
      <c r="I83" s="40">
        <f>J83-H83</f>
        <v>0</v>
      </c>
      <c r="J83" s="40">
        <f>ROUND(F83*G83,2)</f>
        <v>0</v>
      </c>
      <c r="K83" s="40">
        <v>0.00372</v>
      </c>
      <c r="L83" s="40">
        <f>F83*K83</f>
        <v>0.521916</v>
      </c>
      <c r="M83" s="41" t="s">
        <v>72</v>
      </c>
      <c r="N83" s="41" t="s">
        <v>54</v>
      </c>
      <c r="O83" s="40">
        <f>IF(N83="5",I83,0)</f>
        <v>0</v>
      </c>
      <c r="Z83" s="40">
        <f>IF(AD83=0,J83,0)</f>
        <v>0</v>
      </c>
      <c r="AA83" s="40">
        <f>IF(AD83=15,J83,0)</f>
        <v>0</v>
      </c>
      <c r="AB83" s="40">
        <f>IF(AD83=21,J83,0)</f>
        <v>0</v>
      </c>
      <c r="AD83" s="40">
        <v>21</v>
      </c>
      <c r="AE83" s="40">
        <f>G83*0.0645391335353896</f>
        <v>0</v>
      </c>
      <c r="AF83" s="40">
        <f>G83*(1-0.0645391335353896)</f>
        <v>0</v>
      </c>
    </row>
    <row r="84" spans="4:6" ht="12.75">
      <c r="D84" s="44" t="s">
        <v>184</v>
      </c>
      <c r="F84" s="45">
        <v>36.8</v>
      </c>
    </row>
    <row r="85" spans="4:6" ht="12.75">
      <c r="D85" s="44" t="s">
        <v>185</v>
      </c>
      <c r="F85" s="45">
        <v>17</v>
      </c>
    </row>
    <row r="86" spans="4:6" ht="12.75">
      <c r="D86" s="44" t="s">
        <v>186</v>
      </c>
      <c r="F86" s="45">
        <v>6.35</v>
      </c>
    </row>
    <row r="87" spans="4:6" ht="12.75">
      <c r="D87" s="44" t="s">
        <v>187</v>
      </c>
      <c r="F87" s="45">
        <v>72.5</v>
      </c>
    </row>
    <row r="88" spans="4:6" ht="12.75">
      <c r="D88" s="44" t="s">
        <v>188</v>
      </c>
      <c r="F88" s="45">
        <v>7.65</v>
      </c>
    </row>
    <row r="89" spans="1:37" ht="12.75">
      <c r="A89" s="42"/>
      <c r="B89" s="43"/>
      <c r="C89" s="43" t="s">
        <v>189</v>
      </c>
      <c r="D89" s="43" t="s">
        <v>190</v>
      </c>
      <c r="E89" s="43"/>
      <c r="F89" s="43"/>
      <c r="G89" s="43"/>
      <c r="H89" s="39">
        <f>SUM(H90:H163)</f>
        <v>0</v>
      </c>
      <c r="I89" s="39">
        <f>SUM(I90:I163)</f>
        <v>0</v>
      </c>
      <c r="J89" s="39">
        <f>H89+I89</f>
        <v>0</v>
      </c>
      <c r="K89" s="34"/>
      <c r="L89" s="39">
        <f>SUM(L90:L163)</f>
        <v>86.6664863</v>
      </c>
      <c r="M89" s="34"/>
      <c r="P89" s="39">
        <f>IF(Q89="PR",J89,SUM(O90:O163))</f>
        <v>0</v>
      </c>
      <c r="Q89" s="34" t="s">
        <v>46</v>
      </c>
      <c r="R89" s="39">
        <f>IF(Q89="HS",H89,0)</f>
        <v>0</v>
      </c>
      <c r="S89" s="39">
        <f>IF(Q89="HS",I89-P89,0)</f>
        <v>0</v>
      </c>
      <c r="T89" s="39">
        <f>IF(Q89="PS",H89,0)</f>
        <v>0</v>
      </c>
      <c r="U89" s="39">
        <f>IF(Q89="PS",I89-P89,0)</f>
        <v>0</v>
      </c>
      <c r="V89" s="39">
        <f>IF(Q89="MP",H89,0)</f>
        <v>0</v>
      </c>
      <c r="W89" s="39">
        <f>IF(Q89="MP",I89-P89,0)</f>
        <v>0</v>
      </c>
      <c r="X89" s="39">
        <f>IF(Q89="OM",H89,0)</f>
        <v>0</v>
      </c>
      <c r="Y89" s="34"/>
      <c r="AI89" s="39">
        <f>SUM(Z90:Z163)</f>
        <v>0</v>
      </c>
      <c r="AJ89" s="39">
        <f>SUM(AA90:AA163)</f>
        <v>0</v>
      </c>
      <c r="AK89" s="39">
        <f>SUM(AB90:AB163)</f>
        <v>0</v>
      </c>
    </row>
    <row r="90" spans="1:32" ht="12.75">
      <c r="A90" s="10" t="s">
        <v>100</v>
      </c>
      <c r="B90" s="10"/>
      <c r="C90" s="10" t="s">
        <v>191</v>
      </c>
      <c r="D90" s="10" t="s">
        <v>192</v>
      </c>
      <c r="E90" s="10" t="s">
        <v>71</v>
      </c>
      <c r="F90" s="40">
        <v>65.03</v>
      </c>
      <c r="G90" s="40">
        <v>0</v>
      </c>
      <c r="H90" s="40">
        <f>ROUND(F90*AE90,2)</f>
        <v>0</v>
      </c>
      <c r="I90" s="40">
        <f>J90-H90</f>
        <v>0</v>
      </c>
      <c r="J90" s="40">
        <f>ROUND(F90*G90,2)</f>
        <v>0</v>
      </c>
      <c r="K90" s="40">
        <v>0.01713</v>
      </c>
      <c r="L90" s="40">
        <f>F90*K90</f>
        <v>1.1139639</v>
      </c>
      <c r="M90" s="41" t="s">
        <v>72</v>
      </c>
      <c r="N90" s="41" t="s">
        <v>47</v>
      </c>
      <c r="O90" s="40">
        <f>IF(N90="5",I90,0)</f>
        <v>0</v>
      </c>
      <c r="Z90" s="40">
        <f>IF(AD90=0,J90,0)</f>
        <v>0</v>
      </c>
      <c r="AA90" s="40">
        <f>IF(AD90=15,J90,0)</f>
        <v>0</v>
      </c>
      <c r="AB90" s="40">
        <f>IF(AD90=21,J90,0)</f>
        <v>0</v>
      </c>
      <c r="AD90" s="40">
        <v>21</v>
      </c>
      <c r="AE90" s="40">
        <f>G90*0.614447149223435</f>
        <v>0</v>
      </c>
      <c r="AF90" s="40">
        <f>G90*(1-0.614447149223435)</f>
        <v>0</v>
      </c>
    </row>
    <row r="91" spans="4:6" ht="12.75">
      <c r="D91" s="44" t="s">
        <v>193</v>
      </c>
      <c r="F91" s="45">
        <v>72.93</v>
      </c>
    </row>
    <row r="92" spans="4:6" ht="12.75">
      <c r="D92" s="44" t="s">
        <v>194</v>
      </c>
      <c r="F92" s="45">
        <v>-7.91</v>
      </c>
    </row>
    <row r="93" spans="1:32" ht="12.75">
      <c r="A93" s="10" t="s">
        <v>195</v>
      </c>
      <c r="B93" s="10"/>
      <c r="C93" s="10" t="s">
        <v>196</v>
      </c>
      <c r="D93" s="10" t="s">
        <v>197</v>
      </c>
      <c r="E93" s="10" t="s">
        <v>143</v>
      </c>
      <c r="F93" s="40">
        <v>18.6</v>
      </c>
      <c r="G93" s="40">
        <v>0</v>
      </c>
      <c r="H93" s="40">
        <f>ROUND(F93*AE93,2)</f>
        <v>0</v>
      </c>
      <c r="I93" s="40">
        <f>J93-H93</f>
        <v>0</v>
      </c>
      <c r="J93" s="40">
        <f>ROUND(F93*G93,2)</f>
        <v>0</v>
      </c>
      <c r="K93" s="40">
        <v>0</v>
      </c>
      <c r="L93" s="40">
        <f>F93*K93</f>
        <v>0</v>
      </c>
      <c r="M93" s="41"/>
      <c r="N93" s="41" t="s">
        <v>47</v>
      </c>
      <c r="O93" s="40">
        <f>IF(N93="5",I93,0)</f>
        <v>0</v>
      </c>
      <c r="Z93" s="40">
        <f>IF(AD93=0,J93,0)</f>
        <v>0</v>
      </c>
      <c r="AA93" s="40">
        <f>IF(AD93=15,J93,0)</f>
        <v>0</v>
      </c>
      <c r="AB93" s="40">
        <f>IF(AD93=21,J93,0)</f>
        <v>0</v>
      </c>
      <c r="AD93" s="40">
        <v>21</v>
      </c>
      <c r="AE93" s="40">
        <f>G93*0.417448824528471</f>
        <v>0</v>
      </c>
      <c r="AF93" s="40">
        <f>G93*(1-0.417448824528471)</f>
        <v>0</v>
      </c>
    </row>
    <row r="94" spans="4:6" ht="12.75">
      <c r="D94" s="44" t="s">
        <v>198</v>
      </c>
      <c r="F94" s="45">
        <v>18.6</v>
      </c>
    </row>
    <row r="95" spans="1:32" ht="12.75">
      <c r="A95" s="10" t="s">
        <v>199</v>
      </c>
      <c r="B95" s="10"/>
      <c r="C95" s="10" t="s">
        <v>200</v>
      </c>
      <c r="D95" s="10" t="s">
        <v>201</v>
      </c>
      <c r="E95" s="10" t="s">
        <v>71</v>
      </c>
      <c r="F95" s="40">
        <v>8.1</v>
      </c>
      <c r="G95" s="40">
        <v>0</v>
      </c>
      <c r="H95" s="40">
        <f>ROUND(F95*AE95,2)</f>
        <v>0</v>
      </c>
      <c r="I95" s="40">
        <f>J95-H95</f>
        <v>0</v>
      </c>
      <c r="J95" s="40">
        <f>ROUND(F95*G95,2)</f>
        <v>0</v>
      </c>
      <c r="K95" s="40">
        <v>0.01313</v>
      </c>
      <c r="L95" s="40">
        <f>F95*K95</f>
        <v>0.10635299999999999</v>
      </c>
      <c r="M95" s="41" t="s">
        <v>72</v>
      </c>
      <c r="N95" s="41" t="s">
        <v>47</v>
      </c>
      <c r="O95" s="40">
        <f>IF(N95="5",I95,0)</f>
        <v>0</v>
      </c>
      <c r="Z95" s="40">
        <f>IF(AD95=0,J95,0)</f>
        <v>0</v>
      </c>
      <c r="AA95" s="40">
        <f>IF(AD95=15,J95,0)</f>
        <v>0</v>
      </c>
      <c r="AB95" s="40">
        <f>IF(AD95=21,J95,0)</f>
        <v>0</v>
      </c>
      <c r="AD95" s="40">
        <v>21</v>
      </c>
      <c r="AE95" s="40">
        <f>G95*0.530543910518237</f>
        <v>0</v>
      </c>
      <c r="AF95" s="40">
        <f>G95*(1-0.530543910518237)</f>
        <v>0</v>
      </c>
    </row>
    <row r="96" spans="4:6" ht="12.75">
      <c r="D96" s="44" t="s">
        <v>202</v>
      </c>
      <c r="F96" s="45">
        <v>8.1</v>
      </c>
    </row>
    <row r="97" spans="1:32" ht="12.75">
      <c r="A97" s="10" t="s">
        <v>121</v>
      </c>
      <c r="B97" s="10"/>
      <c r="C97" s="10" t="s">
        <v>203</v>
      </c>
      <c r="D97" s="10" t="s">
        <v>204</v>
      </c>
      <c r="E97" s="10" t="s">
        <v>143</v>
      </c>
      <c r="F97" s="40">
        <v>91.1</v>
      </c>
      <c r="G97" s="40">
        <v>0</v>
      </c>
      <c r="H97" s="40">
        <f>ROUND(F97*AE97,2)</f>
        <v>0</v>
      </c>
      <c r="I97" s="40">
        <f>J97-H97</f>
        <v>0</v>
      </c>
      <c r="J97" s="40">
        <f>ROUND(F97*G97,2)</f>
        <v>0</v>
      </c>
      <c r="K97" s="40">
        <v>0.00011</v>
      </c>
      <c r="L97" s="40">
        <f>F97*K97</f>
        <v>0.010021</v>
      </c>
      <c r="M97" s="41" t="s">
        <v>72</v>
      </c>
      <c r="N97" s="41" t="s">
        <v>47</v>
      </c>
      <c r="O97" s="40">
        <f>IF(N97="5",I97,0)</f>
        <v>0</v>
      </c>
      <c r="Z97" s="40">
        <f>IF(AD97=0,J97,0)</f>
        <v>0</v>
      </c>
      <c r="AA97" s="40">
        <f>IF(AD97=15,J97,0)</f>
        <v>0</v>
      </c>
      <c r="AB97" s="40">
        <f>IF(AD97=21,J97,0)</f>
        <v>0</v>
      </c>
      <c r="AD97" s="40">
        <v>21</v>
      </c>
      <c r="AE97" s="40">
        <f>G97*0.746263407772112</f>
        <v>0</v>
      </c>
      <c r="AF97" s="40">
        <f>G97*(1-0.746263407772112)</f>
        <v>0</v>
      </c>
    </row>
    <row r="98" spans="4:6" ht="12.75">
      <c r="D98" s="44" t="s">
        <v>205</v>
      </c>
      <c r="F98" s="45">
        <v>91.1</v>
      </c>
    </row>
    <row r="99" spans="1:32" ht="12.75">
      <c r="A99" s="10" t="s">
        <v>206</v>
      </c>
      <c r="B99" s="10"/>
      <c r="C99" s="10" t="s">
        <v>207</v>
      </c>
      <c r="D99" s="10" t="s">
        <v>208</v>
      </c>
      <c r="E99" s="10" t="s">
        <v>143</v>
      </c>
      <c r="F99" s="40">
        <v>100.2</v>
      </c>
      <c r="G99" s="40">
        <v>0</v>
      </c>
      <c r="H99" s="40">
        <f>ROUND(F99*AE99,2)</f>
        <v>0</v>
      </c>
      <c r="I99" s="40">
        <f>J99-H99</f>
        <v>0</v>
      </c>
      <c r="J99" s="40">
        <f>ROUND(F99*G99,2)</f>
        <v>0</v>
      </c>
      <c r="K99" s="40">
        <v>0.00051</v>
      </c>
      <c r="L99" s="40">
        <f>F99*K99</f>
        <v>0.05110200000000001</v>
      </c>
      <c r="M99" s="41" t="s">
        <v>72</v>
      </c>
      <c r="N99" s="41" t="s">
        <v>47</v>
      </c>
      <c r="O99" s="40">
        <f>IF(N99="5",I99,0)</f>
        <v>0</v>
      </c>
      <c r="Z99" s="40">
        <f>IF(AD99=0,J99,0)</f>
        <v>0</v>
      </c>
      <c r="AA99" s="40">
        <f>IF(AD99=15,J99,0)</f>
        <v>0</v>
      </c>
      <c r="AB99" s="40">
        <f>IF(AD99=21,J99,0)</f>
        <v>0</v>
      </c>
      <c r="AD99" s="40">
        <v>21</v>
      </c>
      <c r="AE99" s="40">
        <f>G99*0.852512008700643</f>
        <v>0</v>
      </c>
      <c r="AF99" s="40">
        <f>G99*(1-0.852512008700643)</f>
        <v>0</v>
      </c>
    </row>
    <row r="100" spans="4:6" ht="12.75">
      <c r="D100" s="44" t="s">
        <v>209</v>
      </c>
      <c r="F100" s="45">
        <v>100.2</v>
      </c>
    </row>
    <row r="101" spans="1:32" ht="12.75">
      <c r="A101" s="10" t="s">
        <v>210</v>
      </c>
      <c r="B101" s="10"/>
      <c r="C101" s="10" t="s">
        <v>211</v>
      </c>
      <c r="D101" s="10" t="s">
        <v>212</v>
      </c>
      <c r="E101" s="10" t="s">
        <v>71</v>
      </c>
      <c r="F101" s="40">
        <v>1483.08</v>
      </c>
      <c r="G101" s="40">
        <v>0</v>
      </c>
      <c r="H101" s="40">
        <f>ROUND(F101*AE101,2)</f>
        <v>0</v>
      </c>
      <c r="I101" s="40">
        <f>J101-H101</f>
        <v>0</v>
      </c>
      <c r="J101" s="40">
        <f>ROUND(F101*G101,2)</f>
        <v>0</v>
      </c>
      <c r="K101" s="40">
        <v>0.01365</v>
      </c>
      <c r="L101" s="40">
        <f>F101*K101</f>
        <v>20.244042</v>
      </c>
      <c r="M101" s="41" t="s">
        <v>72</v>
      </c>
      <c r="N101" s="41" t="s">
        <v>47</v>
      </c>
      <c r="O101" s="40">
        <f>IF(N101="5",I101,0)</f>
        <v>0</v>
      </c>
      <c r="Z101" s="40">
        <f>IF(AD101=0,J101,0)</f>
        <v>0</v>
      </c>
      <c r="AA101" s="40">
        <f>IF(AD101=15,J101,0)</f>
        <v>0</v>
      </c>
      <c r="AB101" s="40">
        <f>IF(AD101=21,J101,0)</f>
        <v>0</v>
      </c>
      <c r="AD101" s="40">
        <v>21</v>
      </c>
      <c r="AE101" s="40">
        <f>G101*0.484264952196665</f>
        <v>0</v>
      </c>
      <c r="AF101" s="40">
        <f>G101*(1-0.484264952196665)</f>
        <v>0</v>
      </c>
    </row>
    <row r="102" spans="4:6" ht="12.75">
      <c r="D102" s="44" t="s">
        <v>213</v>
      </c>
      <c r="F102" s="45">
        <v>2046.14</v>
      </c>
    </row>
    <row r="103" spans="4:6" ht="12.75">
      <c r="D103" s="44" t="s">
        <v>214</v>
      </c>
      <c r="F103" s="45">
        <v>-44.78</v>
      </c>
    </row>
    <row r="104" spans="4:6" ht="12.75">
      <c r="D104" s="44" t="s">
        <v>215</v>
      </c>
      <c r="F104" s="45">
        <v>-305.83</v>
      </c>
    </row>
    <row r="105" spans="4:6" ht="12.75">
      <c r="D105" s="44" t="s">
        <v>216</v>
      </c>
      <c r="F105" s="45">
        <v>-212.45</v>
      </c>
    </row>
    <row r="106" spans="1:32" ht="12.75">
      <c r="A106" s="10" t="s">
        <v>217</v>
      </c>
      <c r="B106" s="10"/>
      <c r="C106" s="10" t="s">
        <v>218</v>
      </c>
      <c r="D106" s="10" t="s">
        <v>219</v>
      </c>
      <c r="E106" s="10" t="s">
        <v>71</v>
      </c>
      <c r="F106" s="40">
        <v>192.92</v>
      </c>
      <c r="G106" s="40">
        <v>0</v>
      </c>
      <c r="H106" s="40">
        <f>ROUND(F106*AE106,2)</f>
        <v>0</v>
      </c>
      <c r="I106" s="40">
        <f>J106-H106</f>
        <v>0</v>
      </c>
      <c r="J106" s="40">
        <f>ROUND(F106*G106,2)</f>
        <v>0</v>
      </c>
      <c r="K106" s="40">
        <v>0.01336</v>
      </c>
      <c r="L106" s="40">
        <f>F106*K106</f>
        <v>2.5774112</v>
      </c>
      <c r="M106" s="41"/>
      <c r="N106" s="41" t="s">
        <v>47</v>
      </c>
      <c r="O106" s="40">
        <f>IF(N106="5",I106,0)</f>
        <v>0</v>
      </c>
      <c r="Z106" s="40">
        <f>IF(AD106=0,J106,0)</f>
        <v>0</v>
      </c>
      <c r="AA106" s="40">
        <f>IF(AD106=15,J106,0)</f>
        <v>0</v>
      </c>
      <c r="AB106" s="40">
        <f>IF(AD106=21,J106,0)</f>
        <v>0</v>
      </c>
      <c r="AD106" s="40">
        <v>21</v>
      </c>
      <c r="AE106" s="40">
        <f>G106*0.547972202053729</f>
        <v>0</v>
      </c>
      <c r="AF106" s="40">
        <f>G106*(1-0.547972202053729)</f>
        <v>0</v>
      </c>
    </row>
    <row r="107" spans="4:6" ht="12.75">
      <c r="D107" s="44" t="s">
        <v>220</v>
      </c>
      <c r="F107" s="45">
        <v>192.92</v>
      </c>
    </row>
    <row r="108" spans="1:32" ht="12.75">
      <c r="A108" s="10" t="s">
        <v>221</v>
      </c>
      <c r="B108" s="10"/>
      <c r="C108" s="10" t="s">
        <v>222</v>
      </c>
      <c r="D108" s="10" t="s">
        <v>223</v>
      </c>
      <c r="E108" s="10" t="s">
        <v>71</v>
      </c>
      <c r="F108" s="40">
        <v>69.17</v>
      </c>
      <c r="G108" s="40">
        <v>0</v>
      </c>
      <c r="H108" s="40">
        <f>ROUND(F108*AE108,2)</f>
        <v>0</v>
      </c>
      <c r="I108" s="40">
        <f>J108-H108</f>
        <v>0</v>
      </c>
      <c r="J108" s="40">
        <f>ROUND(F108*G108,2)</f>
        <v>0</v>
      </c>
      <c r="K108" s="40">
        <v>0.00958</v>
      </c>
      <c r="L108" s="40">
        <f>F108*K108</f>
        <v>0.6626486</v>
      </c>
      <c r="M108" s="41"/>
      <c r="N108" s="41" t="s">
        <v>47</v>
      </c>
      <c r="O108" s="40">
        <f>IF(N108="5",I108,0)</f>
        <v>0</v>
      </c>
      <c r="Z108" s="40">
        <f>IF(AD108=0,J108,0)</f>
        <v>0</v>
      </c>
      <c r="AA108" s="40">
        <f>IF(AD108=15,J108,0)</f>
        <v>0</v>
      </c>
      <c r="AB108" s="40">
        <f>IF(AD108=21,J108,0)</f>
        <v>0</v>
      </c>
      <c r="AD108" s="40">
        <v>21</v>
      </c>
      <c r="AE108" s="40">
        <f>G108*0.543498540154828</f>
        <v>0</v>
      </c>
      <c r="AF108" s="40">
        <f>G108*(1-0.543498540154828)</f>
        <v>0</v>
      </c>
    </row>
    <row r="109" spans="4:6" ht="12.75">
      <c r="D109" s="44" t="s">
        <v>224</v>
      </c>
      <c r="F109" s="45">
        <v>69.17</v>
      </c>
    </row>
    <row r="110" spans="1:32" ht="12.75">
      <c r="A110" s="10" t="s">
        <v>225</v>
      </c>
      <c r="B110" s="10"/>
      <c r="C110" s="10" t="s">
        <v>226</v>
      </c>
      <c r="D110" s="10" t="s">
        <v>227</v>
      </c>
      <c r="E110" s="10" t="s">
        <v>71</v>
      </c>
      <c r="F110" s="40">
        <v>1149.11</v>
      </c>
      <c r="G110" s="40">
        <v>0</v>
      </c>
      <c r="H110" s="40">
        <f>ROUND(F110*AE110,2)</f>
        <v>0</v>
      </c>
      <c r="I110" s="40">
        <f>J110-H110</f>
        <v>0</v>
      </c>
      <c r="J110" s="40">
        <f>ROUND(F110*G110,2)</f>
        <v>0</v>
      </c>
      <c r="K110" s="40">
        <v>0.0312</v>
      </c>
      <c r="L110" s="40">
        <f>F110*K110</f>
        <v>35.852231999999994</v>
      </c>
      <c r="M110" s="41"/>
      <c r="N110" s="41" t="s">
        <v>47</v>
      </c>
      <c r="O110" s="40">
        <f>IF(N110="5",I110,0)</f>
        <v>0</v>
      </c>
      <c r="Z110" s="40">
        <f>IF(AD110=0,J110,0)</f>
        <v>0</v>
      </c>
      <c r="AA110" s="40">
        <f>IF(AD110=15,J110,0)</f>
        <v>0</v>
      </c>
      <c r="AB110" s="40">
        <f>IF(AD110=21,J110,0)</f>
        <v>0</v>
      </c>
      <c r="AD110" s="40">
        <v>21</v>
      </c>
      <c r="AE110" s="40">
        <f>G110*0.64089893768993</f>
        <v>0</v>
      </c>
      <c r="AF110" s="40">
        <f>G110*(1-0.64089893768993)</f>
        <v>0</v>
      </c>
    </row>
    <row r="111" spans="4:6" ht="12.75">
      <c r="D111" s="44" t="s">
        <v>228</v>
      </c>
      <c r="F111" s="45">
        <v>1111.42</v>
      </c>
    </row>
    <row r="112" spans="4:6" ht="12.75">
      <c r="D112" s="44" t="s">
        <v>229</v>
      </c>
      <c r="F112" s="45">
        <v>-174.76</v>
      </c>
    </row>
    <row r="113" spans="4:6" ht="12.75">
      <c r="D113" s="44" t="s">
        <v>230</v>
      </c>
      <c r="F113" s="45">
        <v>212.45</v>
      </c>
    </row>
    <row r="114" spans="1:32" ht="12.75">
      <c r="A114" s="10" t="s">
        <v>231</v>
      </c>
      <c r="B114" s="10"/>
      <c r="C114" s="10" t="s">
        <v>232</v>
      </c>
      <c r="D114" s="10" t="s">
        <v>233</v>
      </c>
      <c r="E114" s="10" t="s">
        <v>71</v>
      </c>
      <c r="F114" s="40">
        <v>96.24</v>
      </c>
      <c r="G114" s="40">
        <v>0</v>
      </c>
      <c r="H114" s="40">
        <f>ROUND(F114*AE114,2)</f>
        <v>0</v>
      </c>
      <c r="I114" s="40">
        <f>J114-H114</f>
        <v>0</v>
      </c>
      <c r="J114" s="40">
        <f>ROUND(F114*G114,2)</f>
        <v>0</v>
      </c>
      <c r="K114" s="40">
        <v>0.0225</v>
      </c>
      <c r="L114" s="40">
        <f>F114*K114</f>
        <v>2.1654</v>
      </c>
      <c r="M114" s="41" t="s">
        <v>72</v>
      </c>
      <c r="N114" s="41" t="s">
        <v>47</v>
      </c>
      <c r="O114" s="40">
        <f>IF(N114="5",I114,0)</f>
        <v>0</v>
      </c>
      <c r="Z114" s="40">
        <f>IF(AD114=0,J114,0)</f>
        <v>0</v>
      </c>
      <c r="AA114" s="40">
        <f>IF(AD114=15,J114,0)</f>
        <v>0</v>
      </c>
      <c r="AB114" s="40">
        <f>IF(AD114=21,J114,0)</f>
        <v>0</v>
      </c>
      <c r="AD114" s="40">
        <v>21</v>
      </c>
      <c r="AE114" s="40">
        <f>G114*0.591381529250483</f>
        <v>0</v>
      </c>
      <c r="AF114" s="40">
        <f>G114*(1-0.591381529250483)</f>
        <v>0</v>
      </c>
    </row>
    <row r="115" spans="4:6" ht="12.75">
      <c r="D115" s="44" t="s">
        <v>234</v>
      </c>
      <c r="F115" s="45">
        <v>96.24</v>
      </c>
    </row>
    <row r="116" spans="1:32" ht="12.75">
      <c r="A116" s="10" t="s">
        <v>235</v>
      </c>
      <c r="B116" s="10"/>
      <c r="C116" s="10" t="s">
        <v>236</v>
      </c>
      <c r="D116" s="10" t="s">
        <v>237</v>
      </c>
      <c r="E116" s="10" t="s">
        <v>71</v>
      </c>
      <c r="F116" s="40">
        <v>34.92</v>
      </c>
      <c r="G116" s="40">
        <v>0</v>
      </c>
      <c r="H116" s="40">
        <f>ROUND(F116*AE116,2)</f>
        <v>0</v>
      </c>
      <c r="I116" s="40">
        <f>J116-H116</f>
        <v>0</v>
      </c>
      <c r="J116" s="40">
        <f>ROUND(F116*G116,2)</f>
        <v>0</v>
      </c>
      <c r="K116" s="40">
        <v>0.01889</v>
      </c>
      <c r="L116" s="40">
        <f>F116*K116</f>
        <v>0.6596388000000001</v>
      </c>
      <c r="M116" s="41" t="s">
        <v>72</v>
      </c>
      <c r="N116" s="41" t="s">
        <v>47</v>
      </c>
      <c r="O116" s="40">
        <f>IF(N116="5",I116,0)</f>
        <v>0</v>
      </c>
      <c r="Z116" s="40">
        <f>IF(AD116=0,J116,0)</f>
        <v>0</v>
      </c>
      <c r="AA116" s="40">
        <f>IF(AD116=15,J116,0)</f>
        <v>0</v>
      </c>
      <c r="AB116" s="40">
        <f>IF(AD116=21,J116,0)</f>
        <v>0</v>
      </c>
      <c r="AD116" s="40">
        <v>21</v>
      </c>
      <c r="AE116" s="40">
        <f>G116*0.604430236863255</f>
        <v>0</v>
      </c>
      <c r="AF116" s="40">
        <f>G116*(1-0.604430236863255)</f>
        <v>0</v>
      </c>
    </row>
    <row r="117" spans="4:6" ht="12.75">
      <c r="D117" s="44" t="s">
        <v>238</v>
      </c>
      <c r="F117" s="45">
        <v>34.92</v>
      </c>
    </row>
    <row r="118" spans="1:32" ht="12.75">
      <c r="A118" s="10" t="s">
        <v>239</v>
      </c>
      <c r="B118" s="10"/>
      <c r="C118" s="10" t="s">
        <v>240</v>
      </c>
      <c r="D118" s="10" t="s">
        <v>241</v>
      </c>
      <c r="E118" s="10" t="s">
        <v>71</v>
      </c>
      <c r="F118" s="40">
        <v>2892.4</v>
      </c>
      <c r="G118" s="40">
        <v>0</v>
      </c>
      <c r="H118" s="40">
        <f>ROUND(F118*AE118,2)</f>
        <v>0</v>
      </c>
      <c r="I118" s="40">
        <f>J118-H118</f>
        <v>0</v>
      </c>
      <c r="J118" s="40">
        <f>ROUND(F118*G118,2)</f>
        <v>0</v>
      </c>
      <c r="K118" s="40">
        <v>0</v>
      </c>
      <c r="L118" s="40">
        <f>F118*K118</f>
        <v>0</v>
      </c>
      <c r="M118" s="41" t="s">
        <v>72</v>
      </c>
      <c r="N118" s="41" t="s">
        <v>47</v>
      </c>
      <c r="O118" s="40">
        <f>IF(N118="5",I118,0)</f>
        <v>0</v>
      </c>
      <c r="Z118" s="40">
        <f>IF(AD118=0,J118,0)</f>
        <v>0</v>
      </c>
      <c r="AA118" s="40">
        <f>IF(AD118=15,J118,0)</f>
        <v>0</v>
      </c>
      <c r="AB118" s="40">
        <f>IF(AD118=21,J118,0)</f>
        <v>0</v>
      </c>
      <c r="AD118" s="40">
        <v>21</v>
      </c>
      <c r="AE118" s="40">
        <f>G118*0.350493390430087</f>
        <v>0</v>
      </c>
      <c r="AF118" s="40">
        <f>G118*(1-0.350493390430087)</f>
        <v>0</v>
      </c>
    </row>
    <row r="119" spans="4:6" ht="12.75">
      <c r="D119" s="44" t="s">
        <v>242</v>
      </c>
      <c r="F119" s="45">
        <v>2841.77</v>
      </c>
    </row>
    <row r="120" spans="4:6" ht="12.75">
      <c r="D120" s="44" t="s">
        <v>243</v>
      </c>
      <c r="F120" s="45">
        <v>50.63</v>
      </c>
    </row>
    <row r="121" spans="1:32" ht="12.75">
      <c r="A121" s="10" t="s">
        <v>126</v>
      </c>
      <c r="B121" s="10"/>
      <c r="C121" s="10" t="s">
        <v>244</v>
      </c>
      <c r="D121" s="10" t="s">
        <v>245</v>
      </c>
      <c r="E121" s="10" t="s">
        <v>71</v>
      </c>
      <c r="F121" s="40">
        <v>50</v>
      </c>
      <c r="G121" s="40">
        <v>0</v>
      </c>
      <c r="H121" s="40">
        <f aca="true" t="shared" si="18" ref="H121:H122">ROUND(F121*AE121,2)</f>
        <v>0</v>
      </c>
      <c r="I121" s="40">
        <f aca="true" t="shared" si="19" ref="I121:I122">J121-H121</f>
        <v>0</v>
      </c>
      <c r="J121" s="40">
        <f aca="true" t="shared" si="20" ref="J121:J122">ROUND(F121*G121,2)</f>
        <v>0</v>
      </c>
      <c r="K121" s="40">
        <v>0.0099</v>
      </c>
      <c r="L121" s="40">
        <f aca="true" t="shared" si="21" ref="L121:L122">F121*K121</f>
        <v>0.49500000000000005</v>
      </c>
      <c r="M121" s="41"/>
      <c r="N121" s="41" t="s">
        <v>47</v>
      </c>
      <c r="O121" s="40">
        <f aca="true" t="shared" si="22" ref="O121:O122">IF(N121="5",I121,0)</f>
        <v>0</v>
      </c>
      <c r="Z121" s="40">
        <f aca="true" t="shared" si="23" ref="Z121:Z122">IF(AD121=0,J121,0)</f>
        <v>0</v>
      </c>
      <c r="AA121" s="40">
        <f aca="true" t="shared" si="24" ref="AA121:AA122">IF(AD121=15,J121,0)</f>
        <v>0</v>
      </c>
      <c r="AB121" s="40">
        <f aca="true" t="shared" si="25" ref="AB121:AB122">IF(AD121=21,J121,0)</f>
        <v>0</v>
      </c>
      <c r="AD121" s="40">
        <v>21</v>
      </c>
      <c r="AE121" s="40">
        <f>G121*0.524818661327142</f>
        <v>0</v>
      </c>
      <c r="AF121" s="40">
        <f>G121*(1-0.524818661327142)</f>
        <v>0</v>
      </c>
    </row>
    <row r="122" spans="1:32" ht="12.75">
      <c r="A122" s="10" t="s">
        <v>246</v>
      </c>
      <c r="B122" s="10"/>
      <c r="C122" s="10" t="s">
        <v>247</v>
      </c>
      <c r="D122" s="10" t="s">
        <v>248</v>
      </c>
      <c r="E122" s="10" t="s">
        <v>71</v>
      </c>
      <c r="F122" s="40">
        <v>517.84</v>
      </c>
      <c r="G122" s="40">
        <v>0</v>
      </c>
      <c r="H122" s="40">
        <f t="shared" si="18"/>
        <v>0</v>
      </c>
      <c r="I122" s="40">
        <f t="shared" si="19"/>
        <v>0</v>
      </c>
      <c r="J122" s="40">
        <f t="shared" si="20"/>
        <v>0</v>
      </c>
      <c r="K122" s="40">
        <v>0.0001</v>
      </c>
      <c r="L122" s="40">
        <f t="shared" si="21"/>
        <v>0.051784000000000004</v>
      </c>
      <c r="M122" s="41" t="s">
        <v>72</v>
      </c>
      <c r="N122" s="41" t="s">
        <v>47</v>
      </c>
      <c r="O122" s="40">
        <f t="shared" si="22"/>
        <v>0</v>
      </c>
      <c r="Z122" s="40">
        <f t="shared" si="23"/>
        <v>0</v>
      </c>
      <c r="AA122" s="40">
        <f t="shared" si="24"/>
        <v>0</v>
      </c>
      <c r="AB122" s="40">
        <f t="shared" si="25"/>
        <v>0</v>
      </c>
      <c r="AD122" s="40">
        <v>21</v>
      </c>
      <c r="AE122" s="40">
        <f>G122*0.363581549593006</f>
        <v>0</v>
      </c>
      <c r="AF122" s="40">
        <f>G122*(1-0.363581549593006)</f>
        <v>0</v>
      </c>
    </row>
    <row r="123" spans="4:6" ht="12.75">
      <c r="D123" s="44" t="s">
        <v>249</v>
      </c>
      <c r="F123" s="45">
        <v>517.84</v>
      </c>
    </row>
    <row r="124" spans="4:6" ht="12.75">
      <c r="D124" s="44" t="s">
        <v>44</v>
      </c>
      <c r="F124" s="45">
        <v>0</v>
      </c>
    </row>
    <row r="125" spans="1:32" ht="12.75">
      <c r="A125" s="10" t="s">
        <v>250</v>
      </c>
      <c r="B125" s="10"/>
      <c r="C125" s="10" t="s">
        <v>251</v>
      </c>
      <c r="D125" s="10" t="s">
        <v>252</v>
      </c>
      <c r="E125" s="10" t="s">
        <v>131</v>
      </c>
      <c r="F125" s="40">
        <v>1824</v>
      </c>
      <c r="G125" s="40">
        <v>0</v>
      </c>
      <c r="H125" s="40">
        <f>ROUND(F125*AE125,2)</f>
        <v>0</v>
      </c>
      <c r="I125" s="40">
        <f>J125-H125</f>
        <v>0</v>
      </c>
      <c r="J125" s="40">
        <f>ROUND(F125*G125,2)</f>
        <v>0</v>
      </c>
      <c r="K125" s="40">
        <v>0</v>
      </c>
      <c r="L125" s="40">
        <f>F125*K125</f>
        <v>0</v>
      </c>
      <c r="M125" s="41"/>
      <c r="N125" s="41" t="s">
        <v>47</v>
      </c>
      <c r="O125" s="40">
        <f>IF(N125="5",I125,0)</f>
        <v>0</v>
      </c>
      <c r="Z125" s="40">
        <f>IF(AD125=0,J125,0)</f>
        <v>0</v>
      </c>
      <c r="AA125" s="40">
        <f>IF(AD125=15,J125,0)</f>
        <v>0</v>
      </c>
      <c r="AB125" s="40">
        <f>IF(AD125=21,J125,0)</f>
        <v>0</v>
      </c>
      <c r="AD125" s="40">
        <v>21</v>
      </c>
      <c r="AE125" s="40">
        <f>G125*0.758868984896382</f>
        <v>0</v>
      </c>
      <c r="AF125" s="40">
        <f>G125*(1-0.758868984896382)</f>
        <v>0</v>
      </c>
    </row>
    <row r="126" spans="4:6" ht="12.75">
      <c r="D126" s="44" t="s">
        <v>253</v>
      </c>
      <c r="F126" s="45">
        <v>300</v>
      </c>
    </row>
    <row r="127" spans="4:6" ht="12.75">
      <c r="D127" s="44" t="s">
        <v>254</v>
      </c>
      <c r="F127" s="45">
        <v>432</v>
      </c>
    </row>
    <row r="128" spans="4:6" ht="12.75">
      <c r="D128" s="44" t="s">
        <v>255</v>
      </c>
      <c r="F128" s="45">
        <v>180</v>
      </c>
    </row>
    <row r="129" spans="4:6" ht="12.75">
      <c r="D129" s="44" t="s">
        <v>256</v>
      </c>
      <c r="F129" s="45">
        <v>576</v>
      </c>
    </row>
    <row r="130" spans="4:6" ht="12.75">
      <c r="D130" s="44" t="s">
        <v>257</v>
      </c>
      <c r="F130" s="45">
        <v>336</v>
      </c>
    </row>
    <row r="131" spans="1:32" ht="12.75">
      <c r="A131" s="10" t="s">
        <v>258</v>
      </c>
      <c r="B131" s="10"/>
      <c r="C131" s="10" t="s">
        <v>259</v>
      </c>
      <c r="D131" s="10" t="s">
        <v>260</v>
      </c>
      <c r="E131" s="10" t="s">
        <v>143</v>
      </c>
      <c r="F131" s="40">
        <v>1577.7</v>
      </c>
      <c r="G131" s="40">
        <v>0</v>
      </c>
      <c r="H131" s="40">
        <f>ROUND(F131*AE131,2)</f>
        <v>0</v>
      </c>
      <c r="I131" s="40">
        <f>J131-H131</f>
        <v>0</v>
      </c>
      <c r="J131" s="40">
        <f>ROUND(F131*G131,2)</f>
        <v>0</v>
      </c>
      <c r="K131" s="40">
        <v>0.00018</v>
      </c>
      <c r="L131" s="40">
        <f>F131*K131</f>
        <v>0.283986</v>
      </c>
      <c r="M131" s="41"/>
      <c r="N131" s="41" t="s">
        <v>47</v>
      </c>
      <c r="O131" s="40">
        <f>IF(N131="5",I131,0)</f>
        <v>0</v>
      </c>
      <c r="Z131" s="40">
        <f>IF(AD131=0,J131,0)</f>
        <v>0</v>
      </c>
      <c r="AA131" s="40">
        <f>IF(AD131=15,J131,0)</f>
        <v>0</v>
      </c>
      <c r="AB131" s="40">
        <f>IF(AD131=21,J131,0)</f>
        <v>0</v>
      </c>
      <c r="AD131" s="40">
        <v>21</v>
      </c>
      <c r="AE131" s="40">
        <f>G131*0.409360730593607</f>
        <v>0</v>
      </c>
      <c r="AF131" s="40">
        <f>G131*(1-0.409360730593607)</f>
        <v>0</v>
      </c>
    </row>
    <row r="132" spans="4:6" ht="12.75">
      <c r="D132" s="44" t="s">
        <v>261</v>
      </c>
      <c r="F132" s="45">
        <v>963.85</v>
      </c>
    </row>
    <row r="133" spans="4:6" ht="12.75">
      <c r="D133" s="44" t="s">
        <v>262</v>
      </c>
      <c r="F133" s="45">
        <v>230.55</v>
      </c>
    </row>
    <row r="134" spans="4:6" ht="12.75">
      <c r="D134" s="44" t="s">
        <v>263</v>
      </c>
      <c r="F134" s="45">
        <v>176.8</v>
      </c>
    </row>
    <row r="135" spans="4:6" ht="12.75">
      <c r="D135" s="44" t="s">
        <v>264</v>
      </c>
      <c r="F135" s="45">
        <v>18.55</v>
      </c>
    </row>
    <row r="136" spans="4:6" ht="12.75">
      <c r="D136" s="44" t="s">
        <v>265</v>
      </c>
      <c r="F136" s="45">
        <v>10.25</v>
      </c>
    </row>
    <row r="137" spans="4:6" ht="12.75">
      <c r="D137" s="44" t="s">
        <v>205</v>
      </c>
      <c r="F137" s="45">
        <v>91.1</v>
      </c>
    </row>
    <row r="138" spans="4:6" ht="12.75">
      <c r="D138" s="44" t="s">
        <v>266</v>
      </c>
      <c r="F138" s="45">
        <v>86.6</v>
      </c>
    </row>
    <row r="139" spans="1:32" ht="12.75">
      <c r="A139" s="10" t="s">
        <v>267</v>
      </c>
      <c r="B139" s="10"/>
      <c r="C139" s="10" t="s">
        <v>137</v>
      </c>
      <c r="D139" s="10" t="s">
        <v>268</v>
      </c>
      <c r="E139" s="10" t="s">
        <v>143</v>
      </c>
      <c r="F139" s="40">
        <v>189.18</v>
      </c>
      <c r="G139" s="40">
        <v>0</v>
      </c>
      <c r="H139" s="40">
        <f>ROUND(F139*AE139,2)</f>
        <v>0</v>
      </c>
      <c r="I139" s="40">
        <f>J139-H139</f>
        <v>0</v>
      </c>
      <c r="J139" s="40">
        <f>ROUND(F139*G139,2)</f>
        <v>0</v>
      </c>
      <c r="K139" s="40">
        <v>0.012</v>
      </c>
      <c r="L139" s="40">
        <f>F139*K139</f>
        <v>2.27016</v>
      </c>
      <c r="M139" s="41"/>
      <c r="N139" s="41" t="s">
        <v>44</v>
      </c>
      <c r="O139" s="40">
        <f>IF(N139="5",I139,0)</f>
        <v>0</v>
      </c>
      <c r="Z139" s="40">
        <f>IF(AD139=0,J139,0)</f>
        <v>0</v>
      </c>
      <c r="AA139" s="40">
        <f>IF(AD139=15,J139,0)</f>
        <v>0</v>
      </c>
      <c r="AB139" s="40">
        <f>IF(AD139=21,J139,0)</f>
        <v>0</v>
      </c>
      <c r="AD139" s="40">
        <v>21</v>
      </c>
      <c r="AE139" s="40">
        <f>G139*1</f>
        <v>0</v>
      </c>
      <c r="AF139" s="40">
        <f>G139*(1-1)</f>
        <v>0</v>
      </c>
    </row>
    <row r="140" spans="4:6" ht="12.75">
      <c r="D140" s="44" t="s">
        <v>263</v>
      </c>
      <c r="F140" s="45">
        <v>176.8</v>
      </c>
    </row>
    <row r="141" spans="4:6" ht="12.75">
      <c r="D141" s="44" t="s">
        <v>269</v>
      </c>
      <c r="F141" s="45">
        <v>12.38</v>
      </c>
    </row>
    <row r="142" spans="1:32" ht="12.75">
      <c r="A142" s="10" t="s">
        <v>270</v>
      </c>
      <c r="B142" s="10"/>
      <c r="C142" s="10" t="s">
        <v>137</v>
      </c>
      <c r="D142" s="10" t="s">
        <v>271</v>
      </c>
      <c r="E142" s="10" t="s">
        <v>143</v>
      </c>
      <c r="F142" s="40">
        <v>992.65</v>
      </c>
      <c r="G142" s="40">
        <v>0</v>
      </c>
      <c r="H142" s="40">
        <f>ROUND(F142*AE142,2)</f>
        <v>0</v>
      </c>
      <c r="I142" s="40">
        <f>J142-H142</f>
        <v>0</v>
      </c>
      <c r="J142" s="40">
        <f>ROUND(F142*G142,2)</f>
        <v>0</v>
      </c>
      <c r="K142" s="40">
        <v>0.012</v>
      </c>
      <c r="L142" s="40">
        <f>F142*K142</f>
        <v>11.9118</v>
      </c>
      <c r="M142" s="41"/>
      <c r="N142" s="41" t="s">
        <v>44</v>
      </c>
      <c r="O142" s="40">
        <f>IF(N142="5",I142,0)</f>
        <v>0</v>
      </c>
      <c r="Z142" s="40">
        <f>IF(AD142=0,J142,0)</f>
        <v>0</v>
      </c>
      <c r="AA142" s="40">
        <f>IF(AD142=15,J142,0)</f>
        <v>0</v>
      </c>
      <c r="AB142" s="40">
        <f>IF(AD142=21,J142,0)</f>
        <v>0</v>
      </c>
      <c r="AD142" s="40">
        <v>21</v>
      </c>
      <c r="AE142" s="40">
        <f>G142*1</f>
        <v>0</v>
      </c>
      <c r="AF142" s="40">
        <f>G142*(1-1)</f>
        <v>0</v>
      </c>
    </row>
    <row r="143" spans="4:6" ht="12.75">
      <c r="D143" s="44" t="s">
        <v>261</v>
      </c>
      <c r="F143" s="45">
        <v>963.85</v>
      </c>
    </row>
    <row r="144" spans="4:6" ht="12.75">
      <c r="D144" s="44" t="s">
        <v>264</v>
      </c>
      <c r="F144" s="45">
        <v>18.55</v>
      </c>
    </row>
    <row r="145" spans="4:6" ht="12.75">
      <c r="D145" s="44" t="s">
        <v>265</v>
      </c>
      <c r="F145" s="45">
        <v>10.25</v>
      </c>
    </row>
    <row r="146" spans="1:32" ht="12.75">
      <c r="A146" s="10" t="s">
        <v>272</v>
      </c>
      <c r="B146" s="10"/>
      <c r="C146" s="10" t="s">
        <v>273</v>
      </c>
      <c r="D146" s="10" t="s">
        <v>274</v>
      </c>
      <c r="E146" s="10" t="s">
        <v>143</v>
      </c>
      <c r="F146" s="40">
        <v>86.6</v>
      </c>
      <c r="G146" s="40">
        <v>0</v>
      </c>
      <c r="H146" s="40">
        <f>ROUND(F146*AE146,2)</f>
        <v>0</v>
      </c>
      <c r="I146" s="40">
        <f>J146-H146</f>
        <v>0</v>
      </c>
      <c r="J146" s="40">
        <f>ROUND(F146*G146,2)</f>
        <v>0</v>
      </c>
      <c r="K146" s="40">
        <v>0.001</v>
      </c>
      <c r="L146" s="40">
        <f>F146*K146</f>
        <v>0.0866</v>
      </c>
      <c r="M146" s="41"/>
      <c r="N146" s="41" t="s">
        <v>44</v>
      </c>
      <c r="O146" s="40">
        <f>IF(N146="5",I146,0)</f>
        <v>0</v>
      </c>
      <c r="Z146" s="40">
        <f>IF(AD146=0,J146,0)</f>
        <v>0</v>
      </c>
      <c r="AA146" s="40">
        <f>IF(AD146=15,J146,0)</f>
        <v>0</v>
      </c>
      <c r="AB146" s="40">
        <f>IF(AD146=21,J146,0)</f>
        <v>0</v>
      </c>
      <c r="AD146" s="40">
        <v>21</v>
      </c>
      <c r="AE146" s="40">
        <f>G146*1</f>
        <v>0</v>
      </c>
      <c r="AF146" s="40">
        <f>G146*(1-1)</f>
        <v>0</v>
      </c>
    </row>
    <row r="147" spans="4:6" ht="12.75">
      <c r="D147" s="44" t="s">
        <v>266</v>
      </c>
      <c r="F147" s="45">
        <v>86.6</v>
      </c>
    </row>
    <row r="148" spans="1:32" ht="12.75">
      <c r="A148" s="10" t="s">
        <v>275</v>
      </c>
      <c r="B148" s="10"/>
      <c r="C148" s="10" t="s">
        <v>276</v>
      </c>
      <c r="D148" s="10" t="s">
        <v>277</v>
      </c>
      <c r="E148" s="10" t="s">
        <v>71</v>
      </c>
      <c r="F148" s="40">
        <v>20.8</v>
      </c>
      <c r="G148" s="40">
        <v>0</v>
      </c>
      <c r="H148" s="40">
        <f>ROUND(F148*AE148,2)</f>
        <v>0</v>
      </c>
      <c r="I148" s="40">
        <f>J148-H148</f>
        <v>0</v>
      </c>
      <c r="J148" s="40">
        <f>ROUND(F148*G148,2)</f>
        <v>0</v>
      </c>
      <c r="K148" s="40">
        <v>0.05793</v>
      </c>
      <c r="L148" s="40">
        <f>F148*K148</f>
        <v>1.204944</v>
      </c>
      <c r="M148" s="41" t="s">
        <v>72</v>
      </c>
      <c r="N148" s="41" t="s">
        <v>47</v>
      </c>
      <c r="O148" s="40">
        <f>IF(N148="5",I148,0)</f>
        <v>0</v>
      </c>
      <c r="Z148" s="40">
        <f>IF(AD148=0,J148,0)</f>
        <v>0</v>
      </c>
      <c r="AA148" s="40">
        <f>IF(AD148=15,J148,0)</f>
        <v>0</v>
      </c>
      <c r="AB148" s="40">
        <f>IF(AD148=21,J148,0)</f>
        <v>0</v>
      </c>
      <c r="AD148" s="40">
        <v>21</v>
      </c>
      <c r="AE148" s="40">
        <f>G148*0.324590307982953</f>
        <v>0</v>
      </c>
      <c r="AF148" s="40">
        <f>G148*(1-0.324590307982953)</f>
        <v>0</v>
      </c>
    </row>
    <row r="149" spans="4:6" ht="12.75">
      <c r="D149" s="44" t="s">
        <v>278</v>
      </c>
      <c r="F149" s="45">
        <v>20.8</v>
      </c>
    </row>
    <row r="150" spans="1:32" ht="12.75">
      <c r="A150" s="10" t="s">
        <v>279</v>
      </c>
      <c r="B150" s="10"/>
      <c r="C150" s="10" t="s">
        <v>280</v>
      </c>
      <c r="D150" s="10" t="s">
        <v>281</v>
      </c>
      <c r="E150" s="10" t="s">
        <v>71</v>
      </c>
      <c r="F150" s="40">
        <v>50.63</v>
      </c>
      <c r="G150" s="40">
        <v>0</v>
      </c>
      <c r="H150" s="40">
        <f>ROUND(F150*AE150,2)</f>
        <v>0</v>
      </c>
      <c r="I150" s="40">
        <f>J150-H150</f>
        <v>0</v>
      </c>
      <c r="J150" s="40">
        <f>ROUND(F150*G150,2)</f>
        <v>0</v>
      </c>
      <c r="K150" s="40">
        <v>0.01256</v>
      </c>
      <c r="L150" s="40">
        <f>F150*K150</f>
        <v>0.6359128000000001</v>
      </c>
      <c r="M150" s="41"/>
      <c r="N150" s="41" t="s">
        <v>47</v>
      </c>
      <c r="O150" s="40">
        <f>IF(N150="5",I150,0)</f>
        <v>0</v>
      </c>
      <c r="Z150" s="40">
        <f>IF(AD150=0,J150,0)</f>
        <v>0</v>
      </c>
      <c r="AA150" s="40">
        <f>IF(AD150=15,J150,0)</f>
        <v>0</v>
      </c>
      <c r="AB150" s="40">
        <f>IF(AD150=21,J150,0)</f>
        <v>0</v>
      </c>
      <c r="AD150" s="40">
        <v>21</v>
      </c>
      <c r="AE150" s="40">
        <f>G150*0.422328576619016</f>
        <v>0</v>
      </c>
      <c r="AF150" s="40">
        <f>G150*(1-0.422328576619016)</f>
        <v>0</v>
      </c>
    </row>
    <row r="151" spans="4:6" ht="12.75">
      <c r="D151" s="44" t="s">
        <v>282</v>
      </c>
      <c r="F151" s="45">
        <v>52.64</v>
      </c>
    </row>
    <row r="152" spans="4:6" ht="12.75">
      <c r="D152" s="44" t="s">
        <v>283</v>
      </c>
      <c r="F152" s="45">
        <v>-1.44</v>
      </c>
    </row>
    <row r="153" spans="4:6" ht="12.75">
      <c r="D153" s="44" t="s">
        <v>284</v>
      </c>
      <c r="F153" s="45">
        <v>-0.58</v>
      </c>
    </row>
    <row r="154" spans="1:32" ht="12.75">
      <c r="A154" s="10" t="s">
        <v>285</v>
      </c>
      <c r="B154" s="10"/>
      <c r="C154" s="10" t="s">
        <v>286</v>
      </c>
      <c r="D154" s="10" t="s">
        <v>287</v>
      </c>
      <c r="E154" s="10" t="s">
        <v>71</v>
      </c>
      <c r="F154" s="40">
        <v>50.63</v>
      </c>
      <c r="G154" s="40">
        <v>0</v>
      </c>
      <c r="H154" s="40">
        <f>ROUND(F154*AE154,2)</f>
        <v>0</v>
      </c>
      <c r="I154" s="40">
        <f>J154-H154</f>
        <v>0</v>
      </c>
      <c r="J154" s="40">
        <f>ROUND(F154*G154,2)</f>
        <v>0</v>
      </c>
      <c r="K154" s="40">
        <v>0</v>
      </c>
      <c r="L154" s="40">
        <f>F154*K154</f>
        <v>0</v>
      </c>
      <c r="M154" s="41"/>
      <c r="N154" s="41" t="s">
        <v>47</v>
      </c>
      <c r="O154" s="40">
        <f>IF(N154="5",I154,0)</f>
        <v>0</v>
      </c>
      <c r="Z154" s="40">
        <f>IF(AD154=0,J154,0)</f>
        <v>0</v>
      </c>
      <c r="AA154" s="40">
        <f>IF(AD154=15,J154,0)</f>
        <v>0</v>
      </c>
      <c r="AB154" s="40">
        <f>IF(AD154=21,J154,0)</f>
        <v>0</v>
      </c>
      <c r="AD154" s="40">
        <v>21</v>
      </c>
      <c r="AE154" s="40">
        <f>G154*0</f>
        <v>0</v>
      </c>
      <c r="AF154" s="40">
        <f>G154*(1-0)</f>
        <v>0</v>
      </c>
    </row>
    <row r="155" spans="4:6" ht="12.75">
      <c r="D155" s="44" t="s">
        <v>288</v>
      </c>
      <c r="F155" s="45">
        <v>52.64</v>
      </c>
    </row>
    <row r="156" spans="4:6" ht="12.75">
      <c r="D156" s="44" t="s">
        <v>283</v>
      </c>
      <c r="F156" s="45">
        <v>-1.44</v>
      </c>
    </row>
    <row r="157" spans="4:6" ht="12.75">
      <c r="D157" s="44" t="s">
        <v>284</v>
      </c>
      <c r="F157" s="45">
        <v>-0.58</v>
      </c>
    </row>
    <row r="158" spans="1:32" ht="12.75">
      <c r="A158" s="10" t="s">
        <v>289</v>
      </c>
      <c r="B158" s="10"/>
      <c r="C158" s="10" t="s">
        <v>290</v>
      </c>
      <c r="D158" s="10" t="s">
        <v>291</v>
      </c>
      <c r="E158" s="10" t="s">
        <v>71</v>
      </c>
      <c r="F158" s="40">
        <v>11.95</v>
      </c>
      <c r="G158" s="40">
        <v>0</v>
      </c>
      <c r="H158" s="40">
        <f>ROUND(F158*AE158,2)</f>
        <v>0</v>
      </c>
      <c r="I158" s="40">
        <f>J158-H158</f>
        <v>0</v>
      </c>
      <c r="J158" s="40">
        <f>ROUND(F158*G158,2)</f>
        <v>0</v>
      </c>
      <c r="K158" s="40">
        <v>0.06207</v>
      </c>
      <c r="L158" s="40">
        <f>F158*K158</f>
        <v>0.7417364999999999</v>
      </c>
      <c r="M158" s="41"/>
      <c r="N158" s="41" t="s">
        <v>47</v>
      </c>
      <c r="O158" s="40">
        <f>IF(N158="5",I158,0)</f>
        <v>0</v>
      </c>
      <c r="Z158" s="40">
        <f>IF(AD158=0,J158,0)</f>
        <v>0</v>
      </c>
      <c r="AA158" s="40">
        <f>IF(AD158=15,J158,0)</f>
        <v>0</v>
      </c>
      <c r="AB158" s="40">
        <f>IF(AD158=21,J158,0)</f>
        <v>0</v>
      </c>
      <c r="AD158" s="40">
        <v>21</v>
      </c>
      <c r="AE158" s="40">
        <f>G158*0.392878471185429</f>
        <v>0</v>
      </c>
      <c r="AF158" s="40">
        <f>G158*(1-0.392878471185429)</f>
        <v>0</v>
      </c>
    </row>
    <row r="159" spans="4:6" ht="12.75">
      <c r="D159" s="44" t="s">
        <v>292</v>
      </c>
      <c r="F159" s="45">
        <v>2.89</v>
      </c>
    </row>
    <row r="160" spans="4:6" ht="12.75">
      <c r="D160" s="44" t="s">
        <v>293</v>
      </c>
      <c r="F160" s="45">
        <v>3.78</v>
      </c>
    </row>
    <row r="161" spans="4:6" ht="12.75">
      <c r="D161" s="44" t="s">
        <v>294</v>
      </c>
      <c r="F161" s="45">
        <v>4.2</v>
      </c>
    </row>
    <row r="162" spans="4:6" ht="12.75">
      <c r="D162" s="44" t="s">
        <v>295</v>
      </c>
      <c r="F162" s="45">
        <v>1.08</v>
      </c>
    </row>
    <row r="163" spans="1:32" ht="12.75">
      <c r="A163" s="10" t="s">
        <v>296</v>
      </c>
      <c r="B163" s="10"/>
      <c r="C163" s="10" t="s">
        <v>297</v>
      </c>
      <c r="D163" s="10" t="s">
        <v>298</v>
      </c>
      <c r="E163" s="10" t="s">
        <v>71</v>
      </c>
      <c r="F163" s="40">
        <v>98.45</v>
      </c>
      <c r="G163" s="40">
        <v>0</v>
      </c>
      <c r="H163" s="40">
        <f>ROUND(F163*AE163,2)</f>
        <v>0</v>
      </c>
      <c r="I163" s="40">
        <f>J163-H163</f>
        <v>0</v>
      </c>
      <c r="J163" s="40">
        <f>ROUND(F163*G163,2)</f>
        <v>0</v>
      </c>
      <c r="K163" s="40">
        <v>0.05629</v>
      </c>
      <c r="L163" s="40">
        <f>F163*K163</f>
        <v>5.5417505</v>
      </c>
      <c r="M163" s="41" t="s">
        <v>72</v>
      </c>
      <c r="N163" s="41" t="s">
        <v>47</v>
      </c>
      <c r="O163" s="40">
        <f>IF(N163="5",I163,0)</f>
        <v>0</v>
      </c>
      <c r="Z163" s="40">
        <f>IF(AD163=0,J163,0)</f>
        <v>0</v>
      </c>
      <c r="AA163" s="40">
        <f>IF(AD163=15,J163,0)</f>
        <v>0</v>
      </c>
      <c r="AB163" s="40">
        <f>IF(AD163=21,J163,0)</f>
        <v>0</v>
      </c>
      <c r="AD163" s="40">
        <v>21</v>
      </c>
      <c r="AE163" s="40">
        <f>G163*0.220516144714986</f>
        <v>0</v>
      </c>
      <c r="AF163" s="40">
        <f>G163*(1-0.220516144714986)</f>
        <v>0</v>
      </c>
    </row>
    <row r="164" spans="4:6" ht="12.75">
      <c r="D164" s="44" t="s">
        <v>299</v>
      </c>
      <c r="F164" s="45">
        <v>11.95</v>
      </c>
    </row>
    <row r="165" spans="4:6" ht="12.75">
      <c r="D165" s="44" t="s">
        <v>300</v>
      </c>
      <c r="F165" s="45">
        <v>86.5</v>
      </c>
    </row>
    <row r="166" spans="1:37" ht="12.75">
      <c r="A166" s="42"/>
      <c r="B166" s="43"/>
      <c r="C166" s="43" t="s">
        <v>301</v>
      </c>
      <c r="D166" s="43" t="s">
        <v>302</v>
      </c>
      <c r="E166" s="43"/>
      <c r="F166" s="43"/>
      <c r="G166" s="43"/>
      <c r="H166" s="39">
        <f>SUM(H167:H171)</f>
        <v>0</v>
      </c>
      <c r="I166" s="39">
        <f>SUM(I167:I171)</f>
        <v>0</v>
      </c>
      <c r="J166" s="39">
        <f>H166+I166</f>
        <v>0</v>
      </c>
      <c r="K166" s="34"/>
      <c r="L166" s="39">
        <f>SUM(L167:L171)</f>
        <v>16.265885400000002</v>
      </c>
      <c r="M166" s="34"/>
      <c r="P166" s="39">
        <f>IF(Q166="PR",J166,SUM(O167:O171))</f>
        <v>0</v>
      </c>
      <c r="Q166" s="34" t="s">
        <v>46</v>
      </c>
      <c r="R166" s="39">
        <f>IF(Q166="HS",H166,0)</f>
        <v>0</v>
      </c>
      <c r="S166" s="39">
        <f>IF(Q166="HS",I166-P166,0)</f>
        <v>0</v>
      </c>
      <c r="T166" s="39">
        <f>IF(Q166="PS",H166,0)</f>
        <v>0</v>
      </c>
      <c r="U166" s="39">
        <f>IF(Q166="PS",I166-P166,0)</f>
        <v>0</v>
      </c>
      <c r="V166" s="39">
        <f>IF(Q166="MP",H166,0)</f>
        <v>0</v>
      </c>
      <c r="W166" s="39">
        <f>IF(Q166="MP",I166-P166,0)</f>
        <v>0</v>
      </c>
      <c r="X166" s="39">
        <f>IF(Q166="OM",H166,0)</f>
        <v>0</v>
      </c>
      <c r="Y166" s="34"/>
      <c r="AI166" s="39">
        <f>SUM(Z167:Z171)</f>
        <v>0</v>
      </c>
      <c r="AJ166" s="39">
        <f>SUM(AA167:AA171)</f>
        <v>0</v>
      </c>
      <c r="AK166" s="39">
        <f>SUM(AB167:AB171)</f>
        <v>0</v>
      </c>
    </row>
    <row r="167" spans="1:32" ht="12.75">
      <c r="A167" s="10" t="s">
        <v>303</v>
      </c>
      <c r="B167" s="10"/>
      <c r="C167" s="10" t="s">
        <v>304</v>
      </c>
      <c r="D167" s="10" t="s">
        <v>305</v>
      </c>
      <c r="E167" s="10" t="s">
        <v>83</v>
      </c>
      <c r="F167" s="40">
        <v>4.98</v>
      </c>
      <c r="G167" s="40">
        <v>0</v>
      </c>
      <c r="H167" s="40">
        <f>ROUND(F167*AE167,2)</f>
        <v>0</v>
      </c>
      <c r="I167" s="40">
        <f>J167-H167</f>
        <v>0</v>
      </c>
      <c r="J167" s="40">
        <f>ROUND(F167*G167,2)</f>
        <v>0</v>
      </c>
      <c r="K167" s="40">
        <v>2.42198</v>
      </c>
      <c r="L167" s="40">
        <f>F167*K167</f>
        <v>12.061460400000001</v>
      </c>
      <c r="M167" s="41" t="s">
        <v>72</v>
      </c>
      <c r="N167" s="41" t="s">
        <v>47</v>
      </c>
      <c r="O167" s="40">
        <f>IF(N167="5",I167,0)</f>
        <v>0</v>
      </c>
      <c r="Z167" s="40">
        <f>IF(AD167=0,J167,0)</f>
        <v>0</v>
      </c>
      <c r="AA167" s="40">
        <f>IF(AD167=15,J167,0)</f>
        <v>0</v>
      </c>
      <c r="AB167" s="40">
        <f>IF(AD167=21,J167,0)</f>
        <v>0</v>
      </c>
      <c r="AD167" s="40">
        <v>21</v>
      </c>
      <c r="AE167" s="40">
        <f>G167*0.762758676245084</f>
        <v>0</v>
      </c>
      <c r="AF167" s="40">
        <f>G167*(1-0.762758676245084)</f>
        <v>0</v>
      </c>
    </row>
    <row r="168" spans="4:6" ht="12.75">
      <c r="D168" s="44" t="s">
        <v>306</v>
      </c>
      <c r="F168" s="45">
        <v>4.98</v>
      </c>
    </row>
    <row r="169" spans="1:32" ht="12.75">
      <c r="A169" s="10" t="s">
        <v>307</v>
      </c>
      <c r="B169" s="10"/>
      <c r="C169" s="10" t="s">
        <v>308</v>
      </c>
      <c r="D169" s="10" t="s">
        <v>309</v>
      </c>
      <c r="E169" s="10" t="s">
        <v>83</v>
      </c>
      <c r="F169" s="40">
        <v>9.96</v>
      </c>
      <c r="G169" s="40">
        <v>0</v>
      </c>
      <c r="H169" s="40">
        <f>ROUND(F169*AE169,2)</f>
        <v>0</v>
      </c>
      <c r="I169" s="40">
        <f>J169-H169</f>
        <v>0</v>
      </c>
      <c r="J169" s="40">
        <f>ROUND(F169*G169,2)</f>
        <v>0</v>
      </c>
      <c r="K169" s="40">
        <v>0.42</v>
      </c>
      <c r="L169" s="40">
        <f>F169*K169</f>
        <v>4.1832</v>
      </c>
      <c r="M169" s="41" t="s">
        <v>72</v>
      </c>
      <c r="N169" s="41" t="s">
        <v>47</v>
      </c>
      <c r="O169" s="40">
        <f>IF(N169="5",I169,0)</f>
        <v>0</v>
      </c>
      <c r="Z169" s="40">
        <f>IF(AD169=0,J169,0)</f>
        <v>0</v>
      </c>
      <c r="AA169" s="40">
        <f>IF(AD169=15,J169,0)</f>
        <v>0</v>
      </c>
      <c r="AB169" s="40">
        <f>IF(AD169=21,J169,0)</f>
        <v>0</v>
      </c>
      <c r="AD169" s="40">
        <v>21</v>
      </c>
      <c r="AE169" s="40">
        <f>G169*0.79800542538342</f>
        <v>0</v>
      </c>
      <c r="AF169" s="40">
        <f>G169*(1-0.79800542538342)</f>
        <v>0</v>
      </c>
    </row>
    <row r="170" spans="4:6" ht="12.75">
      <c r="D170" s="44" t="s">
        <v>310</v>
      </c>
      <c r="F170" s="45">
        <v>9.96</v>
      </c>
    </row>
    <row r="171" spans="1:32" ht="12.75">
      <c r="A171" s="10" t="s">
        <v>311</v>
      </c>
      <c r="B171" s="10"/>
      <c r="C171" s="10" t="s">
        <v>312</v>
      </c>
      <c r="D171" s="10" t="s">
        <v>313</v>
      </c>
      <c r="E171" s="10" t="s">
        <v>71</v>
      </c>
      <c r="F171" s="40">
        <v>5.66</v>
      </c>
      <c r="G171" s="40">
        <v>0</v>
      </c>
      <c r="H171" s="40">
        <f>ROUND(F171*AE171,2)</f>
        <v>0</v>
      </c>
      <c r="I171" s="40">
        <f>J171-H171</f>
        <v>0</v>
      </c>
      <c r="J171" s="40">
        <f>ROUND(F171*G171,2)</f>
        <v>0</v>
      </c>
      <c r="K171" s="40">
        <v>0.00375</v>
      </c>
      <c r="L171" s="40">
        <f>F171*K171</f>
        <v>0.021225</v>
      </c>
      <c r="M171" s="41"/>
      <c r="N171" s="41" t="s">
        <v>47</v>
      </c>
      <c r="O171" s="40">
        <f>IF(N171="5",I171,0)</f>
        <v>0</v>
      </c>
      <c r="Z171" s="40">
        <f>IF(AD171=0,J171,0)</f>
        <v>0</v>
      </c>
      <c r="AA171" s="40">
        <f>IF(AD171=15,J171,0)</f>
        <v>0</v>
      </c>
      <c r="AB171" s="40">
        <f>IF(AD171=21,J171,0)</f>
        <v>0</v>
      </c>
      <c r="AD171" s="40">
        <v>21</v>
      </c>
      <c r="AE171" s="40">
        <f>G171*0.417166133255746</f>
        <v>0</v>
      </c>
      <c r="AF171" s="40">
        <f>G171*(1-0.417166133255746)</f>
        <v>0</v>
      </c>
    </row>
    <row r="172" spans="4:6" ht="12.75">
      <c r="D172" s="44" t="s">
        <v>314</v>
      </c>
      <c r="F172" s="45">
        <v>5.66</v>
      </c>
    </row>
    <row r="173" spans="1:37" ht="12.75">
      <c r="A173" s="42"/>
      <c r="B173" s="43"/>
      <c r="C173" s="43" t="s">
        <v>315</v>
      </c>
      <c r="D173" s="43" t="s">
        <v>316</v>
      </c>
      <c r="E173" s="43"/>
      <c r="F173" s="43"/>
      <c r="G173" s="43"/>
      <c r="H173" s="39">
        <f>SUM(H174:H176)</f>
        <v>0</v>
      </c>
      <c r="I173" s="39">
        <f>SUM(I174:I176)</f>
        <v>0</v>
      </c>
      <c r="J173" s="39">
        <f>H173+I173</f>
        <v>0</v>
      </c>
      <c r="K173" s="34"/>
      <c r="L173" s="39">
        <f>SUM(L174:L176)</f>
        <v>0.016980000000000002</v>
      </c>
      <c r="M173" s="34"/>
      <c r="P173" s="39">
        <f>IF(Q173="PR",J173,SUM(O174:O176))</f>
        <v>0</v>
      </c>
      <c r="Q173" s="34" t="s">
        <v>317</v>
      </c>
      <c r="R173" s="39">
        <f>IF(Q173="HS",H173,0)</f>
        <v>0</v>
      </c>
      <c r="S173" s="39">
        <f>IF(Q173="HS",I173-P173,0)</f>
        <v>0</v>
      </c>
      <c r="T173" s="39">
        <f>IF(Q173="PS",H173,0)</f>
        <v>0</v>
      </c>
      <c r="U173" s="39">
        <f>IF(Q173="PS",I173-P173,0)</f>
        <v>0</v>
      </c>
      <c r="V173" s="39">
        <f>IF(Q173="MP",H173,0)</f>
        <v>0</v>
      </c>
      <c r="W173" s="39">
        <f>IF(Q173="MP",I173-P173,0)</f>
        <v>0</v>
      </c>
      <c r="X173" s="39">
        <f>IF(Q173="OM",H173,0)</f>
        <v>0</v>
      </c>
      <c r="Y173" s="34"/>
      <c r="AI173" s="39">
        <f>SUM(Z174:Z176)</f>
        <v>0</v>
      </c>
      <c r="AJ173" s="39">
        <f>SUM(AA174:AA176)</f>
        <v>0</v>
      </c>
      <c r="AK173" s="39">
        <f>SUM(AB174:AB176)</f>
        <v>0</v>
      </c>
    </row>
    <row r="174" spans="1:32" ht="12.75">
      <c r="A174" s="10" t="s">
        <v>318</v>
      </c>
      <c r="B174" s="10"/>
      <c r="C174" s="10" t="s">
        <v>319</v>
      </c>
      <c r="D174" s="10" t="s">
        <v>320</v>
      </c>
      <c r="E174" s="10" t="s">
        <v>71</v>
      </c>
      <c r="F174" s="40">
        <v>5.66</v>
      </c>
      <c r="G174" s="40">
        <v>0</v>
      </c>
      <c r="H174" s="40">
        <f>ROUND(F174*AE174,2)</f>
        <v>0</v>
      </c>
      <c r="I174" s="40">
        <f>J174-H174</f>
        <v>0</v>
      </c>
      <c r="J174" s="40">
        <f>ROUND(F174*G174,2)</f>
        <v>0</v>
      </c>
      <c r="K174" s="40">
        <v>0.003</v>
      </c>
      <c r="L174" s="40">
        <f>F174*K174</f>
        <v>0.016980000000000002</v>
      </c>
      <c r="M174" s="41" t="s">
        <v>72</v>
      </c>
      <c r="N174" s="41" t="s">
        <v>47</v>
      </c>
      <c r="O174" s="40">
        <f>IF(N174="5",I174,0)</f>
        <v>0</v>
      </c>
      <c r="Z174" s="40">
        <f>IF(AD174=0,J174,0)</f>
        <v>0</v>
      </c>
      <c r="AA174" s="40">
        <f>IF(AD174=15,J174,0)</f>
        <v>0</v>
      </c>
      <c r="AB174" s="40">
        <f>IF(AD174=21,J174,0)</f>
        <v>0</v>
      </c>
      <c r="AD174" s="40">
        <v>21</v>
      </c>
      <c r="AE174" s="40">
        <f>G174*0.623238353129423</f>
        <v>0</v>
      </c>
      <c r="AF174" s="40">
        <f>G174*(1-0.623238353129423)</f>
        <v>0</v>
      </c>
    </row>
    <row r="175" spans="4:6" ht="12.75">
      <c r="D175" s="44" t="s">
        <v>314</v>
      </c>
      <c r="F175" s="45">
        <v>5.66</v>
      </c>
    </row>
    <row r="176" spans="1:32" ht="12.75">
      <c r="A176" s="10" t="s">
        <v>158</v>
      </c>
      <c r="B176" s="10"/>
      <c r="C176" s="10" t="s">
        <v>321</v>
      </c>
      <c r="D176" s="10" t="s">
        <v>322</v>
      </c>
      <c r="E176" s="10" t="s">
        <v>113</v>
      </c>
      <c r="F176" s="40">
        <v>0.01698</v>
      </c>
      <c r="G176" s="40">
        <v>0</v>
      </c>
      <c r="H176" s="40">
        <f>ROUND(F176*AE176,2)</f>
        <v>0</v>
      </c>
      <c r="I176" s="40">
        <f>J176-H176</f>
        <v>0</v>
      </c>
      <c r="J176" s="40">
        <f>ROUND(F176*G176,2)</f>
        <v>0</v>
      </c>
      <c r="K176" s="40">
        <v>0</v>
      </c>
      <c r="L176" s="40">
        <f>F176*K176</f>
        <v>0</v>
      </c>
      <c r="M176" s="41" t="s">
        <v>72</v>
      </c>
      <c r="N176" s="41" t="s">
        <v>60</v>
      </c>
      <c r="O176" s="40">
        <f>IF(N176="5",I176,0)</f>
        <v>0</v>
      </c>
      <c r="Z176" s="40">
        <f>IF(AD176=0,J176,0)</f>
        <v>0</v>
      </c>
      <c r="AA176" s="40">
        <f>IF(AD176=15,J176,0)</f>
        <v>0</v>
      </c>
      <c r="AB176" s="40">
        <f>IF(AD176=21,J176,0)</f>
        <v>0</v>
      </c>
      <c r="AD176" s="40">
        <v>21</v>
      </c>
      <c r="AE176" s="40">
        <f>G176*0</f>
        <v>0</v>
      </c>
      <c r="AF176" s="40">
        <f>G176*(1-0)</f>
        <v>0</v>
      </c>
    </row>
    <row r="177" spans="1:37" ht="12.75">
      <c r="A177" s="42"/>
      <c r="B177" s="43"/>
      <c r="C177" s="43" t="s">
        <v>323</v>
      </c>
      <c r="D177" s="43" t="s">
        <v>324</v>
      </c>
      <c r="E177" s="43"/>
      <c r="F177" s="43"/>
      <c r="G177" s="43"/>
      <c r="H177" s="39">
        <f>SUM(H178:H199)</f>
        <v>0</v>
      </c>
      <c r="I177" s="39">
        <f>SUM(I178:I199)</f>
        <v>0</v>
      </c>
      <c r="J177" s="39">
        <f>H177+I177</f>
        <v>0</v>
      </c>
      <c r="K177" s="34"/>
      <c r="L177" s="39">
        <f>SUM(L178:L199)</f>
        <v>5.4360731</v>
      </c>
      <c r="M177" s="34"/>
      <c r="P177" s="39">
        <f>IF(Q177="PR",J177,SUM(O178:O199))</f>
        <v>0</v>
      </c>
      <c r="Q177" s="34" t="s">
        <v>317</v>
      </c>
      <c r="R177" s="39">
        <f>IF(Q177="HS",H177,0)</f>
        <v>0</v>
      </c>
      <c r="S177" s="39">
        <f>IF(Q177="HS",I177-P177,0)</f>
        <v>0</v>
      </c>
      <c r="T177" s="39">
        <f>IF(Q177="PS",H177,0)</f>
        <v>0</v>
      </c>
      <c r="U177" s="39">
        <f>IF(Q177="PS",I177-P177,0)</f>
        <v>0</v>
      </c>
      <c r="V177" s="39">
        <f>IF(Q177="MP",H177,0)</f>
        <v>0</v>
      </c>
      <c r="W177" s="39">
        <f>IF(Q177="MP",I177-P177,0)</f>
        <v>0</v>
      </c>
      <c r="X177" s="39">
        <f>IF(Q177="OM",H177,0)</f>
        <v>0</v>
      </c>
      <c r="Y177" s="34"/>
      <c r="AI177" s="39">
        <f>SUM(Z178:Z199)</f>
        <v>0</v>
      </c>
      <c r="AJ177" s="39">
        <f>SUM(AA178:AA199)</f>
        <v>0</v>
      </c>
      <c r="AK177" s="39">
        <f>SUM(AB178:AB199)</f>
        <v>0</v>
      </c>
    </row>
    <row r="178" spans="1:32" ht="12.75">
      <c r="A178" s="10" t="s">
        <v>325</v>
      </c>
      <c r="B178" s="10"/>
      <c r="C178" s="10" t="s">
        <v>326</v>
      </c>
      <c r="D178" s="10" t="s">
        <v>327</v>
      </c>
      <c r="E178" s="10" t="s">
        <v>71</v>
      </c>
      <c r="F178" s="40">
        <v>404.91</v>
      </c>
      <c r="G178" s="40">
        <v>0</v>
      </c>
      <c r="H178" s="40">
        <f>ROUND(F178*AE178,2)</f>
        <v>0</v>
      </c>
      <c r="I178" s="40">
        <f>J178-H178</f>
        <v>0</v>
      </c>
      <c r="J178" s="40">
        <f>ROUND(F178*G178,2)</f>
        <v>0</v>
      </c>
      <c r="K178" s="40">
        <v>0.0003</v>
      </c>
      <c r="L178" s="40">
        <f>F178*K178</f>
        <v>0.121473</v>
      </c>
      <c r="M178" s="41" t="s">
        <v>72</v>
      </c>
      <c r="N178" s="41" t="s">
        <v>44</v>
      </c>
      <c r="O178" s="40">
        <f>IF(N178="5",I178,0)</f>
        <v>0</v>
      </c>
      <c r="Z178" s="40">
        <f>IF(AD178=0,J178,0)</f>
        <v>0</v>
      </c>
      <c r="AA178" s="40">
        <f>IF(AD178=15,J178,0)</f>
        <v>0</v>
      </c>
      <c r="AB178" s="40">
        <f>IF(AD178=21,J178,0)</f>
        <v>0</v>
      </c>
      <c r="AD178" s="40">
        <v>21</v>
      </c>
      <c r="AE178" s="40">
        <f>G178*1</f>
        <v>0</v>
      </c>
      <c r="AF178" s="40">
        <f>G178*(1-1)</f>
        <v>0</v>
      </c>
    </row>
    <row r="179" spans="4:6" ht="12.75">
      <c r="D179" s="44" t="s">
        <v>328</v>
      </c>
      <c r="F179" s="45">
        <v>368.1</v>
      </c>
    </row>
    <row r="180" spans="4:6" ht="12.75">
      <c r="D180" s="44" t="s">
        <v>329</v>
      </c>
      <c r="F180" s="45">
        <v>36.81</v>
      </c>
    </row>
    <row r="181" spans="1:32" ht="12.75">
      <c r="A181" s="10" t="s">
        <v>167</v>
      </c>
      <c r="B181" s="10"/>
      <c r="C181" s="10" t="s">
        <v>330</v>
      </c>
      <c r="D181" s="10" t="s">
        <v>331</v>
      </c>
      <c r="E181" s="10" t="s">
        <v>71</v>
      </c>
      <c r="F181" s="40">
        <v>368.1</v>
      </c>
      <c r="G181" s="40">
        <v>0</v>
      </c>
      <c r="H181" s="40">
        <f>ROUND(F181*AE181,2)</f>
        <v>0</v>
      </c>
      <c r="I181" s="40">
        <f>J181-H181</f>
        <v>0</v>
      </c>
      <c r="J181" s="40">
        <f>ROUND(F181*G181,2)</f>
        <v>0</v>
      </c>
      <c r="K181" s="40">
        <v>4E-05</v>
      </c>
      <c r="L181" s="40">
        <f>F181*K181</f>
        <v>0.014724000000000003</v>
      </c>
      <c r="M181" s="41" t="s">
        <v>72</v>
      </c>
      <c r="N181" s="41" t="s">
        <v>47</v>
      </c>
      <c r="O181" s="40">
        <f>IF(N181="5",I181,0)</f>
        <v>0</v>
      </c>
      <c r="Z181" s="40">
        <f>IF(AD181=0,J181,0)</f>
        <v>0</v>
      </c>
      <c r="AA181" s="40">
        <f>IF(AD181=15,J181,0)</f>
        <v>0</v>
      </c>
      <c r="AB181" s="40">
        <f>IF(AD181=21,J181,0)</f>
        <v>0</v>
      </c>
      <c r="AD181" s="40">
        <v>21</v>
      </c>
      <c r="AE181" s="40">
        <f>G181*0.128837719298246</f>
        <v>0</v>
      </c>
      <c r="AF181" s="40">
        <f>G181*(1-0.128837719298246)</f>
        <v>0</v>
      </c>
    </row>
    <row r="182" spans="4:6" ht="12.75">
      <c r="D182" s="44" t="s">
        <v>328</v>
      </c>
      <c r="F182" s="45">
        <v>368.1</v>
      </c>
    </row>
    <row r="183" spans="1:32" ht="12.75">
      <c r="A183" s="10" t="s">
        <v>189</v>
      </c>
      <c r="B183" s="10"/>
      <c r="C183" s="10" t="s">
        <v>332</v>
      </c>
      <c r="D183" s="10" t="s">
        <v>333</v>
      </c>
      <c r="E183" s="10" t="s">
        <v>71</v>
      </c>
      <c r="F183" s="40">
        <v>404.91</v>
      </c>
      <c r="G183" s="40">
        <v>0</v>
      </c>
      <c r="H183" s="40">
        <f>ROUND(F183*AE183,2)</f>
        <v>0</v>
      </c>
      <c r="I183" s="40">
        <f>J183-H183</f>
        <v>0</v>
      </c>
      <c r="J183" s="40">
        <f>ROUND(F183*G183,2)</f>
        <v>0</v>
      </c>
      <c r="K183" s="40">
        <v>0.00261</v>
      </c>
      <c r="L183" s="40">
        <f>F183*K183</f>
        <v>1.0568151000000001</v>
      </c>
      <c r="M183" s="41"/>
      <c r="N183" s="41" t="s">
        <v>47</v>
      </c>
      <c r="O183" s="40">
        <f>IF(N183="5",I183,0)</f>
        <v>0</v>
      </c>
      <c r="Z183" s="40">
        <f>IF(AD183=0,J183,0)</f>
        <v>0</v>
      </c>
      <c r="AA183" s="40">
        <f>IF(AD183=15,J183,0)</f>
        <v>0</v>
      </c>
      <c r="AB183" s="40">
        <f>IF(AD183=21,J183,0)</f>
        <v>0</v>
      </c>
      <c r="AD183" s="40">
        <v>21</v>
      </c>
      <c r="AE183" s="40">
        <f>G183*0.545271082288384</f>
        <v>0</v>
      </c>
      <c r="AF183" s="40">
        <f>G183*(1-0.545271082288384)</f>
        <v>0</v>
      </c>
    </row>
    <row r="184" spans="4:6" ht="12.75">
      <c r="D184" s="44" t="s">
        <v>334</v>
      </c>
      <c r="F184" s="45">
        <v>404.91</v>
      </c>
    </row>
    <row r="185" spans="4:6" ht="12.75">
      <c r="D185" s="44" t="s">
        <v>335</v>
      </c>
      <c r="F185" s="45">
        <v>0</v>
      </c>
    </row>
    <row r="186" spans="1:32" ht="12.75">
      <c r="A186" s="10" t="s">
        <v>301</v>
      </c>
      <c r="B186" s="10"/>
      <c r="C186" s="10" t="s">
        <v>336</v>
      </c>
      <c r="D186" s="10" t="s">
        <v>337</v>
      </c>
      <c r="E186" s="10" t="s">
        <v>71</v>
      </c>
      <c r="F186" s="40">
        <v>133.21</v>
      </c>
      <c r="G186" s="40">
        <v>0</v>
      </c>
      <c r="H186" s="40">
        <f>ROUND(F186*AE186,2)</f>
        <v>0</v>
      </c>
      <c r="I186" s="40">
        <f>J186-H186</f>
        <v>0</v>
      </c>
      <c r="J186" s="40">
        <f>ROUND(F186*G186,2)</f>
        <v>0</v>
      </c>
      <c r="K186" s="40">
        <v>0.0056</v>
      </c>
      <c r="L186" s="40">
        <f>F186*K186</f>
        <v>0.7459760000000001</v>
      </c>
      <c r="M186" s="41" t="s">
        <v>72</v>
      </c>
      <c r="N186" s="41" t="s">
        <v>44</v>
      </c>
      <c r="O186" s="40">
        <f>IF(N186="5",I186,0)</f>
        <v>0</v>
      </c>
      <c r="Z186" s="40">
        <f>IF(AD186=0,J186,0)</f>
        <v>0</v>
      </c>
      <c r="AA186" s="40">
        <f>IF(AD186=15,J186,0)</f>
        <v>0</v>
      </c>
      <c r="AB186" s="40">
        <f>IF(AD186=21,J186,0)</f>
        <v>0</v>
      </c>
      <c r="AD186" s="40">
        <v>21</v>
      </c>
      <c r="AE186" s="40">
        <f>G186*1</f>
        <v>0</v>
      </c>
      <c r="AF186" s="40">
        <f>G186*(1-1)</f>
        <v>0</v>
      </c>
    </row>
    <row r="187" spans="4:6" ht="12.75">
      <c r="D187" s="44" t="s">
        <v>338</v>
      </c>
      <c r="F187" s="45">
        <v>121.1</v>
      </c>
    </row>
    <row r="188" spans="4:6" ht="12.75">
      <c r="D188" s="44" t="s">
        <v>339</v>
      </c>
      <c r="F188" s="45">
        <v>12.11</v>
      </c>
    </row>
    <row r="189" spans="1:32" ht="12.75">
      <c r="A189" s="10" t="s">
        <v>340</v>
      </c>
      <c r="B189" s="10"/>
      <c r="C189" s="10" t="s">
        <v>341</v>
      </c>
      <c r="D189" s="10" t="s">
        <v>342</v>
      </c>
      <c r="E189" s="10" t="s">
        <v>71</v>
      </c>
      <c r="F189" s="40">
        <v>21.5</v>
      </c>
      <c r="G189" s="40">
        <v>0</v>
      </c>
      <c r="H189" s="40">
        <f>ROUND(F189*AE189,2)</f>
        <v>0</v>
      </c>
      <c r="I189" s="40">
        <f>J189-H189</f>
        <v>0</v>
      </c>
      <c r="J189" s="40">
        <f>ROUND(F189*G189,2)</f>
        <v>0</v>
      </c>
      <c r="K189" s="40">
        <v>0.00035</v>
      </c>
      <c r="L189" s="40">
        <f>F189*K189</f>
        <v>0.007525</v>
      </c>
      <c r="M189" s="41" t="s">
        <v>72</v>
      </c>
      <c r="N189" s="41" t="s">
        <v>47</v>
      </c>
      <c r="O189" s="40">
        <f>IF(N189="5",I189,0)</f>
        <v>0</v>
      </c>
      <c r="Z189" s="40">
        <f>IF(AD189=0,J189,0)</f>
        <v>0</v>
      </c>
      <c r="AA189" s="40">
        <f>IF(AD189=15,J189,0)</f>
        <v>0</v>
      </c>
      <c r="AB189" s="40">
        <f>IF(AD189=21,J189,0)</f>
        <v>0</v>
      </c>
      <c r="AD189" s="40">
        <v>21</v>
      </c>
      <c r="AE189" s="40">
        <f>G189*0.126013467088086</f>
        <v>0</v>
      </c>
      <c r="AF189" s="40">
        <f>G189*(1-0.126013467088086)</f>
        <v>0</v>
      </c>
    </row>
    <row r="190" spans="4:6" ht="12.75">
      <c r="D190" s="44" t="s">
        <v>343</v>
      </c>
      <c r="F190" s="45">
        <v>21.5</v>
      </c>
    </row>
    <row r="191" spans="1:32" ht="12.75">
      <c r="A191" s="10" t="s">
        <v>344</v>
      </c>
      <c r="B191" s="10"/>
      <c r="C191" s="10" t="s">
        <v>345</v>
      </c>
      <c r="D191" s="10" t="s">
        <v>342</v>
      </c>
      <c r="E191" s="10" t="s">
        <v>71</v>
      </c>
      <c r="F191" s="40">
        <v>99.6</v>
      </c>
      <c r="G191" s="40">
        <v>0</v>
      </c>
      <c r="H191" s="40">
        <f>ROUND(F191*AE191,2)</f>
        <v>0</v>
      </c>
      <c r="I191" s="40">
        <f>J191-H191</f>
        <v>0</v>
      </c>
      <c r="J191" s="40">
        <f>ROUND(F191*G191,2)</f>
        <v>0</v>
      </c>
      <c r="K191" s="40">
        <v>0.00035</v>
      </c>
      <c r="L191" s="40">
        <f>F191*K191</f>
        <v>0.034859999999999995</v>
      </c>
      <c r="M191" s="41" t="s">
        <v>72</v>
      </c>
      <c r="N191" s="41" t="s">
        <v>47</v>
      </c>
      <c r="O191" s="40">
        <f>IF(N191="5",I191,0)</f>
        <v>0</v>
      </c>
      <c r="Z191" s="40">
        <f>IF(AD191=0,J191,0)</f>
        <v>0</v>
      </c>
      <c r="AA191" s="40">
        <f>IF(AD191=15,J191,0)</f>
        <v>0</v>
      </c>
      <c r="AB191" s="40">
        <f>IF(AD191=21,J191,0)</f>
        <v>0</v>
      </c>
      <c r="AD191" s="40">
        <v>21</v>
      </c>
      <c r="AE191" s="40">
        <f>G191*0.126013467088086</f>
        <v>0</v>
      </c>
      <c r="AF191" s="40">
        <f>G191*(1-0.126013467088086)</f>
        <v>0</v>
      </c>
    </row>
    <row r="192" spans="4:6" ht="12.75">
      <c r="D192" s="44" t="s">
        <v>346</v>
      </c>
      <c r="F192" s="45">
        <v>99.6</v>
      </c>
    </row>
    <row r="193" spans="1:32" ht="12.75">
      <c r="A193" s="10" t="s">
        <v>347</v>
      </c>
      <c r="B193" s="10"/>
      <c r="C193" s="10" t="s">
        <v>348</v>
      </c>
      <c r="D193" s="10" t="s">
        <v>349</v>
      </c>
      <c r="E193" s="10" t="s">
        <v>71</v>
      </c>
      <c r="F193" s="40">
        <v>49.8</v>
      </c>
      <c r="G193" s="40">
        <v>0</v>
      </c>
      <c r="H193" s="40">
        <f aca="true" t="shared" si="26" ref="H193:H194">ROUND(F193*AE193,2)</f>
        <v>0</v>
      </c>
      <c r="I193" s="40">
        <f aca="true" t="shared" si="27" ref="I193:I194">J193-H193</f>
        <v>0</v>
      </c>
      <c r="J193" s="40">
        <f aca="true" t="shared" si="28" ref="J193:J194">ROUND(F193*G193,2)</f>
        <v>0</v>
      </c>
      <c r="K193" s="40">
        <v>0.001</v>
      </c>
      <c r="L193" s="40">
        <f aca="true" t="shared" si="29" ref="L193:L194">F193*K193</f>
        <v>0.0498</v>
      </c>
      <c r="M193" s="41" t="s">
        <v>72</v>
      </c>
      <c r="N193" s="41" t="s">
        <v>47</v>
      </c>
      <c r="O193" s="40">
        <f aca="true" t="shared" si="30" ref="O193:O194">IF(N193="5",I193,0)</f>
        <v>0</v>
      </c>
      <c r="Z193" s="40">
        <f aca="true" t="shared" si="31" ref="Z193:Z194">IF(AD193=0,J193,0)</f>
        <v>0</v>
      </c>
      <c r="AA193" s="40">
        <f aca="true" t="shared" si="32" ref="AA193:AA194">IF(AD193=15,J193,0)</f>
        <v>0</v>
      </c>
      <c r="AB193" s="40">
        <f aca="true" t="shared" si="33" ref="AB193:AB194">IF(AD193=21,J193,0)</f>
        <v>0</v>
      </c>
      <c r="AD193" s="40">
        <v>21</v>
      </c>
      <c r="AE193" s="40">
        <f>G193*0.666050295857988</f>
        <v>0</v>
      </c>
      <c r="AF193" s="40">
        <f>G193*(1-0.666050295857988)</f>
        <v>0</v>
      </c>
    </row>
    <row r="194" spans="1:32" ht="12.75">
      <c r="A194" s="10" t="s">
        <v>350</v>
      </c>
      <c r="B194" s="10"/>
      <c r="C194" s="10" t="s">
        <v>351</v>
      </c>
      <c r="D194" s="10" t="s">
        <v>352</v>
      </c>
      <c r="E194" s="10" t="s">
        <v>131</v>
      </c>
      <c r="F194" s="40">
        <v>1840</v>
      </c>
      <c r="G194" s="40">
        <v>0</v>
      </c>
      <c r="H194" s="40">
        <f t="shared" si="26"/>
        <v>0</v>
      </c>
      <c r="I194" s="40">
        <f t="shared" si="27"/>
        <v>0</v>
      </c>
      <c r="J194" s="40">
        <f t="shared" si="28"/>
        <v>0</v>
      </c>
      <c r="K194" s="40">
        <v>5E-05</v>
      </c>
      <c r="L194" s="40">
        <f t="shared" si="29"/>
        <v>0.092</v>
      </c>
      <c r="M194" s="41" t="s">
        <v>72</v>
      </c>
      <c r="N194" s="41" t="s">
        <v>47</v>
      </c>
      <c r="O194" s="40">
        <f t="shared" si="30"/>
        <v>0</v>
      </c>
      <c r="Z194" s="40">
        <f t="shared" si="31"/>
        <v>0</v>
      </c>
      <c r="AA194" s="40">
        <f t="shared" si="32"/>
        <v>0</v>
      </c>
      <c r="AB194" s="40">
        <f t="shared" si="33"/>
        <v>0</v>
      </c>
      <c r="AD194" s="40">
        <v>21</v>
      </c>
      <c r="AE194" s="40">
        <f>G194*0.471704828568039</f>
        <v>0</v>
      </c>
      <c r="AF194" s="40">
        <f>G194*(1-0.471704828568039)</f>
        <v>0</v>
      </c>
    </row>
    <row r="195" spans="4:6" ht="12.75">
      <c r="D195" s="44" t="s">
        <v>353</v>
      </c>
      <c r="F195" s="45">
        <v>1840</v>
      </c>
    </row>
    <row r="196" spans="1:32" ht="12.75">
      <c r="A196" s="10" t="s">
        <v>354</v>
      </c>
      <c r="B196" s="10"/>
      <c r="C196" s="10" t="s">
        <v>355</v>
      </c>
      <c r="D196" s="10" t="s">
        <v>356</v>
      </c>
      <c r="E196" s="10" t="s">
        <v>71</v>
      </c>
      <c r="F196" s="40">
        <v>368.1</v>
      </c>
      <c r="G196" s="40">
        <v>0</v>
      </c>
      <c r="H196" s="40">
        <f aca="true" t="shared" si="34" ref="H196:H197">ROUND(F196*AE196,2)</f>
        <v>0</v>
      </c>
      <c r="I196" s="40">
        <f aca="true" t="shared" si="35" ref="I196:I197">J196-H196</f>
        <v>0</v>
      </c>
      <c r="J196" s="40">
        <f aca="true" t="shared" si="36" ref="J196:J197">ROUND(F196*G196,2)</f>
        <v>0</v>
      </c>
      <c r="K196" s="40">
        <v>0.009</v>
      </c>
      <c r="L196" s="40">
        <f aca="true" t="shared" si="37" ref="L196:L197">F196*K196</f>
        <v>3.3129</v>
      </c>
      <c r="M196" s="41"/>
      <c r="N196" s="41" t="s">
        <v>47</v>
      </c>
      <c r="O196" s="40">
        <f aca="true" t="shared" si="38" ref="O196:O197">IF(N196="5",I196,0)</f>
        <v>0</v>
      </c>
      <c r="Z196" s="40">
        <f aca="true" t="shared" si="39" ref="Z196:Z197">IF(AD196=0,J196,0)</f>
        <v>0</v>
      </c>
      <c r="AA196" s="40">
        <f aca="true" t="shared" si="40" ref="AA196:AA197">IF(AD196=15,J196,0)</f>
        <v>0</v>
      </c>
      <c r="AB196" s="40">
        <f aca="true" t="shared" si="41" ref="AB196:AB197">IF(AD196=21,J196,0)</f>
        <v>0</v>
      </c>
      <c r="AD196" s="40">
        <v>21</v>
      </c>
      <c r="AE196" s="40">
        <f>G196*0</f>
        <v>0</v>
      </c>
      <c r="AF196" s="40">
        <f>G196*(1-0)</f>
        <v>0</v>
      </c>
    </row>
    <row r="197" spans="1:32" ht="12.75">
      <c r="A197" s="10" t="s">
        <v>357</v>
      </c>
      <c r="B197" s="10"/>
      <c r="C197" s="10" t="s">
        <v>358</v>
      </c>
      <c r="D197" s="10" t="s">
        <v>359</v>
      </c>
      <c r="E197" s="10" t="s">
        <v>71</v>
      </c>
      <c r="F197" s="40">
        <v>404.91</v>
      </c>
      <c r="G197" s="40">
        <v>0</v>
      </c>
      <c r="H197" s="40">
        <f t="shared" si="34"/>
        <v>0</v>
      </c>
      <c r="I197" s="40">
        <f t="shared" si="35"/>
        <v>0</v>
      </c>
      <c r="J197" s="40">
        <f t="shared" si="36"/>
        <v>0</v>
      </c>
      <c r="K197" s="40">
        <v>0</v>
      </c>
      <c r="L197" s="40">
        <f t="shared" si="37"/>
        <v>0</v>
      </c>
      <c r="M197" s="41"/>
      <c r="N197" s="41" t="s">
        <v>47</v>
      </c>
      <c r="O197" s="40">
        <f t="shared" si="38"/>
        <v>0</v>
      </c>
      <c r="Z197" s="40">
        <f t="shared" si="39"/>
        <v>0</v>
      </c>
      <c r="AA197" s="40">
        <f t="shared" si="40"/>
        <v>0</v>
      </c>
      <c r="AB197" s="40">
        <f t="shared" si="41"/>
        <v>0</v>
      </c>
      <c r="AD197" s="40">
        <v>21</v>
      </c>
      <c r="AE197" s="40">
        <f>G197*0.426504188880426</f>
        <v>0</v>
      </c>
      <c r="AF197" s="40">
        <f>G197*(1-0.426504188880426)</f>
        <v>0</v>
      </c>
    </row>
    <row r="198" spans="4:6" ht="12.75">
      <c r="D198" s="44" t="s">
        <v>360</v>
      </c>
      <c r="F198" s="45">
        <v>404.91</v>
      </c>
    </row>
    <row r="199" spans="1:32" ht="12.75">
      <c r="A199" s="10" t="s">
        <v>361</v>
      </c>
      <c r="B199" s="10"/>
      <c r="C199" s="10" t="s">
        <v>362</v>
      </c>
      <c r="D199" s="10" t="s">
        <v>363</v>
      </c>
      <c r="E199" s="10" t="s">
        <v>113</v>
      </c>
      <c r="F199" s="40">
        <v>5.43</v>
      </c>
      <c r="G199" s="40">
        <v>0</v>
      </c>
      <c r="H199" s="40">
        <f>ROUND(F199*AE199,2)</f>
        <v>0</v>
      </c>
      <c r="I199" s="40">
        <f>J199-H199</f>
        <v>0</v>
      </c>
      <c r="J199" s="40">
        <f>ROUND(F199*G199,2)</f>
        <v>0</v>
      </c>
      <c r="K199" s="40">
        <v>0</v>
      </c>
      <c r="L199" s="40">
        <f>F199*K199</f>
        <v>0</v>
      </c>
      <c r="M199" s="41" t="s">
        <v>72</v>
      </c>
      <c r="N199" s="41" t="s">
        <v>60</v>
      </c>
      <c r="O199" s="40">
        <f>IF(N199="5",I199,0)</f>
        <v>0</v>
      </c>
      <c r="Z199" s="40">
        <f>IF(AD199=0,J199,0)</f>
        <v>0</v>
      </c>
      <c r="AA199" s="40">
        <f>IF(AD199=15,J199,0)</f>
        <v>0</v>
      </c>
      <c r="AB199" s="40">
        <f>IF(AD199=21,J199,0)</f>
        <v>0</v>
      </c>
      <c r="AD199" s="40">
        <v>21</v>
      </c>
      <c r="AE199" s="40">
        <f>G199*0</f>
        <v>0</v>
      </c>
      <c r="AF199" s="40">
        <f>G199*(1-0)</f>
        <v>0</v>
      </c>
    </row>
    <row r="200" spans="1:37" ht="12.75">
      <c r="A200" s="42"/>
      <c r="B200" s="43"/>
      <c r="C200" s="43" t="s">
        <v>364</v>
      </c>
      <c r="D200" s="43" t="s">
        <v>365</v>
      </c>
      <c r="E200" s="43"/>
      <c r="F200" s="43"/>
      <c r="G200" s="43"/>
      <c r="H200" s="39">
        <f>SUM(H201:H218)</f>
        <v>0</v>
      </c>
      <c r="I200" s="39">
        <f>SUM(I201:I218)</f>
        <v>0</v>
      </c>
      <c r="J200" s="39">
        <f>H200+I200</f>
        <v>0</v>
      </c>
      <c r="K200" s="34"/>
      <c r="L200" s="39">
        <f>SUM(L201:L218)</f>
        <v>1.982882</v>
      </c>
      <c r="M200" s="34"/>
      <c r="P200" s="39">
        <f>IF(Q200="PR",J200,SUM(O201:O218))</f>
        <v>0</v>
      </c>
      <c r="Q200" s="34" t="s">
        <v>317</v>
      </c>
      <c r="R200" s="39">
        <f>IF(Q200="HS",H200,0)</f>
        <v>0</v>
      </c>
      <c r="S200" s="39">
        <f>IF(Q200="HS",I200-P200,0)</f>
        <v>0</v>
      </c>
      <c r="T200" s="39">
        <f>IF(Q200="PS",H200,0)</f>
        <v>0</v>
      </c>
      <c r="U200" s="39">
        <f>IF(Q200="PS",I200-P200,0)</f>
        <v>0</v>
      </c>
      <c r="V200" s="39">
        <f>IF(Q200="MP",H200,0)</f>
        <v>0</v>
      </c>
      <c r="W200" s="39">
        <f>IF(Q200="MP",I200-P200,0)</f>
        <v>0</v>
      </c>
      <c r="X200" s="39">
        <f>IF(Q200="OM",H200,0)</f>
        <v>0</v>
      </c>
      <c r="Y200" s="34"/>
      <c r="AI200" s="39">
        <f>SUM(Z201:Z218)</f>
        <v>0</v>
      </c>
      <c r="AJ200" s="39">
        <f>SUM(AA201:AA218)</f>
        <v>0</v>
      </c>
      <c r="AK200" s="39">
        <f>SUM(AB201:AB218)</f>
        <v>0</v>
      </c>
    </row>
    <row r="201" spans="1:32" ht="12.75">
      <c r="A201" s="10" t="s">
        <v>366</v>
      </c>
      <c r="B201" s="10"/>
      <c r="C201" s="10" t="s">
        <v>367</v>
      </c>
      <c r="D201" s="10" t="s">
        <v>368</v>
      </c>
      <c r="E201" s="10" t="s">
        <v>71</v>
      </c>
      <c r="F201" s="40">
        <v>5.88</v>
      </c>
      <c r="G201" s="40">
        <v>0</v>
      </c>
      <c r="H201" s="40">
        <f>ROUND(F201*AE201,2)</f>
        <v>0</v>
      </c>
      <c r="I201" s="40">
        <f>J201-H201</f>
        <v>0</v>
      </c>
      <c r="J201" s="40">
        <f>ROUND(F201*G201,2)</f>
        <v>0</v>
      </c>
      <c r="K201" s="40">
        <v>0</v>
      </c>
      <c r="L201" s="40">
        <f>F201*K201</f>
        <v>0</v>
      </c>
      <c r="M201" s="41" t="s">
        <v>72</v>
      </c>
      <c r="N201" s="41" t="s">
        <v>47</v>
      </c>
      <c r="O201" s="40">
        <f>IF(N201="5",I201,0)</f>
        <v>0</v>
      </c>
      <c r="Z201" s="40">
        <f>IF(AD201=0,J201,0)</f>
        <v>0</v>
      </c>
      <c r="AA201" s="40">
        <f>IF(AD201=15,J201,0)</f>
        <v>0</v>
      </c>
      <c r="AB201" s="40">
        <f>IF(AD201=21,J201,0)</f>
        <v>0</v>
      </c>
      <c r="AD201" s="40">
        <v>21</v>
      </c>
      <c r="AE201" s="40">
        <f>G201*0</f>
        <v>0</v>
      </c>
      <c r="AF201" s="40">
        <f>G201*(1-0)</f>
        <v>0</v>
      </c>
    </row>
    <row r="202" spans="4:6" ht="12.75">
      <c r="D202" s="44" t="s">
        <v>369</v>
      </c>
      <c r="F202" s="45">
        <v>5.88</v>
      </c>
    </row>
    <row r="203" spans="1:32" ht="12.75">
      <c r="A203" s="10" t="s">
        <v>370</v>
      </c>
      <c r="B203" s="10"/>
      <c r="C203" s="10" t="s">
        <v>371</v>
      </c>
      <c r="D203" s="10" t="s">
        <v>372</v>
      </c>
      <c r="E203" s="10" t="s">
        <v>83</v>
      </c>
      <c r="F203" s="40">
        <v>0.62</v>
      </c>
      <c r="G203" s="40">
        <v>0</v>
      </c>
      <c r="H203" s="40">
        <f>ROUND(F203*AE203,2)</f>
        <v>0</v>
      </c>
      <c r="I203" s="40">
        <f>J203-H203</f>
        <v>0</v>
      </c>
      <c r="J203" s="40">
        <f>ROUND(F203*G203,2)</f>
        <v>0</v>
      </c>
      <c r="K203" s="40">
        <v>0.03</v>
      </c>
      <c r="L203" s="40">
        <f>F203*K203</f>
        <v>0.0186</v>
      </c>
      <c r="M203" s="41" t="s">
        <v>72</v>
      </c>
      <c r="N203" s="41" t="s">
        <v>44</v>
      </c>
      <c r="O203" s="40">
        <f>IF(N203="5",I203,0)</f>
        <v>0</v>
      </c>
      <c r="Z203" s="40">
        <f>IF(AD203=0,J203,0)</f>
        <v>0</v>
      </c>
      <c r="AA203" s="40">
        <f>IF(AD203=15,J203,0)</f>
        <v>0</v>
      </c>
      <c r="AB203" s="40">
        <f>IF(AD203=21,J203,0)</f>
        <v>0</v>
      </c>
      <c r="AD203" s="40">
        <v>21</v>
      </c>
      <c r="AE203" s="40">
        <f>G203*1</f>
        <v>0</v>
      </c>
      <c r="AF203" s="40">
        <f>G203*(1-1)</f>
        <v>0</v>
      </c>
    </row>
    <row r="204" spans="4:6" ht="12.75">
      <c r="D204" s="44" t="s">
        <v>373</v>
      </c>
      <c r="F204" s="45">
        <v>0.59</v>
      </c>
    </row>
    <row r="205" spans="4:6" ht="12.75">
      <c r="D205" s="44" t="s">
        <v>374</v>
      </c>
      <c r="F205" s="45">
        <v>0.03</v>
      </c>
    </row>
    <row r="206" spans="1:32" ht="12.75">
      <c r="A206" s="10" t="s">
        <v>375</v>
      </c>
      <c r="B206" s="10"/>
      <c r="C206" s="10" t="s">
        <v>376</v>
      </c>
      <c r="D206" s="10" t="s">
        <v>377</v>
      </c>
      <c r="E206" s="10" t="s">
        <v>83</v>
      </c>
      <c r="F206" s="40">
        <v>97.99</v>
      </c>
      <c r="G206" s="40">
        <v>0</v>
      </c>
      <c r="H206" s="40">
        <f>ROUND(F206*AE206,2)</f>
        <v>0</v>
      </c>
      <c r="I206" s="40">
        <f>J206-H206</f>
        <v>0</v>
      </c>
      <c r="J206" s="40">
        <f>ROUND(F206*G206,2)</f>
        <v>0</v>
      </c>
      <c r="K206" s="40">
        <v>0.02</v>
      </c>
      <c r="L206" s="40">
        <f>F206*K206</f>
        <v>1.9598</v>
      </c>
      <c r="M206" s="41" t="s">
        <v>72</v>
      </c>
      <c r="N206" s="41" t="s">
        <v>44</v>
      </c>
      <c r="O206" s="40">
        <f>IF(N206="5",I206,0)</f>
        <v>0</v>
      </c>
      <c r="Z206" s="40">
        <f>IF(AD206=0,J206,0)</f>
        <v>0</v>
      </c>
      <c r="AA206" s="40">
        <f>IF(AD206=15,J206,0)</f>
        <v>0</v>
      </c>
      <c r="AB206" s="40">
        <f>IF(AD206=21,J206,0)</f>
        <v>0</v>
      </c>
      <c r="AD206" s="40">
        <v>21</v>
      </c>
      <c r="AE206" s="40">
        <f>G206*1</f>
        <v>0</v>
      </c>
      <c r="AF206" s="40">
        <f>G206*(1-1)</f>
        <v>0</v>
      </c>
    </row>
    <row r="207" spans="4:6" ht="12.75">
      <c r="D207" s="44" t="s">
        <v>306</v>
      </c>
      <c r="F207" s="45">
        <v>4.98</v>
      </c>
    </row>
    <row r="208" spans="4:6" ht="12.75">
      <c r="D208" s="44" t="s">
        <v>378</v>
      </c>
      <c r="F208" s="45">
        <v>88.34</v>
      </c>
    </row>
    <row r="209" spans="4:6" ht="12.75">
      <c r="D209" s="44" t="s">
        <v>379</v>
      </c>
      <c r="F209" s="45">
        <v>4.67</v>
      </c>
    </row>
    <row r="210" spans="1:32" ht="12.75">
      <c r="A210" s="10" t="s">
        <v>380</v>
      </c>
      <c r="B210" s="10"/>
      <c r="C210" s="10" t="s">
        <v>381</v>
      </c>
      <c r="D210" s="10" t="s">
        <v>382</v>
      </c>
      <c r="E210" s="10" t="s">
        <v>71</v>
      </c>
      <c r="F210" s="40">
        <v>49.8</v>
      </c>
      <c r="G210" s="40">
        <v>0</v>
      </c>
      <c r="H210" s="40">
        <f>ROUND(F210*AE210,2)</f>
        <v>0</v>
      </c>
      <c r="I210" s="40">
        <f>J210-H210</f>
        <v>0</v>
      </c>
      <c r="J210" s="40">
        <f>ROUND(F210*G210,2)</f>
        <v>0</v>
      </c>
      <c r="K210" s="40">
        <v>9E-05</v>
      </c>
      <c r="L210" s="40">
        <f>F210*K210</f>
        <v>0.004482</v>
      </c>
      <c r="M210" s="41" t="s">
        <v>72</v>
      </c>
      <c r="N210" s="41" t="s">
        <v>47</v>
      </c>
      <c r="O210" s="40">
        <f>IF(N210="5",I210,0)</f>
        <v>0</v>
      </c>
      <c r="Z210" s="40">
        <f>IF(AD210=0,J210,0)</f>
        <v>0</v>
      </c>
      <c r="AA210" s="40">
        <f>IF(AD210=15,J210,0)</f>
        <v>0</v>
      </c>
      <c r="AB210" s="40">
        <f>IF(AD210=21,J210,0)</f>
        <v>0</v>
      </c>
      <c r="AD210" s="40">
        <v>21</v>
      </c>
      <c r="AE210" s="40">
        <f>G210*0.339092872570194</f>
        <v>0</v>
      </c>
      <c r="AF210" s="40">
        <f>G210*(1-0.339092872570194)</f>
        <v>0</v>
      </c>
    </row>
    <row r="211" spans="4:6" ht="12.75">
      <c r="D211" s="44" t="s">
        <v>383</v>
      </c>
      <c r="F211" s="45">
        <v>49.8</v>
      </c>
    </row>
    <row r="212" spans="1:32" ht="12.75">
      <c r="A212" s="10" t="s">
        <v>384</v>
      </c>
      <c r="B212" s="10"/>
      <c r="C212" s="10" t="s">
        <v>367</v>
      </c>
      <c r="D212" s="10" t="s">
        <v>368</v>
      </c>
      <c r="E212" s="10" t="s">
        <v>71</v>
      </c>
      <c r="F212" s="40">
        <v>257</v>
      </c>
      <c r="G212" s="40">
        <v>0</v>
      </c>
      <c r="H212" s="40">
        <f>ROUND(F212*AE212,2)</f>
        <v>0</v>
      </c>
      <c r="I212" s="40">
        <f>J212-H212</f>
        <v>0</v>
      </c>
      <c r="J212" s="40">
        <f>ROUND(F212*G212,2)</f>
        <v>0</v>
      </c>
      <c r="K212" s="40">
        <v>0</v>
      </c>
      <c r="L212" s="40">
        <f>F212*K212</f>
        <v>0</v>
      </c>
      <c r="M212" s="41" t="s">
        <v>72</v>
      </c>
      <c r="N212" s="41" t="s">
        <v>47</v>
      </c>
      <c r="O212" s="40">
        <f>IF(N212="5",I212,0)</f>
        <v>0</v>
      </c>
      <c r="Z212" s="40">
        <f>IF(AD212=0,J212,0)</f>
        <v>0</v>
      </c>
      <c r="AA212" s="40">
        <f>IF(AD212=15,J212,0)</f>
        <v>0</v>
      </c>
      <c r="AB212" s="40">
        <f>IF(AD212=21,J212,0)</f>
        <v>0</v>
      </c>
      <c r="AD212" s="40">
        <v>21</v>
      </c>
      <c r="AE212" s="40">
        <f>G212*0</f>
        <v>0</v>
      </c>
      <c r="AF212" s="40">
        <f>G212*(1-0)</f>
        <v>0</v>
      </c>
    </row>
    <row r="213" spans="4:6" ht="12.75">
      <c r="D213" s="44" t="s">
        <v>385</v>
      </c>
      <c r="F213" s="45">
        <v>257</v>
      </c>
    </row>
    <row r="214" spans="1:32" ht="12.75">
      <c r="A214" s="10" t="s">
        <v>386</v>
      </c>
      <c r="B214" s="10"/>
      <c r="C214" s="10" t="s">
        <v>387</v>
      </c>
      <c r="D214" s="10" t="s">
        <v>388</v>
      </c>
      <c r="E214" s="10" t="s">
        <v>71</v>
      </c>
      <c r="F214" s="40">
        <v>65.5</v>
      </c>
      <c r="G214" s="40">
        <v>0</v>
      </c>
      <c r="H214" s="40">
        <f>ROUND(F214*AE214,2)</f>
        <v>0</v>
      </c>
      <c r="I214" s="40">
        <f>J214-H214</f>
        <v>0</v>
      </c>
      <c r="J214" s="40">
        <f>ROUND(F214*G214,2)</f>
        <v>0</v>
      </c>
      <c r="K214" s="40">
        <v>0</v>
      </c>
      <c r="L214" s="40">
        <f>F214*K214</f>
        <v>0</v>
      </c>
      <c r="M214" s="41"/>
      <c r="N214" s="41" t="s">
        <v>47</v>
      </c>
      <c r="O214" s="40">
        <f>IF(N214="5",I214,0)</f>
        <v>0</v>
      </c>
      <c r="Z214" s="40">
        <f>IF(AD214=0,J214,0)</f>
        <v>0</v>
      </c>
      <c r="AA214" s="40">
        <f>IF(AD214=15,J214,0)</f>
        <v>0</v>
      </c>
      <c r="AB214" s="40">
        <f>IF(AD214=21,J214,0)</f>
        <v>0</v>
      </c>
      <c r="AD214" s="40">
        <v>21</v>
      </c>
      <c r="AE214" s="40">
        <f>G214*0</f>
        <v>0</v>
      </c>
      <c r="AF214" s="40">
        <f>G214*(1-0)</f>
        <v>0</v>
      </c>
    </row>
    <row r="215" spans="4:6" ht="12.75">
      <c r="D215" s="44" t="s">
        <v>389</v>
      </c>
      <c r="F215" s="45">
        <v>65.5</v>
      </c>
    </row>
    <row r="216" spans="1:32" ht="12.75">
      <c r="A216" s="10" t="s">
        <v>390</v>
      </c>
      <c r="B216" s="10"/>
      <c r="C216" s="10" t="s">
        <v>391</v>
      </c>
      <c r="D216" s="10" t="s">
        <v>392</v>
      </c>
      <c r="E216" s="10" t="s">
        <v>71</v>
      </c>
      <c r="F216" s="40">
        <v>45.6</v>
      </c>
      <c r="G216" s="40">
        <v>0</v>
      </c>
      <c r="H216" s="40">
        <f>ROUND(F216*AE216,2)</f>
        <v>0</v>
      </c>
      <c r="I216" s="40">
        <f>J216-H216</f>
        <v>0</v>
      </c>
      <c r="J216" s="40">
        <f>ROUND(F216*G216,2)</f>
        <v>0</v>
      </c>
      <c r="K216" s="40">
        <v>0</v>
      </c>
      <c r="L216" s="40">
        <f>F216*K216</f>
        <v>0</v>
      </c>
      <c r="M216" s="41"/>
      <c r="N216" s="41" t="s">
        <v>47</v>
      </c>
      <c r="O216" s="40">
        <f>IF(N216="5",I216,0)</f>
        <v>0</v>
      </c>
      <c r="Z216" s="40">
        <f>IF(AD216=0,J216,0)</f>
        <v>0</v>
      </c>
      <c r="AA216" s="40">
        <f>IF(AD216=15,J216,0)</f>
        <v>0</v>
      </c>
      <c r="AB216" s="40">
        <f>IF(AD216=21,J216,0)</f>
        <v>0</v>
      </c>
      <c r="AD216" s="40">
        <v>21</v>
      </c>
      <c r="AE216" s="40">
        <f>G216*0</f>
        <v>0</v>
      </c>
      <c r="AF216" s="40">
        <f>G216*(1-0)</f>
        <v>0</v>
      </c>
    </row>
    <row r="217" spans="4:6" ht="12.75">
      <c r="D217" s="44" t="s">
        <v>393</v>
      </c>
      <c r="F217" s="45">
        <v>45.6</v>
      </c>
    </row>
    <row r="218" spans="1:32" ht="12.75">
      <c r="A218" s="10" t="s">
        <v>394</v>
      </c>
      <c r="B218" s="10"/>
      <c r="C218" s="10" t="s">
        <v>362</v>
      </c>
      <c r="D218" s="10" t="s">
        <v>363</v>
      </c>
      <c r="E218" s="10" t="s">
        <v>113</v>
      </c>
      <c r="F218" s="40">
        <v>1.98</v>
      </c>
      <c r="G218" s="40">
        <v>0</v>
      </c>
      <c r="H218" s="40">
        <f>ROUND(F218*AE218,2)</f>
        <v>0</v>
      </c>
      <c r="I218" s="40">
        <f>J218-H218</f>
        <v>0</v>
      </c>
      <c r="J218" s="40">
        <f>ROUND(F218*G218,2)</f>
        <v>0</v>
      </c>
      <c r="K218" s="40">
        <v>0</v>
      </c>
      <c r="L218" s="40">
        <f>F218*K218</f>
        <v>0</v>
      </c>
      <c r="M218" s="41" t="s">
        <v>72</v>
      </c>
      <c r="N218" s="41" t="s">
        <v>60</v>
      </c>
      <c r="O218" s="40">
        <f>IF(N218="5",I218,0)</f>
        <v>0</v>
      </c>
      <c r="Z218" s="40">
        <f>IF(AD218=0,J218,0)</f>
        <v>0</v>
      </c>
      <c r="AA218" s="40">
        <f>IF(AD218=15,J218,0)</f>
        <v>0</v>
      </c>
      <c r="AB218" s="40">
        <f>IF(AD218=21,J218,0)</f>
        <v>0</v>
      </c>
      <c r="AD218" s="40">
        <v>21</v>
      </c>
      <c r="AE218" s="40">
        <f>G218*0</f>
        <v>0</v>
      </c>
      <c r="AF218" s="40">
        <f>G218*(1-0)</f>
        <v>0</v>
      </c>
    </row>
    <row r="219" spans="1:37" ht="12.75">
      <c r="A219" s="42"/>
      <c r="B219" s="43"/>
      <c r="C219" s="43" t="s">
        <v>395</v>
      </c>
      <c r="D219" s="43" t="s">
        <v>396</v>
      </c>
      <c r="E219" s="43"/>
      <c r="F219" s="43"/>
      <c r="G219" s="43"/>
      <c r="H219" s="39">
        <f>SUM(H220:H225)</f>
        <v>0</v>
      </c>
      <c r="I219" s="39">
        <f>SUM(I220:I225)</f>
        <v>0</v>
      </c>
      <c r="J219" s="39">
        <f>H219+I219</f>
        <v>0</v>
      </c>
      <c r="K219" s="34"/>
      <c r="L219" s="39">
        <f>SUM(L220:L225)</f>
        <v>0.07189000000000001</v>
      </c>
      <c r="M219" s="34"/>
      <c r="P219" s="39">
        <f>IF(Q219="PR",J219,SUM(O220:O225))</f>
        <v>0</v>
      </c>
      <c r="Q219" s="34" t="s">
        <v>317</v>
      </c>
      <c r="R219" s="39">
        <f>IF(Q219="HS",H219,0)</f>
        <v>0</v>
      </c>
      <c r="S219" s="39">
        <f>IF(Q219="HS",I219-P219,0)</f>
        <v>0</v>
      </c>
      <c r="T219" s="39">
        <f>IF(Q219="PS",H219,0)</f>
        <v>0</v>
      </c>
      <c r="U219" s="39">
        <f>IF(Q219="PS",I219-P219,0)</f>
        <v>0</v>
      </c>
      <c r="V219" s="39">
        <f>IF(Q219="MP",H219,0)</f>
        <v>0</v>
      </c>
      <c r="W219" s="39">
        <f>IF(Q219="MP",I219-P219,0)</f>
        <v>0</v>
      </c>
      <c r="X219" s="39">
        <f>IF(Q219="OM",H219,0)</f>
        <v>0</v>
      </c>
      <c r="Y219" s="34"/>
      <c r="AI219" s="39">
        <f>SUM(Z220:Z225)</f>
        <v>0</v>
      </c>
      <c r="AJ219" s="39">
        <f>SUM(AA220:AA225)</f>
        <v>0</v>
      </c>
      <c r="AK219" s="39">
        <f>SUM(AB220:AB225)</f>
        <v>0</v>
      </c>
    </row>
    <row r="220" spans="1:32" ht="12.75">
      <c r="A220" s="10" t="s">
        <v>397</v>
      </c>
      <c r="B220" s="10"/>
      <c r="C220" s="10" t="s">
        <v>398</v>
      </c>
      <c r="D220" s="10" t="s">
        <v>399</v>
      </c>
      <c r="E220" s="10" t="s">
        <v>131</v>
      </c>
      <c r="F220" s="40">
        <v>2</v>
      </c>
      <c r="G220" s="40">
        <v>0</v>
      </c>
      <c r="H220" s="40">
        <f aca="true" t="shared" si="42" ref="H220:H221">ROUND(F220*AE220,2)</f>
        <v>0</v>
      </c>
      <c r="I220" s="40">
        <f aca="true" t="shared" si="43" ref="I220:I221">J220-H220</f>
        <v>0</v>
      </c>
      <c r="J220" s="40">
        <f aca="true" t="shared" si="44" ref="J220:J221">ROUND(F220*G220,2)</f>
        <v>0</v>
      </c>
      <c r="K220" s="40">
        <v>0.00192</v>
      </c>
      <c r="L220" s="40">
        <f aca="true" t="shared" si="45" ref="L220:L221">F220*K220</f>
        <v>0.00384</v>
      </c>
      <c r="M220" s="41"/>
      <c r="N220" s="41" t="s">
        <v>47</v>
      </c>
      <c r="O220" s="40">
        <f aca="true" t="shared" si="46" ref="O220:O221">IF(N220="5",I220,0)</f>
        <v>0</v>
      </c>
      <c r="Z220" s="40">
        <f aca="true" t="shared" si="47" ref="Z220:Z221">IF(AD220=0,J220,0)</f>
        <v>0</v>
      </c>
      <c r="AA220" s="40">
        <f aca="true" t="shared" si="48" ref="AA220:AA221">IF(AD220=15,J220,0)</f>
        <v>0</v>
      </c>
      <c r="AB220" s="40">
        <f aca="true" t="shared" si="49" ref="AB220:AB221">IF(AD220=21,J220,0)</f>
        <v>0</v>
      </c>
      <c r="AD220" s="40">
        <v>21</v>
      </c>
      <c r="AE220" s="40">
        <f>G220*0.989249297458938</f>
        <v>0</v>
      </c>
      <c r="AF220" s="40">
        <f>G220*(1-0.989249297458938)</f>
        <v>0</v>
      </c>
    </row>
    <row r="221" spans="1:32" ht="12.75">
      <c r="A221" s="10" t="s">
        <v>400</v>
      </c>
      <c r="B221" s="10"/>
      <c r="C221" s="10" t="s">
        <v>401</v>
      </c>
      <c r="D221" s="10" t="s">
        <v>402</v>
      </c>
      <c r="E221" s="10" t="s">
        <v>131</v>
      </c>
      <c r="F221" s="40">
        <v>5</v>
      </c>
      <c r="G221" s="40">
        <v>0</v>
      </c>
      <c r="H221" s="40">
        <f t="shared" si="42"/>
        <v>0</v>
      </c>
      <c r="I221" s="40">
        <f t="shared" si="43"/>
        <v>0</v>
      </c>
      <c r="J221" s="40">
        <f t="shared" si="44"/>
        <v>0</v>
      </c>
      <c r="K221" s="40">
        <v>0.00013</v>
      </c>
      <c r="L221" s="40">
        <f t="shared" si="45"/>
        <v>0.00065</v>
      </c>
      <c r="M221" s="41" t="s">
        <v>72</v>
      </c>
      <c r="N221" s="41" t="s">
        <v>47</v>
      </c>
      <c r="O221" s="40">
        <f t="shared" si="46"/>
        <v>0</v>
      </c>
      <c r="Z221" s="40">
        <f t="shared" si="47"/>
        <v>0</v>
      </c>
      <c r="AA221" s="40">
        <f t="shared" si="48"/>
        <v>0</v>
      </c>
      <c r="AB221" s="40">
        <f t="shared" si="49"/>
        <v>0</v>
      </c>
      <c r="AD221" s="40">
        <v>21</v>
      </c>
      <c r="AE221" s="40">
        <f>G221*0.84790235654655</f>
        <v>0</v>
      </c>
      <c r="AF221" s="40">
        <f>G221*(1-0.84790235654655)</f>
        <v>0</v>
      </c>
    </row>
    <row r="222" spans="4:6" ht="12.75">
      <c r="D222" s="44" t="s">
        <v>60</v>
      </c>
      <c r="F222" s="45">
        <v>5</v>
      </c>
    </row>
    <row r="223" spans="1:32" ht="12.75">
      <c r="A223" s="10" t="s">
        <v>403</v>
      </c>
      <c r="B223" s="10"/>
      <c r="C223" s="10" t="s">
        <v>404</v>
      </c>
      <c r="D223" s="10" t="s">
        <v>405</v>
      </c>
      <c r="E223" s="10" t="s">
        <v>131</v>
      </c>
      <c r="F223" s="40">
        <v>5</v>
      </c>
      <c r="G223" s="40">
        <v>0</v>
      </c>
      <c r="H223" s="40">
        <f aca="true" t="shared" si="50" ref="H223:H225">ROUND(F223*AE223,2)</f>
        <v>0</v>
      </c>
      <c r="I223" s="40">
        <f aca="true" t="shared" si="51" ref="I223:I225">J223-H223</f>
        <v>0</v>
      </c>
      <c r="J223" s="40">
        <f aca="true" t="shared" si="52" ref="J223:J225">ROUND(F223*G223,2)</f>
        <v>0</v>
      </c>
      <c r="K223" s="40">
        <v>0.0028</v>
      </c>
      <c r="L223" s="40">
        <f aca="true" t="shared" si="53" ref="L223:L225">F223*K223</f>
        <v>0.014</v>
      </c>
      <c r="M223" s="41"/>
      <c r="N223" s="41" t="s">
        <v>47</v>
      </c>
      <c r="O223" s="40">
        <f aca="true" t="shared" si="54" ref="O223:O225">IF(N223="5",I223,0)</f>
        <v>0</v>
      </c>
      <c r="Z223" s="40">
        <f aca="true" t="shared" si="55" ref="Z223:Z225">IF(AD223=0,J223,0)</f>
        <v>0</v>
      </c>
      <c r="AA223" s="40">
        <f aca="true" t="shared" si="56" ref="AA223:AA225">IF(AD223=15,J223,0)</f>
        <v>0</v>
      </c>
      <c r="AB223" s="40">
        <f aca="true" t="shared" si="57" ref="AB223:AB225">IF(AD223=21,J223,0)</f>
        <v>0</v>
      </c>
      <c r="AD223" s="40">
        <v>21</v>
      </c>
      <c r="AE223" s="40">
        <f aca="true" t="shared" si="58" ref="AE223:AE225">G223*0</f>
        <v>0</v>
      </c>
      <c r="AF223" s="40">
        <f aca="true" t="shared" si="59" ref="AF223:AF225">G223*(1-0)</f>
        <v>0</v>
      </c>
    </row>
    <row r="224" spans="1:32" ht="12.75">
      <c r="A224" s="10" t="s">
        <v>406</v>
      </c>
      <c r="B224" s="10"/>
      <c r="C224" s="10" t="s">
        <v>407</v>
      </c>
      <c r="D224" s="10" t="s">
        <v>408</v>
      </c>
      <c r="E224" s="10" t="s">
        <v>50</v>
      </c>
      <c r="F224" s="40">
        <v>2</v>
      </c>
      <c r="G224" s="40">
        <v>0</v>
      </c>
      <c r="H224" s="40">
        <f t="shared" si="50"/>
        <v>0</v>
      </c>
      <c r="I224" s="40">
        <f t="shared" si="51"/>
        <v>0</v>
      </c>
      <c r="J224" s="40">
        <f t="shared" si="52"/>
        <v>0</v>
      </c>
      <c r="K224" s="40">
        <v>0.0267</v>
      </c>
      <c r="L224" s="40">
        <f t="shared" si="53"/>
        <v>0.0534</v>
      </c>
      <c r="M224" s="41"/>
      <c r="N224" s="41" t="s">
        <v>47</v>
      </c>
      <c r="O224" s="40">
        <f t="shared" si="54"/>
        <v>0</v>
      </c>
      <c r="Z224" s="40">
        <f t="shared" si="55"/>
        <v>0</v>
      </c>
      <c r="AA224" s="40">
        <f t="shared" si="56"/>
        <v>0</v>
      </c>
      <c r="AB224" s="40">
        <f t="shared" si="57"/>
        <v>0</v>
      </c>
      <c r="AD224" s="40">
        <v>21</v>
      </c>
      <c r="AE224" s="40">
        <f t="shared" si="58"/>
        <v>0</v>
      </c>
      <c r="AF224" s="40">
        <f t="shared" si="59"/>
        <v>0</v>
      </c>
    </row>
    <row r="225" spans="1:32" ht="12.75">
      <c r="A225" s="10" t="s">
        <v>409</v>
      </c>
      <c r="B225" s="10"/>
      <c r="C225" s="10" t="s">
        <v>410</v>
      </c>
      <c r="D225" s="10" t="s">
        <v>411</v>
      </c>
      <c r="E225" s="10" t="s">
        <v>113</v>
      </c>
      <c r="F225" s="40">
        <v>0.071</v>
      </c>
      <c r="G225" s="40">
        <v>0</v>
      </c>
      <c r="H225" s="40">
        <f t="shared" si="50"/>
        <v>0</v>
      </c>
      <c r="I225" s="40">
        <f t="shared" si="51"/>
        <v>0</v>
      </c>
      <c r="J225" s="40">
        <f t="shared" si="52"/>
        <v>0</v>
      </c>
      <c r="K225" s="40">
        <v>0</v>
      </c>
      <c r="L225" s="40">
        <f t="shared" si="53"/>
        <v>0</v>
      </c>
      <c r="M225" s="41" t="s">
        <v>72</v>
      </c>
      <c r="N225" s="41" t="s">
        <v>60</v>
      </c>
      <c r="O225" s="40">
        <f t="shared" si="54"/>
        <v>0</v>
      </c>
      <c r="Z225" s="40">
        <f t="shared" si="55"/>
        <v>0</v>
      </c>
      <c r="AA225" s="40">
        <f t="shared" si="56"/>
        <v>0</v>
      </c>
      <c r="AB225" s="40">
        <f t="shared" si="57"/>
        <v>0</v>
      </c>
      <c r="AD225" s="40">
        <v>21</v>
      </c>
      <c r="AE225" s="40">
        <f t="shared" si="58"/>
        <v>0</v>
      </c>
      <c r="AF225" s="40">
        <f t="shared" si="59"/>
        <v>0</v>
      </c>
    </row>
    <row r="226" spans="1:37" ht="12.75">
      <c r="A226" s="42"/>
      <c r="B226" s="43"/>
      <c r="C226" s="43" t="s">
        <v>412</v>
      </c>
      <c r="D226" s="43" t="s">
        <v>413</v>
      </c>
      <c r="E226" s="43"/>
      <c r="F226" s="43"/>
      <c r="G226" s="43"/>
      <c r="H226" s="39">
        <f>SUM(H227:H243)</f>
        <v>0</v>
      </c>
      <c r="I226" s="39">
        <f>SUM(I227:I243)</f>
        <v>0</v>
      </c>
      <c r="J226" s="39">
        <f>H226+I226</f>
        <v>0</v>
      </c>
      <c r="K226" s="34"/>
      <c r="L226" s="39">
        <f>SUM(L227:L243)</f>
        <v>0.6851683000000001</v>
      </c>
      <c r="M226" s="34"/>
      <c r="P226" s="39">
        <f>IF(Q226="PR",J226,SUM(O227:O243))</f>
        <v>0</v>
      </c>
      <c r="Q226" s="34" t="s">
        <v>317</v>
      </c>
      <c r="R226" s="39">
        <f>IF(Q226="HS",H226,0)</f>
        <v>0</v>
      </c>
      <c r="S226" s="39">
        <f>IF(Q226="HS",I226-P226,0)</f>
        <v>0</v>
      </c>
      <c r="T226" s="39">
        <f>IF(Q226="PS",H226,0)</f>
        <v>0</v>
      </c>
      <c r="U226" s="39">
        <f>IF(Q226="PS",I226-P226,0)</f>
        <v>0</v>
      </c>
      <c r="V226" s="39">
        <f>IF(Q226="MP",H226,0)</f>
        <v>0</v>
      </c>
      <c r="W226" s="39">
        <f>IF(Q226="MP",I226-P226,0)</f>
        <v>0</v>
      </c>
      <c r="X226" s="39">
        <f>IF(Q226="OM",H226,0)</f>
        <v>0</v>
      </c>
      <c r="Y226" s="34"/>
      <c r="AI226" s="39">
        <f>SUM(Z227:Z243)</f>
        <v>0</v>
      </c>
      <c r="AJ226" s="39">
        <f>SUM(AA227:AA243)</f>
        <v>0</v>
      </c>
      <c r="AK226" s="39">
        <f>SUM(AB227:AB243)</f>
        <v>0</v>
      </c>
    </row>
    <row r="227" spans="1:32" ht="12.75">
      <c r="A227" s="10" t="s">
        <v>414</v>
      </c>
      <c r="B227" s="10"/>
      <c r="C227" s="10" t="s">
        <v>415</v>
      </c>
      <c r="D227" s="10" t="s">
        <v>416</v>
      </c>
      <c r="E227" s="10" t="s">
        <v>71</v>
      </c>
      <c r="F227" s="40">
        <v>37.15</v>
      </c>
      <c r="G227" s="40">
        <v>0</v>
      </c>
      <c r="H227" s="40">
        <f>ROUND(F227*AE227,2)</f>
        <v>0</v>
      </c>
      <c r="I227" s="40">
        <f>J227-H227</f>
        <v>0</v>
      </c>
      <c r="J227" s="40">
        <f>ROUND(F227*G227,2)</f>
        <v>0</v>
      </c>
      <c r="K227" s="40">
        <v>0.0113</v>
      </c>
      <c r="L227" s="40">
        <f>F227*K227</f>
        <v>0.419795</v>
      </c>
      <c r="M227" s="41" t="s">
        <v>72</v>
      </c>
      <c r="N227" s="41" t="s">
        <v>44</v>
      </c>
      <c r="O227" s="40">
        <f>IF(N227="5",I227,0)</f>
        <v>0</v>
      </c>
      <c r="Z227" s="40">
        <f>IF(AD227=0,J227,0)</f>
        <v>0</v>
      </c>
      <c r="AA227" s="40">
        <f>IF(AD227=15,J227,0)</f>
        <v>0</v>
      </c>
      <c r="AB227" s="40">
        <f>IF(AD227=21,J227,0)</f>
        <v>0</v>
      </c>
      <c r="AD227" s="40">
        <v>21</v>
      </c>
      <c r="AE227" s="40">
        <f>G227*1</f>
        <v>0</v>
      </c>
      <c r="AF227" s="40">
        <f>G227*(1-1)</f>
        <v>0</v>
      </c>
    </row>
    <row r="228" spans="4:6" ht="12.75">
      <c r="D228" s="44" t="s">
        <v>417</v>
      </c>
      <c r="F228" s="45">
        <v>33.77</v>
      </c>
    </row>
    <row r="229" spans="4:6" ht="12.75">
      <c r="D229" s="44" t="s">
        <v>418</v>
      </c>
      <c r="F229" s="45">
        <v>3.38</v>
      </c>
    </row>
    <row r="230" spans="1:32" ht="12.75">
      <c r="A230" s="10" t="s">
        <v>419</v>
      </c>
      <c r="B230" s="10"/>
      <c r="C230" s="10" t="s">
        <v>420</v>
      </c>
      <c r="D230" s="10" t="s">
        <v>421</v>
      </c>
      <c r="E230" s="10" t="s">
        <v>71</v>
      </c>
      <c r="F230" s="40">
        <v>33.77</v>
      </c>
      <c r="G230" s="40">
        <v>0</v>
      </c>
      <c r="H230" s="40">
        <f>ROUND(F230*AE230,2)</f>
        <v>0</v>
      </c>
      <c r="I230" s="40">
        <f>J230-H230</f>
        <v>0</v>
      </c>
      <c r="J230" s="40">
        <f>ROUND(F230*G230,2)</f>
        <v>0</v>
      </c>
      <c r="K230" s="40">
        <v>0</v>
      </c>
      <c r="L230" s="40">
        <f>F230*K230</f>
        <v>0</v>
      </c>
      <c r="M230" s="41"/>
      <c r="N230" s="41" t="s">
        <v>47</v>
      </c>
      <c r="O230" s="40">
        <f>IF(N230="5",I230,0)</f>
        <v>0</v>
      </c>
      <c r="Z230" s="40">
        <f>IF(AD230=0,J230,0)</f>
        <v>0</v>
      </c>
      <c r="AA230" s="40">
        <f>IF(AD230=15,J230,0)</f>
        <v>0</v>
      </c>
      <c r="AB230" s="40">
        <f>IF(AD230=21,J230,0)</f>
        <v>0</v>
      </c>
      <c r="AD230" s="40">
        <v>21</v>
      </c>
      <c r="AE230" s="40">
        <f>G230*0</f>
        <v>0</v>
      </c>
      <c r="AF230" s="40">
        <f>G230*(1-0)</f>
        <v>0</v>
      </c>
    </row>
    <row r="231" spans="4:6" ht="12.75">
      <c r="D231" s="44" t="s">
        <v>417</v>
      </c>
      <c r="F231" s="45">
        <v>33.77</v>
      </c>
    </row>
    <row r="232" spans="1:32" ht="12.75">
      <c r="A232" s="10" t="s">
        <v>422</v>
      </c>
      <c r="B232" s="10"/>
      <c r="C232" s="10" t="s">
        <v>423</v>
      </c>
      <c r="D232" s="10" t="s">
        <v>424</v>
      </c>
      <c r="E232" s="10" t="s">
        <v>143</v>
      </c>
      <c r="F232" s="40">
        <v>173.2</v>
      </c>
      <c r="G232" s="40">
        <v>0</v>
      </c>
      <c r="H232" s="40">
        <f>ROUND(F232*AE232,2)</f>
        <v>0</v>
      </c>
      <c r="I232" s="40">
        <f>J232-H232</f>
        <v>0</v>
      </c>
      <c r="J232" s="40">
        <f>ROUND(F232*G232,2)</f>
        <v>0</v>
      </c>
      <c r="K232" s="40">
        <v>0.00091</v>
      </c>
      <c r="L232" s="40">
        <f>F232*K232</f>
        <v>0.157612</v>
      </c>
      <c r="M232" s="41"/>
      <c r="N232" s="41" t="s">
        <v>47</v>
      </c>
      <c r="O232" s="40">
        <f>IF(N232="5",I232,0)</f>
        <v>0</v>
      </c>
      <c r="Z232" s="40">
        <f>IF(AD232=0,J232,0)</f>
        <v>0</v>
      </c>
      <c r="AA232" s="40">
        <f>IF(AD232=15,J232,0)</f>
        <v>0</v>
      </c>
      <c r="AB232" s="40">
        <f>IF(AD232=21,J232,0)</f>
        <v>0</v>
      </c>
      <c r="AD232" s="40">
        <v>21</v>
      </c>
      <c r="AE232" s="40">
        <f>G232*0.40442930153322</f>
        <v>0</v>
      </c>
      <c r="AF232" s="40">
        <f>G232*(1-0.40442930153322)</f>
        <v>0</v>
      </c>
    </row>
    <row r="233" spans="4:6" ht="12.75">
      <c r="D233" s="44" t="s">
        <v>425</v>
      </c>
      <c r="F233" s="45">
        <v>173.2</v>
      </c>
    </row>
    <row r="234" spans="1:32" ht="12.75">
      <c r="A234" s="10" t="s">
        <v>426</v>
      </c>
      <c r="B234" s="10"/>
      <c r="C234" s="10" t="s">
        <v>427</v>
      </c>
      <c r="D234" s="10" t="s">
        <v>428</v>
      </c>
      <c r="E234" s="10" t="s">
        <v>83</v>
      </c>
      <c r="F234" s="40">
        <v>0.86</v>
      </c>
      <c r="G234" s="40">
        <v>0</v>
      </c>
      <c r="H234" s="40">
        <f>ROUND(F234*AE234,2)</f>
        <v>0</v>
      </c>
      <c r="I234" s="40">
        <f>J234-H234</f>
        <v>0</v>
      </c>
      <c r="J234" s="40">
        <f>ROUND(F234*G234,2)</f>
        <v>0</v>
      </c>
      <c r="K234" s="40">
        <v>0.02357</v>
      </c>
      <c r="L234" s="40">
        <f>F234*K234</f>
        <v>0.0202702</v>
      </c>
      <c r="M234" s="41" t="s">
        <v>72</v>
      </c>
      <c r="N234" s="41" t="s">
        <v>47</v>
      </c>
      <c r="O234" s="40">
        <f>IF(N234="5",I234,0)</f>
        <v>0</v>
      </c>
      <c r="Z234" s="40">
        <f>IF(AD234=0,J234,0)</f>
        <v>0</v>
      </c>
      <c r="AA234" s="40">
        <f>IF(AD234=15,J234,0)</f>
        <v>0</v>
      </c>
      <c r="AB234" s="40">
        <f>IF(AD234=21,J234,0)</f>
        <v>0</v>
      </c>
      <c r="AD234" s="40">
        <v>21</v>
      </c>
      <c r="AE234" s="40">
        <f>G234*1</f>
        <v>0</v>
      </c>
      <c r="AF234" s="40">
        <f>G234*(1-1)</f>
        <v>0</v>
      </c>
    </row>
    <row r="235" spans="4:6" ht="12.75">
      <c r="D235" s="44" t="s">
        <v>429</v>
      </c>
      <c r="F235" s="45">
        <v>0.6</v>
      </c>
    </row>
    <row r="236" spans="4:6" ht="12.75">
      <c r="D236" s="44" t="s">
        <v>430</v>
      </c>
      <c r="F236" s="45">
        <v>0.26</v>
      </c>
    </row>
    <row r="237" spans="1:32" ht="12.75">
      <c r="A237" s="10" t="s">
        <v>431</v>
      </c>
      <c r="B237" s="10"/>
      <c r="C237" s="10" t="s">
        <v>432</v>
      </c>
      <c r="D237" s="10" t="s">
        <v>433</v>
      </c>
      <c r="E237" s="10" t="s">
        <v>113</v>
      </c>
      <c r="F237" s="40">
        <v>1.03774</v>
      </c>
      <c r="G237" s="40">
        <v>0</v>
      </c>
      <c r="H237" s="40">
        <f aca="true" t="shared" si="60" ref="H237:H238">ROUND(F237*AE237,2)</f>
        <v>0</v>
      </c>
      <c r="I237" s="40">
        <f aca="true" t="shared" si="61" ref="I237:I238">J237-H237</f>
        <v>0</v>
      </c>
      <c r="J237" s="40">
        <f aca="true" t="shared" si="62" ref="J237:J238">ROUND(F237*G237,2)</f>
        <v>0</v>
      </c>
      <c r="K237" s="40">
        <v>0</v>
      </c>
      <c r="L237" s="40">
        <f aca="true" t="shared" si="63" ref="L237:L238">F237*K237</f>
        <v>0</v>
      </c>
      <c r="M237" s="41" t="s">
        <v>72</v>
      </c>
      <c r="N237" s="41" t="s">
        <v>60</v>
      </c>
      <c r="O237" s="40">
        <f aca="true" t="shared" si="64" ref="O237:O238">IF(N237="5",I237,0)</f>
        <v>0</v>
      </c>
      <c r="Z237" s="40">
        <f aca="true" t="shared" si="65" ref="Z237:Z238">IF(AD237=0,J237,0)</f>
        <v>0</v>
      </c>
      <c r="AA237" s="40">
        <f aca="true" t="shared" si="66" ref="AA237:AA238">IF(AD237=15,J237,0)</f>
        <v>0</v>
      </c>
      <c r="AB237" s="40">
        <f aca="true" t="shared" si="67" ref="AB237:AB238">IF(AD237=21,J237,0)</f>
        <v>0</v>
      </c>
      <c r="AD237" s="40">
        <v>21</v>
      </c>
      <c r="AE237" s="40">
        <f>G237*0</f>
        <v>0</v>
      </c>
      <c r="AF237" s="40">
        <f>G237*(1-0)</f>
        <v>0</v>
      </c>
    </row>
    <row r="238" spans="1:32" ht="12.75">
      <c r="A238" s="10" t="s">
        <v>434</v>
      </c>
      <c r="B238" s="10"/>
      <c r="C238" s="10" t="s">
        <v>435</v>
      </c>
      <c r="D238" s="10" t="s">
        <v>436</v>
      </c>
      <c r="E238" s="10" t="s">
        <v>71</v>
      </c>
      <c r="F238" s="40">
        <v>2.94</v>
      </c>
      <c r="G238" s="40">
        <v>0</v>
      </c>
      <c r="H238" s="40">
        <f t="shared" si="60"/>
        <v>0</v>
      </c>
      <c r="I238" s="40">
        <f t="shared" si="61"/>
        <v>0</v>
      </c>
      <c r="J238" s="40">
        <f t="shared" si="62"/>
        <v>0</v>
      </c>
      <c r="K238" s="40">
        <v>0.0162</v>
      </c>
      <c r="L238" s="40">
        <f t="shared" si="63"/>
        <v>0.047628</v>
      </c>
      <c r="M238" s="41" t="s">
        <v>72</v>
      </c>
      <c r="N238" s="41" t="s">
        <v>44</v>
      </c>
      <c r="O238" s="40">
        <f t="shared" si="64"/>
        <v>0</v>
      </c>
      <c r="Z238" s="40">
        <f t="shared" si="65"/>
        <v>0</v>
      </c>
      <c r="AA238" s="40">
        <f t="shared" si="66"/>
        <v>0</v>
      </c>
      <c r="AB238" s="40">
        <f t="shared" si="67"/>
        <v>0</v>
      </c>
      <c r="AD238" s="40">
        <v>21</v>
      </c>
      <c r="AE238" s="40">
        <f>G238*1</f>
        <v>0</v>
      </c>
      <c r="AF238" s="40">
        <f>G238*(1-1)</f>
        <v>0</v>
      </c>
    </row>
    <row r="239" spans="4:6" ht="12.75">
      <c r="D239" s="44" t="s">
        <v>437</v>
      </c>
      <c r="F239" s="45">
        <v>2.67</v>
      </c>
    </row>
    <row r="240" spans="4:6" ht="12.75">
      <c r="D240" s="44" t="s">
        <v>438</v>
      </c>
      <c r="F240" s="45">
        <v>0.27</v>
      </c>
    </row>
    <row r="241" spans="1:32" ht="12.75">
      <c r="A241" s="10" t="s">
        <v>439</v>
      </c>
      <c r="B241" s="10"/>
      <c r="C241" s="10" t="s">
        <v>440</v>
      </c>
      <c r="D241" s="10" t="s">
        <v>441</v>
      </c>
      <c r="E241" s="10" t="s">
        <v>71</v>
      </c>
      <c r="F241" s="40">
        <v>2.67</v>
      </c>
      <c r="G241" s="40">
        <v>0</v>
      </c>
      <c r="H241" s="40">
        <f>ROUND(F241*AE241,2)</f>
        <v>0</v>
      </c>
      <c r="I241" s="40">
        <f>J241-H241</f>
        <v>0</v>
      </c>
      <c r="J241" s="40">
        <f>ROUND(F241*G241,2)</f>
        <v>0</v>
      </c>
      <c r="K241" s="40">
        <v>0.01493</v>
      </c>
      <c r="L241" s="40">
        <f>F241*K241</f>
        <v>0.0398631</v>
      </c>
      <c r="M241" s="41"/>
      <c r="N241" s="41" t="s">
        <v>47</v>
      </c>
      <c r="O241" s="40">
        <f>IF(N241="5",I241,0)</f>
        <v>0</v>
      </c>
      <c r="Z241" s="40">
        <f>IF(AD241=0,J241,0)</f>
        <v>0</v>
      </c>
      <c r="AA241" s="40">
        <f>IF(AD241=15,J241,0)</f>
        <v>0</v>
      </c>
      <c r="AB241" s="40">
        <f>IF(AD241=21,J241,0)</f>
        <v>0</v>
      </c>
      <c r="AD241" s="40">
        <v>21</v>
      </c>
      <c r="AE241" s="40">
        <f>G241*0.202002612102743</f>
        <v>0</v>
      </c>
      <c r="AF241" s="40">
        <f>G241*(1-0.202002612102743)</f>
        <v>0</v>
      </c>
    </row>
    <row r="242" spans="4:6" ht="12.75">
      <c r="D242" s="44" t="s">
        <v>442</v>
      </c>
      <c r="F242" s="45">
        <v>2.67</v>
      </c>
    </row>
    <row r="243" spans="1:32" ht="12.75">
      <c r="A243" s="10" t="s">
        <v>443</v>
      </c>
      <c r="B243" s="10"/>
      <c r="C243" s="10" t="s">
        <v>432</v>
      </c>
      <c r="D243" s="10" t="s">
        <v>433</v>
      </c>
      <c r="E243" s="10" t="s">
        <v>113</v>
      </c>
      <c r="F243" s="40">
        <v>0.68</v>
      </c>
      <c r="G243" s="40">
        <v>0</v>
      </c>
      <c r="H243" s="40">
        <f>ROUND(F243*AE243,2)</f>
        <v>0</v>
      </c>
      <c r="I243" s="40">
        <f>J243-H243</f>
        <v>0</v>
      </c>
      <c r="J243" s="40">
        <f>ROUND(F243*G243,2)</f>
        <v>0</v>
      </c>
      <c r="K243" s="40">
        <v>0</v>
      </c>
      <c r="L243" s="40">
        <f>F243*K243</f>
        <v>0</v>
      </c>
      <c r="M243" s="41" t="s">
        <v>72</v>
      </c>
      <c r="N243" s="41" t="s">
        <v>60</v>
      </c>
      <c r="O243" s="40">
        <f>IF(N243="5",I243,0)</f>
        <v>0</v>
      </c>
      <c r="Z243" s="40">
        <f>IF(AD243=0,J243,0)</f>
        <v>0</v>
      </c>
      <c r="AA243" s="40">
        <f>IF(AD243=15,J243,0)</f>
        <v>0</v>
      </c>
      <c r="AB243" s="40">
        <f>IF(AD243=21,J243,0)</f>
        <v>0</v>
      </c>
      <c r="AD243" s="40">
        <v>21</v>
      </c>
      <c r="AE243" s="40">
        <f>G243*0</f>
        <v>0</v>
      </c>
      <c r="AF243" s="40">
        <f>G243*(1-0)</f>
        <v>0</v>
      </c>
    </row>
    <row r="244" spans="1:37" ht="12.75">
      <c r="A244" s="42"/>
      <c r="B244" s="43"/>
      <c r="C244" s="43" t="s">
        <v>444</v>
      </c>
      <c r="D244" s="43" t="s">
        <v>445</v>
      </c>
      <c r="E244" s="43"/>
      <c r="F244" s="43"/>
      <c r="G244" s="43"/>
      <c r="H244" s="39">
        <f>SUM(H245:H290)</f>
        <v>0</v>
      </c>
      <c r="I244" s="39">
        <f>SUM(I245:I290)</f>
        <v>0</v>
      </c>
      <c r="J244" s="39">
        <f>H244+I244</f>
        <v>0</v>
      </c>
      <c r="K244" s="34"/>
      <c r="L244" s="39">
        <f>SUM(L245:L290)</f>
        <v>1.9044960000000002</v>
      </c>
      <c r="M244" s="34"/>
      <c r="P244" s="39">
        <f>IF(Q244="PR",J244,SUM(O245:O290))</f>
        <v>0</v>
      </c>
      <c r="Q244" s="34" t="s">
        <v>317</v>
      </c>
      <c r="R244" s="39">
        <f>IF(Q244="HS",H244,0)</f>
        <v>0</v>
      </c>
      <c r="S244" s="39">
        <f>IF(Q244="HS",I244-P244,0)</f>
        <v>0</v>
      </c>
      <c r="T244" s="39">
        <f>IF(Q244="PS",H244,0)</f>
        <v>0</v>
      </c>
      <c r="U244" s="39">
        <f>IF(Q244="PS",I244-P244,0)</f>
        <v>0</v>
      </c>
      <c r="V244" s="39">
        <f>IF(Q244="MP",H244,0)</f>
        <v>0</v>
      </c>
      <c r="W244" s="39">
        <f>IF(Q244="MP",I244-P244,0)</f>
        <v>0</v>
      </c>
      <c r="X244" s="39">
        <f>IF(Q244="OM",H244,0)</f>
        <v>0</v>
      </c>
      <c r="Y244" s="34"/>
      <c r="AI244" s="39">
        <f>SUM(Z245:Z290)</f>
        <v>0</v>
      </c>
      <c r="AJ244" s="39">
        <f>SUM(AA245:AA290)</f>
        <v>0</v>
      </c>
      <c r="AK244" s="39">
        <f>SUM(AB245:AB290)</f>
        <v>0</v>
      </c>
    </row>
    <row r="245" spans="1:32" ht="12.75">
      <c r="A245" s="10" t="s">
        <v>446</v>
      </c>
      <c r="B245" s="10"/>
      <c r="C245" s="10" t="s">
        <v>447</v>
      </c>
      <c r="D245" s="10" t="s">
        <v>448</v>
      </c>
      <c r="E245" s="10" t="s">
        <v>143</v>
      </c>
      <c r="F245" s="40">
        <v>200.2</v>
      </c>
      <c r="G245" s="40">
        <v>0</v>
      </c>
      <c r="H245" s="40">
        <f>ROUND(F245*AE245,2)</f>
        <v>0</v>
      </c>
      <c r="I245" s="40">
        <f>J245-H245</f>
        <v>0</v>
      </c>
      <c r="J245" s="40">
        <f>ROUND(F245*G245,2)</f>
        <v>0</v>
      </c>
      <c r="K245" s="40">
        <v>0.002</v>
      </c>
      <c r="L245" s="40">
        <f>F245*K245</f>
        <v>0.4004</v>
      </c>
      <c r="M245" s="41" t="s">
        <v>72</v>
      </c>
      <c r="N245" s="41" t="s">
        <v>54</v>
      </c>
      <c r="O245" s="40">
        <f>IF(N245="5",I245,0)</f>
        <v>0</v>
      </c>
      <c r="Z245" s="40">
        <f>IF(AD245=0,J245,0)</f>
        <v>0</v>
      </c>
      <c r="AA245" s="40">
        <f>IF(AD245=15,J245,0)</f>
        <v>0</v>
      </c>
      <c r="AB245" s="40">
        <f>IF(AD245=21,J245,0)</f>
        <v>0</v>
      </c>
      <c r="AD245" s="40">
        <v>21</v>
      </c>
      <c r="AE245" s="40">
        <f>G245*0</f>
        <v>0</v>
      </c>
      <c r="AF245" s="40">
        <f>G245*(1-0)</f>
        <v>0</v>
      </c>
    </row>
    <row r="246" spans="4:6" ht="12.75">
      <c r="D246" s="44" t="s">
        <v>449</v>
      </c>
      <c r="F246" s="45">
        <v>146.2</v>
      </c>
    </row>
    <row r="247" spans="4:6" ht="12.75">
      <c r="D247" s="44" t="s">
        <v>450</v>
      </c>
      <c r="F247" s="45">
        <v>54</v>
      </c>
    </row>
    <row r="248" spans="1:32" ht="12.75">
      <c r="A248" s="10" t="s">
        <v>451</v>
      </c>
      <c r="B248" s="10"/>
      <c r="C248" s="10" t="s">
        <v>452</v>
      </c>
      <c r="D248" s="10" t="s">
        <v>453</v>
      </c>
      <c r="E248" s="10" t="s">
        <v>143</v>
      </c>
      <c r="F248" s="40">
        <v>110.3</v>
      </c>
      <c r="G248" s="40">
        <v>0</v>
      </c>
      <c r="H248" s="40">
        <f>ROUND(F248*AE248,2)</f>
        <v>0</v>
      </c>
      <c r="I248" s="40">
        <f>J248-H248</f>
        <v>0</v>
      </c>
      <c r="J248" s="40">
        <f>ROUND(F248*G248,2)</f>
        <v>0</v>
      </c>
      <c r="K248" s="40">
        <v>0.00105</v>
      </c>
      <c r="L248" s="40">
        <f>F248*K248</f>
        <v>0.11581499999999999</v>
      </c>
      <c r="M248" s="41"/>
      <c r="N248" s="41" t="s">
        <v>47</v>
      </c>
      <c r="O248" s="40">
        <f>IF(N248="5",I248,0)</f>
        <v>0</v>
      </c>
      <c r="Z248" s="40">
        <f>IF(AD248=0,J248,0)</f>
        <v>0</v>
      </c>
      <c r="AA248" s="40">
        <f>IF(AD248=15,J248,0)</f>
        <v>0</v>
      </c>
      <c r="AB248" s="40">
        <f>IF(AD248=21,J248,0)</f>
        <v>0</v>
      </c>
      <c r="AD248" s="40">
        <v>21</v>
      </c>
      <c r="AE248" s="40">
        <f>G248*0.0367157984355877</f>
        <v>0</v>
      </c>
      <c r="AF248" s="40">
        <f>G248*(1-0.0367157984355877)</f>
        <v>0</v>
      </c>
    </row>
    <row r="249" spans="4:6" ht="12.75">
      <c r="D249" s="44" t="s">
        <v>454</v>
      </c>
      <c r="F249" s="45">
        <v>110.3</v>
      </c>
    </row>
    <row r="250" spans="1:32" ht="12.75">
      <c r="A250" s="10" t="s">
        <v>455</v>
      </c>
      <c r="B250" s="10"/>
      <c r="C250" s="10" t="s">
        <v>456</v>
      </c>
      <c r="D250" s="10" t="s">
        <v>457</v>
      </c>
      <c r="E250" s="10" t="s">
        <v>143</v>
      </c>
      <c r="F250" s="40">
        <v>38.9</v>
      </c>
      <c r="G250" s="40">
        <v>0</v>
      </c>
      <c r="H250" s="40">
        <f>ROUND(F250*AE250,2)</f>
        <v>0</v>
      </c>
      <c r="I250" s="40">
        <f>J250-H250</f>
        <v>0</v>
      </c>
      <c r="J250" s="40">
        <f>ROUND(F250*G250,2)</f>
        <v>0</v>
      </c>
      <c r="K250" s="40">
        <v>0</v>
      </c>
      <c r="L250" s="40">
        <f>F250*K250</f>
        <v>0</v>
      </c>
      <c r="M250" s="41"/>
      <c r="N250" s="41" t="s">
        <v>47</v>
      </c>
      <c r="O250" s="40">
        <f>IF(N250="5",I250,0)</f>
        <v>0</v>
      </c>
      <c r="Z250" s="40">
        <f>IF(AD250=0,J250,0)</f>
        <v>0</v>
      </c>
      <c r="AA250" s="40">
        <f>IF(AD250=15,J250,0)</f>
        <v>0</v>
      </c>
      <c r="AB250" s="40">
        <f>IF(AD250=21,J250,0)</f>
        <v>0</v>
      </c>
      <c r="AD250" s="40">
        <v>21</v>
      </c>
      <c r="AE250" s="40">
        <f>G250*0</f>
        <v>0</v>
      </c>
      <c r="AF250" s="40">
        <f>G250*(1-0)</f>
        <v>0</v>
      </c>
    </row>
    <row r="251" spans="4:6" ht="12.75">
      <c r="D251" s="44" t="s">
        <v>458</v>
      </c>
      <c r="F251" s="45">
        <v>38.9</v>
      </c>
    </row>
    <row r="252" spans="1:32" ht="12.75">
      <c r="A252" s="10" t="s">
        <v>459</v>
      </c>
      <c r="B252" s="10"/>
      <c r="C252" s="10" t="s">
        <v>460</v>
      </c>
      <c r="D252" s="10" t="s">
        <v>461</v>
      </c>
      <c r="E252" s="10" t="s">
        <v>143</v>
      </c>
      <c r="F252" s="40">
        <v>18.2</v>
      </c>
      <c r="G252" s="40">
        <v>0</v>
      </c>
      <c r="H252" s="40">
        <f aca="true" t="shared" si="68" ref="H252:H254">ROUND(F252*AE252,2)</f>
        <v>0</v>
      </c>
      <c r="I252" s="40">
        <f aca="true" t="shared" si="69" ref="I252:I254">J252-H252</f>
        <v>0</v>
      </c>
      <c r="J252" s="40">
        <f aca="true" t="shared" si="70" ref="J252:J254">ROUND(F252*G252,2)</f>
        <v>0</v>
      </c>
      <c r="K252" s="40">
        <v>0</v>
      </c>
      <c r="L252" s="40">
        <f aca="true" t="shared" si="71" ref="L252:L254">F252*K252</f>
        <v>0</v>
      </c>
      <c r="M252" s="41"/>
      <c r="N252" s="41" t="s">
        <v>47</v>
      </c>
      <c r="O252" s="40">
        <f aca="true" t="shared" si="72" ref="O252:O254">IF(N252="5",I252,0)</f>
        <v>0</v>
      </c>
      <c r="Z252" s="40">
        <f aca="true" t="shared" si="73" ref="Z252:Z254">IF(AD252=0,J252,0)</f>
        <v>0</v>
      </c>
      <c r="AA252" s="40">
        <f aca="true" t="shared" si="74" ref="AA252:AA254">IF(AD252=15,J252,0)</f>
        <v>0</v>
      </c>
      <c r="AB252" s="40">
        <f aca="true" t="shared" si="75" ref="AB252:AB254">IF(AD252=21,J252,0)</f>
        <v>0</v>
      </c>
      <c r="AD252" s="40">
        <v>21</v>
      </c>
      <c r="AE252" s="40">
        <f aca="true" t="shared" si="76" ref="AE252:AE253">G252*0</f>
        <v>0</v>
      </c>
      <c r="AF252" s="40">
        <f aca="true" t="shared" si="77" ref="AF252:AF253">G252*(1-0)</f>
        <v>0</v>
      </c>
    </row>
    <row r="253" spans="1:32" ht="12.75">
      <c r="A253" s="10" t="s">
        <v>462</v>
      </c>
      <c r="B253" s="10"/>
      <c r="C253" s="10" t="s">
        <v>463</v>
      </c>
      <c r="D253" s="10" t="s">
        <v>464</v>
      </c>
      <c r="E253" s="10" t="s">
        <v>143</v>
      </c>
      <c r="F253" s="40">
        <v>117.7</v>
      </c>
      <c r="G253" s="40">
        <v>0</v>
      </c>
      <c r="H253" s="40">
        <f t="shared" si="68"/>
        <v>0</v>
      </c>
      <c r="I253" s="40">
        <f t="shared" si="69"/>
        <v>0</v>
      </c>
      <c r="J253" s="40">
        <f t="shared" si="70"/>
        <v>0</v>
      </c>
      <c r="K253" s="40">
        <v>0</v>
      </c>
      <c r="L253" s="40">
        <f t="shared" si="71"/>
        <v>0</v>
      </c>
      <c r="M253" s="41"/>
      <c r="N253" s="41" t="s">
        <v>47</v>
      </c>
      <c r="O253" s="40">
        <f t="shared" si="72"/>
        <v>0</v>
      </c>
      <c r="Z253" s="40">
        <f t="shared" si="73"/>
        <v>0</v>
      </c>
      <c r="AA253" s="40">
        <f t="shared" si="74"/>
        <v>0</v>
      </c>
      <c r="AB253" s="40">
        <f t="shared" si="75"/>
        <v>0</v>
      </c>
      <c r="AD253" s="40">
        <v>21</v>
      </c>
      <c r="AE253" s="40">
        <f t="shared" si="76"/>
        <v>0</v>
      </c>
      <c r="AF253" s="40">
        <f t="shared" si="77"/>
        <v>0</v>
      </c>
    </row>
    <row r="254" spans="1:32" ht="12.75">
      <c r="A254" s="10" t="s">
        <v>465</v>
      </c>
      <c r="B254" s="10"/>
      <c r="C254" s="10" t="s">
        <v>466</v>
      </c>
      <c r="D254" s="10" t="s">
        <v>467</v>
      </c>
      <c r="E254" s="10" t="s">
        <v>71</v>
      </c>
      <c r="F254" s="40">
        <v>55.92</v>
      </c>
      <c r="G254" s="40">
        <v>0</v>
      </c>
      <c r="H254" s="40">
        <f t="shared" si="68"/>
        <v>0</v>
      </c>
      <c r="I254" s="40">
        <f t="shared" si="69"/>
        <v>0</v>
      </c>
      <c r="J254" s="40">
        <f t="shared" si="70"/>
        <v>0</v>
      </c>
      <c r="K254" s="40">
        <v>0.0005</v>
      </c>
      <c r="L254" s="40">
        <f t="shared" si="71"/>
        <v>0.027960000000000002</v>
      </c>
      <c r="M254" s="41"/>
      <c r="N254" s="41" t="s">
        <v>44</v>
      </c>
      <c r="O254" s="40">
        <f t="shared" si="72"/>
        <v>0</v>
      </c>
      <c r="Z254" s="40">
        <f t="shared" si="73"/>
        <v>0</v>
      </c>
      <c r="AA254" s="40">
        <f t="shared" si="74"/>
        <v>0</v>
      </c>
      <c r="AB254" s="40">
        <f t="shared" si="75"/>
        <v>0</v>
      </c>
      <c r="AD254" s="40">
        <v>21</v>
      </c>
      <c r="AE254" s="40">
        <f>G254*1</f>
        <v>0</v>
      </c>
      <c r="AF254" s="40">
        <f>G254*(1-1)</f>
        <v>0</v>
      </c>
    </row>
    <row r="255" spans="4:6" ht="12.75">
      <c r="D255" s="44" t="s">
        <v>468</v>
      </c>
      <c r="F255" s="45">
        <v>33.09</v>
      </c>
    </row>
    <row r="256" spans="4:6" ht="12.75">
      <c r="D256" s="44" t="s">
        <v>469</v>
      </c>
      <c r="F256" s="45">
        <v>4.67</v>
      </c>
    </row>
    <row r="257" spans="4:6" ht="12.75">
      <c r="D257" s="44" t="s">
        <v>470</v>
      </c>
      <c r="F257" s="45">
        <v>2.73</v>
      </c>
    </row>
    <row r="258" spans="4:6" ht="12.75">
      <c r="D258" s="44" t="s">
        <v>471</v>
      </c>
      <c r="F258" s="45">
        <v>11.77</v>
      </c>
    </row>
    <row r="259" spans="4:6" ht="12.75">
      <c r="D259" s="44" t="s">
        <v>472</v>
      </c>
      <c r="F259" s="45">
        <v>3.66</v>
      </c>
    </row>
    <row r="260" spans="1:32" ht="12.75">
      <c r="A260" s="10" t="s">
        <v>473</v>
      </c>
      <c r="B260" s="10"/>
      <c r="C260" s="10" t="s">
        <v>474</v>
      </c>
      <c r="D260" s="10" t="s">
        <v>475</v>
      </c>
      <c r="E260" s="10" t="s">
        <v>143</v>
      </c>
      <c r="F260" s="40">
        <v>2.9</v>
      </c>
      <c r="G260" s="40">
        <v>0</v>
      </c>
      <c r="H260" s="40">
        <f aca="true" t="shared" si="78" ref="H260:H269">ROUND(F260*AE260,2)</f>
        <v>0</v>
      </c>
      <c r="I260" s="40">
        <f aca="true" t="shared" si="79" ref="I260:I269">J260-H260</f>
        <v>0</v>
      </c>
      <c r="J260" s="40">
        <f aca="true" t="shared" si="80" ref="J260:J269">ROUND(F260*G260,2)</f>
        <v>0</v>
      </c>
      <c r="K260" s="40">
        <v>0.00141</v>
      </c>
      <c r="L260" s="40">
        <f aca="true" t="shared" si="81" ref="L260:L269">F260*K260</f>
        <v>0.004089</v>
      </c>
      <c r="M260" s="41"/>
      <c r="N260" s="41" t="s">
        <v>47</v>
      </c>
      <c r="O260" s="40">
        <f aca="true" t="shared" si="82" ref="O260:O269">IF(N260="5",I260,0)</f>
        <v>0</v>
      </c>
      <c r="Z260" s="40">
        <f aca="true" t="shared" si="83" ref="Z260:Z269">IF(AD260=0,J260,0)</f>
        <v>0</v>
      </c>
      <c r="AA260" s="40">
        <f aca="true" t="shared" si="84" ref="AA260:AA269">IF(AD260=15,J260,0)</f>
        <v>0</v>
      </c>
      <c r="AB260" s="40">
        <f aca="true" t="shared" si="85" ref="AB260:AB269">IF(AD260=21,J260,0)</f>
        <v>0</v>
      </c>
      <c r="AD260" s="40">
        <v>21</v>
      </c>
      <c r="AE260" s="40">
        <f>G260*0.706351094196004</f>
        <v>0</v>
      </c>
      <c r="AF260" s="40">
        <f>G260*(1-0.706351094196004)</f>
        <v>0</v>
      </c>
    </row>
    <row r="261" spans="1:32" ht="12.75">
      <c r="A261" s="10" t="s">
        <v>476</v>
      </c>
      <c r="B261" s="10"/>
      <c r="C261" s="10" t="s">
        <v>477</v>
      </c>
      <c r="D261" s="10" t="s">
        <v>478</v>
      </c>
      <c r="E261" s="10" t="s">
        <v>131</v>
      </c>
      <c r="F261" s="40">
        <v>1</v>
      </c>
      <c r="G261" s="40">
        <v>0</v>
      </c>
      <c r="H261" s="40">
        <f t="shared" si="78"/>
        <v>0</v>
      </c>
      <c r="I261" s="40">
        <f t="shared" si="79"/>
        <v>0</v>
      </c>
      <c r="J261" s="40">
        <f t="shared" si="80"/>
        <v>0</v>
      </c>
      <c r="K261" s="40">
        <v>0.00291</v>
      </c>
      <c r="L261" s="40">
        <f t="shared" si="81"/>
        <v>0.00291</v>
      </c>
      <c r="M261" s="41" t="s">
        <v>72</v>
      </c>
      <c r="N261" s="41" t="s">
        <v>47</v>
      </c>
      <c r="O261" s="40">
        <f t="shared" si="82"/>
        <v>0</v>
      </c>
      <c r="Z261" s="40">
        <f t="shared" si="83"/>
        <v>0</v>
      </c>
      <c r="AA261" s="40">
        <f t="shared" si="84"/>
        <v>0</v>
      </c>
      <c r="AB261" s="40">
        <f t="shared" si="85"/>
        <v>0</v>
      </c>
      <c r="AD261" s="40">
        <v>21</v>
      </c>
      <c r="AE261" s="40">
        <f>G261*0.35576407917094</f>
        <v>0</v>
      </c>
      <c r="AF261" s="40">
        <f>G261*(1-0.35576407917094)</f>
        <v>0</v>
      </c>
    </row>
    <row r="262" spans="1:32" ht="12.75">
      <c r="A262" s="10" t="s">
        <v>479</v>
      </c>
      <c r="B262" s="10"/>
      <c r="C262" s="10" t="s">
        <v>480</v>
      </c>
      <c r="D262" s="10" t="s">
        <v>481</v>
      </c>
      <c r="E262" s="10" t="s">
        <v>143</v>
      </c>
      <c r="F262" s="40">
        <v>1</v>
      </c>
      <c r="G262" s="40">
        <v>0</v>
      </c>
      <c r="H262" s="40">
        <f t="shared" si="78"/>
        <v>0</v>
      </c>
      <c r="I262" s="40">
        <f t="shared" si="79"/>
        <v>0</v>
      </c>
      <c r="J262" s="40">
        <f t="shared" si="80"/>
        <v>0</v>
      </c>
      <c r="K262" s="40">
        <v>0.00208</v>
      </c>
      <c r="L262" s="40">
        <f t="shared" si="81"/>
        <v>0.00208</v>
      </c>
      <c r="M262" s="41" t="s">
        <v>72</v>
      </c>
      <c r="N262" s="41" t="s">
        <v>54</v>
      </c>
      <c r="O262" s="40">
        <f t="shared" si="82"/>
        <v>0</v>
      </c>
      <c r="Z262" s="40">
        <f t="shared" si="83"/>
        <v>0</v>
      </c>
      <c r="AA262" s="40">
        <f t="shared" si="84"/>
        <v>0</v>
      </c>
      <c r="AB262" s="40">
        <f t="shared" si="85"/>
        <v>0</v>
      </c>
      <c r="AD262" s="40">
        <v>21</v>
      </c>
      <c r="AE262" s="40">
        <f>G262*0.481582008530438</f>
        <v>0</v>
      </c>
      <c r="AF262" s="40">
        <f>G262*(1-0.481582008530438)</f>
        <v>0</v>
      </c>
    </row>
    <row r="263" spans="1:32" ht="12.75">
      <c r="A263" s="10" t="s">
        <v>482</v>
      </c>
      <c r="B263" s="10"/>
      <c r="C263" s="10" t="s">
        <v>483</v>
      </c>
      <c r="D263" s="10" t="s">
        <v>484</v>
      </c>
      <c r="E263" s="10" t="s">
        <v>131</v>
      </c>
      <c r="F263" s="40">
        <v>1</v>
      </c>
      <c r="G263" s="40">
        <v>0</v>
      </c>
      <c r="H263" s="40">
        <f t="shared" si="78"/>
        <v>0</v>
      </c>
      <c r="I263" s="40">
        <f t="shared" si="79"/>
        <v>0</v>
      </c>
      <c r="J263" s="40">
        <f t="shared" si="80"/>
        <v>0</v>
      </c>
      <c r="K263" s="40">
        <v>0.001</v>
      </c>
      <c r="L263" s="40">
        <f t="shared" si="81"/>
        <v>0.001</v>
      </c>
      <c r="M263" s="41"/>
      <c r="N263" s="41" t="s">
        <v>44</v>
      </c>
      <c r="O263" s="40">
        <f t="shared" si="82"/>
        <v>0</v>
      </c>
      <c r="Z263" s="40">
        <f t="shared" si="83"/>
        <v>0</v>
      </c>
      <c r="AA263" s="40">
        <f t="shared" si="84"/>
        <v>0</v>
      </c>
      <c r="AB263" s="40">
        <f t="shared" si="85"/>
        <v>0</v>
      </c>
      <c r="AD263" s="40">
        <v>21</v>
      </c>
      <c r="AE263" s="40">
        <f>G263*1</f>
        <v>0</v>
      </c>
      <c r="AF263" s="40">
        <f>G263*(1-1)</f>
        <v>0</v>
      </c>
    </row>
    <row r="264" spans="1:32" ht="12.75">
      <c r="A264" s="10" t="s">
        <v>485</v>
      </c>
      <c r="B264" s="10"/>
      <c r="C264" s="10" t="s">
        <v>486</v>
      </c>
      <c r="D264" s="10" t="s">
        <v>487</v>
      </c>
      <c r="E264" s="10" t="s">
        <v>143</v>
      </c>
      <c r="F264" s="40">
        <v>2.9</v>
      </c>
      <c r="G264" s="40">
        <v>0</v>
      </c>
      <c r="H264" s="40">
        <f t="shared" si="78"/>
        <v>0</v>
      </c>
      <c r="I264" s="40">
        <f t="shared" si="79"/>
        <v>0</v>
      </c>
      <c r="J264" s="40">
        <f t="shared" si="80"/>
        <v>0</v>
      </c>
      <c r="K264" s="40">
        <v>0.00271</v>
      </c>
      <c r="L264" s="40">
        <f t="shared" si="81"/>
        <v>0.007859</v>
      </c>
      <c r="M264" s="41"/>
      <c r="N264" s="41" t="s">
        <v>54</v>
      </c>
      <c r="O264" s="40">
        <f t="shared" si="82"/>
        <v>0</v>
      </c>
      <c r="Z264" s="40">
        <f t="shared" si="83"/>
        <v>0</v>
      </c>
      <c r="AA264" s="40">
        <f t="shared" si="84"/>
        <v>0</v>
      </c>
      <c r="AB264" s="40">
        <f t="shared" si="85"/>
        <v>0</v>
      </c>
      <c r="AD264" s="40">
        <v>21</v>
      </c>
      <c r="AE264" s="40">
        <f>G264*0.436652614788652</f>
        <v>0</v>
      </c>
      <c r="AF264" s="40">
        <f>G264*(1-0.436652614788652)</f>
        <v>0</v>
      </c>
    </row>
    <row r="265" spans="1:32" ht="12.75">
      <c r="A265" s="10" t="s">
        <v>488</v>
      </c>
      <c r="B265" s="10"/>
      <c r="C265" s="10" t="s">
        <v>489</v>
      </c>
      <c r="D265" s="10" t="s">
        <v>490</v>
      </c>
      <c r="E265" s="10" t="s">
        <v>131</v>
      </c>
      <c r="F265" s="40">
        <v>2</v>
      </c>
      <c r="G265" s="40">
        <v>0</v>
      </c>
      <c r="H265" s="40">
        <f t="shared" si="78"/>
        <v>0</v>
      </c>
      <c r="I265" s="40">
        <f t="shared" si="79"/>
        <v>0</v>
      </c>
      <c r="J265" s="40">
        <f t="shared" si="80"/>
        <v>0</v>
      </c>
      <c r="K265" s="40">
        <v>1E-05</v>
      </c>
      <c r="L265" s="40">
        <f t="shared" si="81"/>
        <v>2E-05</v>
      </c>
      <c r="M265" s="41" t="s">
        <v>72</v>
      </c>
      <c r="N265" s="41" t="s">
        <v>44</v>
      </c>
      <c r="O265" s="40">
        <f t="shared" si="82"/>
        <v>0</v>
      </c>
      <c r="Z265" s="40">
        <f t="shared" si="83"/>
        <v>0</v>
      </c>
      <c r="AA265" s="40">
        <f t="shared" si="84"/>
        <v>0</v>
      </c>
      <c r="AB265" s="40">
        <f t="shared" si="85"/>
        <v>0</v>
      </c>
      <c r="AD265" s="40">
        <v>21</v>
      </c>
      <c r="AE265" s="40">
        <f aca="true" t="shared" si="86" ref="AE265:AE266">G265*1</f>
        <v>0</v>
      </c>
      <c r="AF265" s="40">
        <f aca="true" t="shared" si="87" ref="AF265:AF266">G265*(1-1)</f>
        <v>0</v>
      </c>
    </row>
    <row r="266" spans="1:32" ht="12.75">
      <c r="A266" s="10" t="s">
        <v>491</v>
      </c>
      <c r="B266" s="10"/>
      <c r="C266" s="10" t="s">
        <v>492</v>
      </c>
      <c r="D266" s="10" t="s">
        <v>493</v>
      </c>
      <c r="E266" s="10" t="s">
        <v>131</v>
      </c>
      <c r="F266" s="40">
        <v>5</v>
      </c>
      <c r="G266" s="40">
        <v>0</v>
      </c>
      <c r="H266" s="40">
        <f t="shared" si="78"/>
        <v>0</v>
      </c>
      <c r="I266" s="40">
        <f t="shared" si="79"/>
        <v>0</v>
      </c>
      <c r="J266" s="40">
        <f t="shared" si="80"/>
        <v>0</v>
      </c>
      <c r="K266" s="40">
        <v>0.00075</v>
      </c>
      <c r="L266" s="40">
        <f t="shared" si="81"/>
        <v>0.00375</v>
      </c>
      <c r="M266" s="41" t="s">
        <v>72</v>
      </c>
      <c r="N266" s="41" t="s">
        <v>44</v>
      </c>
      <c r="O266" s="40">
        <f t="shared" si="82"/>
        <v>0</v>
      </c>
      <c r="Z266" s="40">
        <f t="shared" si="83"/>
        <v>0</v>
      </c>
      <c r="AA266" s="40">
        <f t="shared" si="84"/>
        <v>0</v>
      </c>
      <c r="AB266" s="40">
        <f t="shared" si="85"/>
        <v>0</v>
      </c>
      <c r="AD266" s="40">
        <v>21</v>
      </c>
      <c r="AE266" s="40">
        <f t="shared" si="86"/>
        <v>0</v>
      </c>
      <c r="AF266" s="40">
        <f t="shared" si="87"/>
        <v>0</v>
      </c>
    </row>
    <row r="267" spans="1:32" ht="12.75">
      <c r="A267" s="10" t="s">
        <v>494</v>
      </c>
      <c r="B267" s="10"/>
      <c r="C267" s="10" t="s">
        <v>495</v>
      </c>
      <c r="D267" s="10" t="s">
        <v>496</v>
      </c>
      <c r="E267" s="10" t="s">
        <v>143</v>
      </c>
      <c r="F267" s="40">
        <v>2.9</v>
      </c>
      <c r="G267" s="40">
        <v>0</v>
      </c>
      <c r="H267" s="40">
        <f t="shared" si="78"/>
        <v>0</v>
      </c>
      <c r="I267" s="40">
        <f t="shared" si="79"/>
        <v>0</v>
      </c>
      <c r="J267" s="40">
        <f t="shared" si="80"/>
        <v>0</v>
      </c>
      <c r="K267" s="40">
        <v>0.00404</v>
      </c>
      <c r="L267" s="40">
        <f t="shared" si="81"/>
        <v>0.011716</v>
      </c>
      <c r="M267" s="41"/>
      <c r="N267" s="41" t="s">
        <v>54</v>
      </c>
      <c r="O267" s="40">
        <f t="shared" si="82"/>
        <v>0</v>
      </c>
      <c r="Z267" s="40">
        <f t="shared" si="83"/>
        <v>0</v>
      </c>
      <c r="AA267" s="40">
        <f t="shared" si="84"/>
        <v>0</v>
      </c>
      <c r="AB267" s="40">
        <f t="shared" si="85"/>
        <v>0</v>
      </c>
      <c r="AD267" s="40">
        <v>21</v>
      </c>
      <c r="AE267" s="40">
        <f>G267*0.459011135041012</f>
        <v>0</v>
      </c>
      <c r="AF267" s="40">
        <f>G267*(1-0.459011135041012)</f>
        <v>0</v>
      </c>
    </row>
    <row r="268" spans="1:32" ht="12.75">
      <c r="A268" s="10" t="s">
        <v>497</v>
      </c>
      <c r="B268" s="10"/>
      <c r="C268" s="10" t="s">
        <v>498</v>
      </c>
      <c r="D268" s="10" t="s">
        <v>499</v>
      </c>
      <c r="E268" s="10" t="s">
        <v>143</v>
      </c>
      <c r="F268" s="40">
        <v>1.75</v>
      </c>
      <c r="G268" s="40">
        <v>0</v>
      </c>
      <c r="H268" s="40">
        <f t="shared" si="78"/>
        <v>0</v>
      </c>
      <c r="I268" s="40">
        <f t="shared" si="79"/>
        <v>0</v>
      </c>
      <c r="J268" s="40">
        <f t="shared" si="80"/>
        <v>0</v>
      </c>
      <c r="K268" s="40">
        <v>0.00132</v>
      </c>
      <c r="L268" s="40">
        <f t="shared" si="81"/>
        <v>0.00231</v>
      </c>
      <c r="M268" s="41"/>
      <c r="N268" s="41" t="s">
        <v>47</v>
      </c>
      <c r="O268" s="40">
        <f t="shared" si="82"/>
        <v>0</v>
      </c>
      <c r="Z268" s="40">
        <f t="shared" si="83"/>
        <v>0</v>
      </c>
      <c r="AA268" s="40">
        <f t="shared" si="84"/>
        <v>0</v>
      </c>
      <c r="AB268" s="40">
        <f t="shared" si="85"/>
        <v>0</v>
      </c>
      <c r="AD268" s="40">
        <v>21</v>
      </c>
      <c r="AE268" s="40">
        <f>G268*0.601252312508894</f>
        <v>0</v>
      </c>
      <c r="AF268" s="40">
        <f>G268*(1-0.601252312508894)</f>
        <v>0</v>
      </c>
    </row>
    <row r="269" spans="1:32" ht="12.75">
      <c r="A269" s="10" t="s">
        <v>500</v>
      </c>
      <c r="B269" s="10"/>
      <c r="C269" s="10" t="s">
        <v>501</v>
      </c>
      <c r="D269" s="10" t="s">
        <v>502</v>
      </c>
      <c r="E269" s="10" t="s">
        <v>143</v>
      </c>
      <c r="F269" s="40">
        <v>18.6</v>
      </c>
      <c r="G269" s="40">
        <v>0</v>
      </c>
      <c r="H269" s="40">
        <f t="shared" si="78"/>
        <v>0</v>
      </c>
      <c r="I269" s="40">
        <f t="shared" si="79"/>
        <v>0</v>
      </c>
      <c r="J269" s="40">
        <f t="shared" si="80"/>
        <v>0</v>
      </c>
      <c r="K269" s="40">
        <v>0.00367</v>
      </c>
      <c r="L269" s="40">
        <f t="shared" si="81"/>
        <v>0.068262</v>
      </c>
      <c r="M269" s="41"/>
      <c r="N269" s="41" t="s">
        <v>54</v>
      </c>
      <c r="O269" s="40">
        <f t="shared" si="82"/>
        <v>0</v>
      </c>
      <c r="Z269" s="40">
        <f t="shared" si="83"/>
        <v>0</v>
      </c>
      <c r="AA269" s="40">
        <f t="shared" si="84"/>
        <v>0</v>
      </c>
      <c r="AB269" s="40">
        <f t="shared" si="85"/>
        <v>0</v>
      </c>
      <c r="AD269" s="40">
        <v>21</v>
      </c>
      <c r="AE269" s="40">
        <f>G269*0.331156990765249</f>
        <v>0</v>
      </c>
      <c r="AF269" s="40">
        <f>G269*(1-0.331156990765249)</f>
        <v>0</v>
      </c>
    </row>
    <row r="270" spans="4:6" ht="12.75">
      <c r="D270" s="44" t="s">
        <v>503</v>
      </c>
      <c r="F270" s="45">
        <v>18.6</v>
      </c>
    </row>
    <row r="271" spans="1:32" ht="12.75">
      <c r="A271" s="10" t="s">
        <v>504</v>
      </c>
      <c r="B271" s="10"/>
      <c r="C271" s="10" t="s">
        <v>505</v>
      </c>
      <c r="D271" s="10" t="s">
        <v>506</v>
      </c>
      <c r="E271" s="10" t="s">
        <v>143</v>
      </c>
      <c r="F271" s="40">
        <v>18.6</v>
      </c>
      <c r="G271" s="40">
        <v>0</v>
      </c>
      <c r="H271" s="40">
        <f aca="true" t="shared" si="88" ref="H271:H272">ROUND(F271*AE271,2)</f>
        <v>0</v>
      </c>
      <c r="I271" s="40">
        <f aca="true" t="shared" si="89" ref="I271:I272">J271-H271</f>
        <v>0</v>
      </c>
      <c r="J271" s="40">
        <f aca="true" t="shared" si="90" ref="J271:J272">ROUND(F271*G271,2)</f>
        <v>0</v>
      </c>
      <c r="K271" s="40">
        <v>0.00499</v>
      </c>
      <c r="L271" s="40">
        <f aca="true" t="shared" si="91" ref="L271:L272">F271*K271</f>
        <v>0.092814</v>
      </c>
      <c r="M271" s="41"/>
      <c r="N271" s="41" t="s">
        <v>54</v>
      </c>
      <c r="O271" s="40">
        <f aca="true" t="shared" si="92" ref="O271:O272">IF(N271="5",I271,0)</f>
        <v>0</v>
      </c>
      <c r="Z271" s="40">
        <f aca="true" t="shared" si="93" ref="Z271:Z272">IF(AD271=0,J271,0)</f>
        <v>0</v>
      </c>
      <c r="AA271" s="40">
        <f aca="true" t="shared" si="94" ref="AA271:AA272">IF(AD271=15,J271,0)</f>
        <v>0</v>
      </c>
      <c r="AB271" s="40">
        <f aca="true" t="shared" si="95" ref="AB271:AB272">IF(AD271=21,J271,0)</f>
        <v>0</v>
      </c>
      <c r="AD271" s="40">
        <v>21</v>
      </c>
      <c r="AE271" s="40">
        <f>G271*0.405798492775884</f>
        <v>0</v>
      </c>
      <c r="AF271" s="40">
        <f>G271*(1-0.405798492775884)</f>
        <v>0</v>
      </c>
    </row>
    <row r="272" spans="1:32" ht="12.75">
      <c r="A272" s="10" t="s">
        <v>507</v>
      </c>
      <c r="B272" s="10"/>
      <c r="C272" s="10" t="s">
        <v>508</v>
      </c>
      <c r="D272" s="10" t="s">
        <v>509</v>
      </c>
      <c r="E272" s="10" t="s">
        <v>143</v>
      </c>
      <c r="F272" s="40">
        <v>10.4</v>
      </c>
      <c r="G272" s="40">
        <v>0</v>
      </c>
      <c r="H272" s="40">
        <f t="shared" si="88"/>
        <v>0</v>
      </c>
      <c r="I272" s="40">
        <f t="shared" si="89"/>
        <v>0</v>
      </c>
      <c r="J272" s="40">
        <f t="shared" si="90"/>
        <v>0</v>
      </c>
      <c r="K272" s="40">
        <v>0.00631</v>
      </c>
      <c r="L272" s="40">
        <f t="shared" si="91"/>
        <v>0.065624</v>
      </c>
      <c r="M272" s="41"/>
      <c r="N272" s="41" t="s">
        <v>54</v>
      </c>
      <c r="O272" s="40">
        <f t="shared" si="92"/>
        <v>0</v>
      </c>
      <c r="Z272" s="40">
        <f t="shared" si="93"/>
        <v>0</v>
      </c>
      <c r="AA272" s="40">
        <f t="shared" si="94"/>
        <v>0</v>
      </c>
      <c r="AB272" s="40">
        <f t="shared" si="95"/>
        <v>0</v>
      </c>
      <c r="AD272" s="40">
        <v>21</v>
      </c>
      <c r="AE272" s="40">
        <f>G272*0.511136504130528</f>
        <v>0</v>
      </c>
      <c r="AF272" s="40">
        <f>G272*(1-0.511136504130528)</f>
        <v>0</v>
      </c>
    </row>
    <row r="273" spans="4:6" ht="12.75">
      <c r="D273" s="44" t="s">
        <v>510</v>
      </c>
      <c r="F273" s="45">
        <v>10.4</v>
      </c>
    </row>
    <row r="274" spans="1:32" ht="12.75">
      <c r="A274" s="10" t="s">
        <v>511</v>
      </c>
      <c r="B274" s="10"/>
      <c r="C274" s="10" t="s">
        <v>505</v>
      </c>
      <c r="D274" s="10" t="s">
        <v>512</v>
      </c>
      <c r="E274" s="10" t="s">
        <v>143</v>
      </c>
      <c r="F274" s="40">
        <v>1.75</v>
      </c>
      <c r="G274" s="40">
        <v>0</v>
      </c>
      <c r="H274" s="40">
        <f aca="true" t="shared" si="96" ref="H274:H276">ROUND(F274*AE274,2)</f>
        <v>0</v>
      </c>
      <c r="I274" s="40">
        <f aca="true" t="shared" si="97" ref="I274:I276">J274-H274</f>
        <v>0</v>
      </c>
      <c r="J274" s="40">
        <f aca="true" t="shared" si="98" ref="J274:J276">ROUND(F274*G274,2)</f>
        <v>0</v>
      </c>
      <c r="K274" s="40">
        <v>0.00499</v>
      </c>
      <c r="L274" s="40">
        <f aca="true" t="shared" si="99" ref="L274:L276">F274*K274</f>
        <v>0.008732499999999999</v>
      </c>
      <c r="M274" s="41"/>
      <c r="N274" s="41" t="s">
        <v>54</v>
      </c>
      <c r="O274" s="40">
        <f aca="true" t="shared" si="100" ref="O274:O276">IF(N274="5",I274,0)</f>
        <v>0</v>
      </c>
      <c r="Z274" s="40">
        <f aca="true" t="shared" si="101" ref="Z274:Z276">IF(AD274=0,J274,0)</f>
        <v>0</v>
      </c>
      <c r="AA274" s="40">
        <f aca="true" t="shared" si="102" ref="AA274:AA276">IF(AD274=15,J274,0)</f>
        <v>0</v>
      </c>
      <c r="AB274" s="40">
        <f aca="true" t="shared" si="103" ref="AB274:AB276">IF(AD274=21,J274,0)</f>
        <v>0</v>
      </c>
      <c r="AD274" s="40">
        <v>21</v>
      </c>
      <c r="AE274" s="40">
        <f>G274*0.405798492775884</f>
        <v>0</v>
      </c>
      <c r="AF274" s="40">
        <f>G274*(1-0.405798492775884)</f>
        <v>0</v>
      </c>
    </row>
    <row r="275" spans="1:32" ht="12.75">
      <c r="A275" s="10" t="s">
        <v>513</v>
      </c>
      <c r="B275" s="10"/>
      <c r="C275" s="10" t="s">
        <v>501</v>
      </c>
      <c r="D275" s="10" t="s">
        <v>514</v>
      </c>
      <c r="E275" s="10" t="s">
        <v>143</v>
      </c>
      <c r="F275" s="40">
        <v>1.75</v>
      </c>
      <c r="G275" s="40">
        <v>0</v>
      </c>
      <c r="H275" s="40">
        <f t="shared" si="96"/>
        <v>0</v>
      </c>
      <c r="I275" s="40">
        <f t="shared" si="97"/>
        <v>0</v>
      </c>
      <c r="J275" s="40">
        <f t="shared" si="98"/>
        <v>0</v>
      </c>
      <c r="K275" s="40">
        <v>0.00367</v>
      </c>
      <c r="L275" s="40">
        <f t="shared" si="99"/>
        <v>0.0064225</v>
      </c>
      <c r="M275" s="41"/>
      <c r="N275" s="41" t="s">
        <v>54</v>
      </c>
      <c r="O275" s="40">
        <f t="shared" si="100"/>
        <v>0</v>
      </c>
      <c r="Z275" s="40">
        <f t="shared" si="101"/>
        <v>0</v>
      </c>
      <c r="AA275" s="40">
        <f t="shared" si="102"/>
        <v>0</v>
      </c>
      <c r="AB275" s="40">
        <f t="shared" si="103"/>
        <v>0</v>
      </c>
      <c r="AD275" s="40">
        <v>21</v>
      </c>
      <c r="AE275" s="40">
        <f>G275*0.2158471829529</f>
        <v>0</v>
      </c>
      <c r="AF275" s="40">
        <f>G275*(1-0.2158471829529)</f>
        <v>0</v>
      </c>
    </row>
    <row r="276" spans="1:32" ht="12.75">
      <c r="A276" s="10" t="s">
        <v>515</v>
      </c>
      <c r="B276" s="10"/>
      <c r="C276" s="10" t="s">
        <v>516</v>
      </c>
      <c r="D276" s="10" t="s">
        <v>517</v>
      </c>
      <c r="E276" s="10" t="s">
        <v>143</v>
      </c>
      <c r="F276" s="40">
        <v>375.6</v>
      </c>
      <c r="G276" s="40">
        <v>0</v>
      </c>
      <c r="H276" s="40">
        <f t="shared" si="96"/>
        <v>0</v>
      </c>
      <c r="I276" s="40">
        <f t="shared" si="97"/>
        <v>0</v>
      </c>
      <c r="J276" s="40">
        <f t="shared" si="98"/>
        <v>0</v>
      </c>
      <c r="K276" s="40">
        <v>0.00135</v>
      </c>
      <c r="L276" s="40">
        <f t="shared" si="99"/>
        <v>0.5070600000000001</v>
      </c>
      <c r="M276" s="41" t="s">
        <v>72</v>
      </c>
      <c r="N276" s="41" t="s">
        <v>47</v>
      </c>
      <c r="O276" s="40">
        <f t="shared" si="100"/>
        <v>0</v>
      </c>
      <c r="Z276" s="40">
        <f t="shared" si="101"/>
        <v>0</v>
      </c>
      <c r="AA276" s="40">
        <f t="shared" si="102"/>
        <v>0</v>
      </c>
      <c r="AB276" s="40">
        <f t="shared" si="103"/>
        <v>0</v>
      </c>
      <c r="AD276" s="40">
        <v>21</v>
      </c>
      <c r="AE276" s="40">
        <f>G276*0</f>
        <v>0</v>
      </c>
      <c r="AF276" s="40">
        <f>G276*(1-0)</f>
        <v>0</v>
      </c>
    </row>
    <row r="277" spans="4:6" ht="12.75">
      <c r="D277" s="44" t="s">
        <v>518</v>
      </c>
      <c r="F277" s="45">
        <v>375.6</v>
      </c>
    </row>
    <row r="278" spans="1:32" ht="12.75">
      <c r="A278" s="10" t="s">
        <v>519</v>
      </c>
      <c r="B278" s="10"/>
      <c r="C278" s="10" t="s">
        <v>520</v>
      </c>
      <c r="D278" s="10" t="s">
        <v>521</v>
      </c>
      <c r="E278" s="10" t="s">
        <v>131</v>
      </c>
      <c r="F278" s="40">
        <v>95</v>
      </c>
      <c r="G278" s="40">
        <v>0</v>
      </c>
      <c r="H278" s="40">
        <f>ROUND(F278*AE278,2)</f>
        <v>0</v>
      </c>
      <c r="I278" s="40">
        <f>J278-H278</f>
        <v>0</v>
      </c>
      <c r="J278" s="40">
        <f>ROUND(F278*G278,2)</f>
        <v>0</v>
      </c>
      <c r="K278" s="40">
        <v>0.00258</v>
      </c>
      <c r="L278" s="40">
        <f>F278*K278</f>
        <v>0.24509999999999998</v>
      </c>
      <c r="M278" s="41"/>
      <c r="N278" s="41" t="s">
        <v>47</v>
      </c>
      <c r="O278" s="40">
        <f>IF(N278="5",I278,0)</f>
        <v>0</v>
      </c>
      <c r="Z278" s="40">
        <f>IF(AD278=0,J278,0)</f>
        <v>0</v>
      </c>
      <c r="AA278" s="40">
        <f>IF(AD278=15,J278,0)</f>
        <v>0</v>
      </c>
      <c r="AB278" s="40">
        <f>IF(AD278=21,J278,0)</f>
        <v>0</v>
      </c>
      <c r="AD278" s="40">
        <v>21</v>
      </c>
      <c r="AE278" s="40">
        <f>G278*0.296349184284685</f>
        <v>0</v>
      </c>
      <c r="AF278" s="40">
        <f>G278*(1-0.296349184284685)</f>
        <v>0</v>
      </c>
    </row>
    <row r="279" spans="4:6" ht="12.75">
      <c r="D279" s="44" t="s">
        <v>459</v>
      </c>
      <c r="F279" s="45">
        <v>95</v>
      </c>
    </row>
    <row r="280" spans="1:32" ht="12.75">
      <c r="A280" s="10" t="s">
        <v>522</v>
      </c>
      <c r="B280" s="10"/>
      <c r="C280" s="10" t="s">
        <v>520</v>
      </c>
      <c r="D280" s="10" t="s">
        <v>523</v>
      </c>
      <c r="E280" s="10" t="s">
        <v>131</v>
      </c>
      <c r="F280" s="40">
        <v>36</v>
      </c>
      <c r="G280" s="40">
        <v>0</v>
      </c>
      <c r="H280" s="40">
        <f>ROUND(F280*AE280,2)</f>
        <v>0</v>
      </c>
      <c r="I280" s="40">
        <f>J280-H280</f>
        <v>0</v>
      </c>
      <c r="J280" s="40">
        <f>ROUND(F280*G280,2)</f>
        <v>0</v>
      </c>
      <c r="K280" s="40">
        <v>0.00258</v>
      </c>
      <c r="L280" s="40">
        <f>F280*K280</f>
        <v>0.09287999999999999</v>
      </c>
      <c r="M280" s="41"/>
      <c r="N280" s="41" t="s">
        <v>47</v>
      </c>
      <c r="O280" s="40">
        <f>IF(N280="5",I280,0)</f>
        <v>0</v>
      </c>
      <c r="Z280" s="40">
        <f>IF(AD280=0,J280,0)</f>
        <v>0</v>
      </c>
      <c r="AA280" s="40">
        <f>IF(AD280=15,J280,0)</f>
        <v>0</v>
      </c>
      <c r="AB280" s="40">
        <f>IF(AD280=21,J280,0)</f>
        <v>0</v>
      </c>
      <c r="AD280" s="40">
        <v>21</v>
      </c>
      <c r="AE280" s="40">
        <f>G280*0.296352460673703</f>
        <v>0</v>
      </c>
      <c r="AF280" s="40">
        <f>G280*(1-0.296352460673703)</f>
        <v>0</v>
      </c>
    </row>
    <row r="281" spans="4:6" ht="12.75">
      <c r="D281" s="44" t="s">
        <v>210</v>
      </c>
      <c r="F281" s="45">
        <v>36</v>
      </c>
    </row>
    <row r="282" spans="1:32" ht="12.75">
      <c r="A282" s="10" t="s">
        <v>524</v>
      </c>
      <c r="B282" s="10"/>
      <c r="C282" s="10" t="s">
        <v>520</v>
      </c>
      <c r="D282" s="10" t="s">
        <v>525</v>
      </c>
      <c r="E282" s="10" t="s">
        <v>131</v>
      </c>
      <c r="F282" s="40">
        <v>60</v>
      </c>
      <c r="G282" s="40">
        <v>0</v>
      </c>
      <c r="H282" s="40">
        <f>ROUND(F282*AE282,2)</f>
        <v>0</v>
      </c>
      <c r="I282" s="40">
        <f>J282-H282</f>
        <v>0</v>
      </c>
      <c r="J282" s="40">
        <f>ROUND(F282*G282,2)</f>
        <v>0</v>
      </c>
      <c r="K282" s="40">
        <v>0.00258</v>
      </c>
      <c r="L282" s="40">
        <f>F282*K282</f>
        <v>0.1548</v>
      </c>
      <c r="M282" s="41"/>
      <c r="N282" s="41" t="s">
        <v>47</v>
      </c>
      <c r="O282" s="40">
        <f>IF(N282="5",I282,0)</f>
        <v>0</v>
      </c>
      <c r="Z282" s="40">
        <f>IF(AD282=0,J282,0)</f>
        <v>0</v>
      </c>
      <c r="AA282" s="40">
        <f>IF(AD282=15,J282,0)</f>
        <v>0</v>
      </c>
      <c r="AB282" s="40">
        <f>IF(AD282=21,J282,0)</f>
        <v>0</v>
      </c>
      <c r="AD282" s="40">
        <v>21</v>
      </c>
      <c r="AE282" s="40">
        <f>G282*0.29636556639539</f>
        <v>0</v>
      </c>
      <c r="AF282" s="40">
        <f>G282*(1-0.29636556639539)</f>
        <v>0</v>
      </c>
    </row>
    <row r="283" spans="4:6" ht="12.75">
      <c r="D283" s="44" t="s">
        <v>325</v>
      </c>
      <c r="F283" s="45">
        <v>60</v>
      </c>
    </row>
    <row r="284" spans="1:32" ht="12.75">
      <c r="A284" s="10" t="s">
        <v>526</v>
      </c>
      <c r="B284" s="10"/>
      <c r="C284" s="10" t="s">
        <v>527</v>
      </c>
      <c r="D284" s="10" t="s">
        <v>528</v>
      </c>
      <c r="E284" s="10" t="s">
        <v>143</v>
      </c>
      <c r="F284" s="40">
        <v>1</v>
      </c>
      <c r="G284" s="40">
        <v>0</v>
      </c>
      <c r="H284" s="40">
        <f>ROUND(F284*AE284,2)</f>
        <v>0</v>
      </c>
      <c r="I284" s="40">
        <f>J284-H284</f>
        <v>0</v>
      </c>
      <c r="J284" s="40">
        <f>ROUND(F284*G284,2)</f>
        <v>0</v>
      </c>
      <c r="K284" s="40">
        <v>0.00224</v>
      </c>
      <c r="L284" s="40">
        <f>F284*K284</f>
        <v>0.00224</v>
      </c>
      <c r="M284" s="41"/>
      <c r="N284" s="41" t="s">
        <v>47</v>
      </c>
      <c r="O284" s="40">
        <f>IF(N284="5",I284,0)</f>
        <v>0</v>
      </c>
      <c r="Z284" s="40">
        <f>IF(AD284=0,J284,0)</f>
        <v>0</v>
      </c>
      <c r="AA284" s="40">
        <f>IF(AD284=15,J284,0)</f>
        <v>0</v>
      </c>
      <c r="AB284" s="40">
        <f>IF(AD284=21,J284,0)</f>
        <v>0</v>
      </c>
      <c r="AD284" s="40">
        <v>21</v>
      </c>
      <c r="AE284" s="40">
        <f>G284*0.235957359573596</f>
        <v>0</v>
      </c>
      <c r="AF284" s="40">
        <f>G284*(1-0.235957359573596)</f>
        <v>0</v>
      </c>
    </row>
    <row r="285" spans="4:6" ht="12.75">
      <c r="D285" s="44" t="s">
        <v>47</v>
      </c>
      <c r="F285" s="45">
        <v>1</v>
      </c>
    </row>
    <row r="286" spans="1:32" ht="12.75">
      <c r="A286" s="10" t="s">
        <v>529</v>
      </c>
      <c r="B286" s="10"/>
      <c r="C286" s="10" t="s">
        <v>530</v>
      </c>
      <c r="D286" s="10" t="s">
        <v>531</v>
      </c>
      <c r="E286" s="10" t="s">
        <v>50</v>
      </c>
      <c r="F286" s="40">
        <v>120</v>
      </c>
      <c r="G286" s="40">
        <v>0</v>
      </c>
      <c r="H286" s="40">
        <f>ROUND(F286*AE286,2)</f>
        <v>0</v>
      </c>
      <c r="I286" s="40">
        <f>J286-H286</f>
        <v>0</v>
      </c>
      <c r="J286" s="40">
        <f>ROUND(F286*G286,2)</f>
        <v>0</v>
      </c>
      <c r="K286" s="40">
        <v>5E-05</v>
      </c>
      <c r="L286" s="40">
        <f>F286*K286</f>
        <v>0.006</v>
      </c>
      <c r="M286" s="41"/>
      <c r="N286" s="41" t="s">
        <v>47</v>
      </c>
      <c r="O286" s="40">
        <f>IF(N286="5",I286,0)</f>
        <v>0</v>
      </c>
      <c r="Z286" s="40">
        <f>IF(AD286=0,J286,0)</f>
        <v>0</v>
      </c>
      <c r="AA286" s="40">
        <f>IF(AD286=15,J286,0)</f>
        <v>0</v>
      </c>
      <c r="AB286" s="40">
        <f>IF(AD286=21,J286,0)</f>
        <v>0</v>
      </c>
      <c r="AD286" s="40">
        <v>21</v>
      </c>
      <c r="AE286" s="40">
        <f>G286*0</f>
        <v>0</v>
      </c>
      <c r="AF286" s="40">
        <f>G286*(1-0)</f>
        <v>0</v>
      </c>
    </row>
    <row r="287" spans="4:6" ht="12.75">
      <c r="D287" s="44" t="s">
        <v>532</v>
      </c>
      <c r="F287" s="45">
        <v>120</v>
      </c>
    </row>
    <row r="288" spans="1:32" ht="12.75">
      <c r="A288" s="10" t="s">
        <v>533</v>
      </c>
      <c r="B288" s="10"/>
      <c r="C288" s="10" t="s">
        <v>534</v>
      </c>
      <c r="D288" s="10" t="s">
        <v>535</v>
      </c>
      <c r="E288" s="10" t="s">
        <v>131</v>
      </c>
      <c r="F288" s="40">
        <v>6</v>
      </c>
      <c r="G288" s="40">
        <v>0</v>
      </c>
      <c r="H288" s="40">
        <f aca="true" t="shared" si="104" ref="H288:H290">ROUND(F288*AE288,2)</f>
        <v>0</v>
      </c>
      <c r="I288" s="40">
        <f aca="true" t="shared" si="105" ref="I288:I290">J288-H288</f>
        <v>0</v>
      </c>
      <c r="J288" s="40">
        <f aca="true" t="shared" si="106" ref="J288:J290">ROUND(F288*G288,2)</f>
        <v>0</v>
      </c>
      <c r="K288" s="40">
        <v>0.00181</v>
      </c>
      <c r="L288" s="40">
        <f aca="true" t="shared" si="107" ref="L288:L290">F288*K288</f>
        <v>0.01086</v>
      </c>
      <c r="M288" s="41"/>
      <c r="N288" s="41" t="s">
        <v>54</v>
      </c>
      <c r="O288" s="40">
        <f aca="true" t="shared" si="108" ref="O288:O290">IF(N288="5",I288,0)</f>
        <v>0</v>
      </c>
      <c r="Z288" s="40">
        <f aca="true" t="shared" si="109" ref="Z288:Z290">IF(AD288=0,J288,0)</f>
        <v>0</v>
      </c>
      <c r="AA288" s="40">
        <f aca="true" t="shared" si="110" ref="AA288:AA290">IF(AD288=15,J288,0)</f>
        <v>0</v>
      </c>
      <c r="AB288" s="40">
        <f aca="true" t="shared" si="111" ref="AB288:AB290">IF(AD288=21,J288,0)</f>
        <v>0</v>
      </c>
      <c r="AD288" s="40">
        <v>21</v>
      </c>
      <c r="AE288" s="40">
        <f>G288*0</f>
        <v>0</v>
      </c>
      <c r="AF288" s="40">
        <f>G288*(1-0)</f>
        <v>0</v>
      </c>
    </row>
    <row r="289" spans="1:32" ht="12.75">
      <c r="A289" s="10" t="s">
        <v>536</v>
      </c>
      <c r="B289" s="10"/>
      <c r="C289" s="10" t="s">
        <v>537</v>
      </c>
      <c r="D289" s="10" t="s">
        <v>538</v>
      </c>
      <c r="E289" s="10" t="s">
        <v>71</v>
      </c>
      <c r="F289" s="40">
        <v>3.6</v>
      </c>
      <c r="G289" s="40">
        <v>0</v>
      </c>
      <c r="H289" s="40">
        <f t="shared" si="104"/>
        <v>0</v>
      </c>
      <c r="I289" s="40">
        <f t="shared" si="105"/>
        <v>0</v>
      </c>
      <c r="J289" s="40">
        <f t="shared" si="106"/>
        <v>0</v>
      </c>
      <c r="K289" s="40">
        <v>0.01772</v>
      </c>
      <c r="L289" s="40">
        <f t="shared" si="107"/>
        <v>0.063792</v>
      </c>
      <c r="M289" s="41" t="s">
        <v>72</v>
      </c>
      <c r="N289" s="41" t="s">
        <v>47</v>
      </c>
      <c r="O289" s="40">
        <f t="shared" si="108"/>
        <v>0</v>
      </c>
      <c r="Z289" s="40">
        <f t="shared" si="109"/>
        <v>0</v>
      </c>
      <c r="AA289" s="40">
        <f t="shared" si="110"/>
        <v>0</v>
      </c>
      <c r="AB289" s="40">
        <f t="shared" si="111"/>
        <v>0</v>
      </c>
      <c r="AD289" s="40">
        <v>21</v>
      </c>
      <c r="AE289" s="40">
        <f>G289*0.545769348167016</f>
        <v>0</v>
      </c>
      <c r="AF289" s="40">
        <f>G289*(1-0.545769348167016)</f>
        <v>0</v>
      </c>
    </row>
    <row r="290" spans="1:32" ht="12.75">
      <c r="A290" s="10" t="s">
        <v>539</v>
      </c>
      <c r="B290" s="10"/>
      <c r="C290" s="10" t="s">
        <v>540</v>
      </c>
      <c r="D290" s="10" t="s">
        <v>541</v>
      </c>
      <c r="E290" s="10" t="s">
        <v>113</v>
      </c>
      <c r="F290" s="40">
        <v>1.9</v>
      </c>
      <c r="G290" s="40">
        <v>0</v>
      </c>
      <c r="H290" s="40">
        <f t="shared" si="104"/>
        <v>0</v>
      </c>
      <c r="I290" s="40">
        <f t="shared" si="105"/>
        <v>0</v>
      </c>
      <c r="J290" s="40">
        <f t="shared" si="106"/>
        <v>0</v>
      </c>
      <c r="K290" s="40">
        <v>0</v>
      </c>
      <c r="L290" s="40">
        <f t="shared" si="107"/>
        <v>0</v>
      </c>
      <c r="M290" s="41" t="s">
        <v>72</v>
      </c>
      <c r="N290" s="41" t="s">
        <v>60</v>
      </c>
      <c r="O290" s="40">
        <f t="shared" si="108"/>
        <v>0</v>
      </c>
      <c r="Z290" s="40">
        <f t="shared" si="109"/>
        <v>0</v>
      </c>
      <c r="AA290" s="40">
        <f t="shared" si="110"/>
        <v>0</v>
      </c>
      <c r="AB290" s="40">
        <f t="shared" si="111"/>
        <v>0</v>
      </c>
      <c r="AD290" s="40">
        <v>21</v>
      </c>
      <c r="AE290" s="40">
        <f>G290*0</f>
        <v>0</v>
      </c>
      <c r="AF290" s="40">
        <f>G290*(1-0)</f>
        <v>0</v>
      </c>
    </row>
    <row r="291" spans="1:37" ht="12.75">
      <c r="A291" s="42"/>
      <c r="B291" s="43"/>
      <c r="C291" s="43" t="s">
        <v>542</v>
      </c>
      <c r="D291" s="43" t="s">
        <v>543</v>
      </c>
      <c r="E291" s="43"/>
      <c r="F291" s="43"/>
      <c r="G291" s="43"/>
      <c r="H291" s="39">
        <f>SUM(H292:H318)</f>
        <v>0</v>
      </c>
      <c r="I291" s="39">
        <f>SUM(I292:I318)</f>
        <v>0</v>
      </c>
      <c r="J291" s="39">
        <f>H291+I291</f>
        <v>0</v>
      </c>
      <c r="K291" s="34"/>
      <c r="L291" s="39">
        <f>SUM(L292:L318)</f>
        <v>0.44631</v>
      </c>
      <c r="M291" s="34"/>
      <c r="P291" s="39">
        <f>IF(Q291="PR",J291,SUM(O292:O318))</f>
        <v>0</v>
      </c>
      <c r="Q291" s="34" t="s">
        <v>317</v>
      </c>
      <c r="R291" s="39">
        <f>IF(Q291="HS",H291,0)</f>
        <v>0</v>
      </c>
      <c r="S291" s="39">
        <f>IF(Q291="HS",I291-P291,0)</f>
        <v>0</v>
      </c>
      <c r="T291" s="39">
        <f>IF(Q291="PS",H291,0)</f>
        <v>0</v>
      </c>
      <c r="U291" s="39">
        <f>IF(Q291="PS",I291-P291,0)</f>
        <v>0</v>
      </c>
      <c r="V291" s="39">
        <f>IF(Q291="MP",H291,0)</f>
        <v>0</v>
      </c>
      <c r="W291" s="39">
        <f>IF(Q291="MP",I291-P291,0)</f>
        <v>0</v>
      </c>
      <c r="X291" s="39">
        <f>IF(Q291="OM",H291,0)</f>
        <v>0</v>
      </c>
      <c r="Y291" s="34"/>
      <c r="AI291" s="39">
        <f>SUM(Z292:Z318)</f>
        <v>0</v>
      </c>
      <c r="AJ291" s="39">
        <f>SUM(AA292:AA318)</f>
        <v>0</v>
      </c>
      <c r="AK291" s="39">
        <f>SUM(AB292:AB318)</f>
        <v>0</v>
      </c>
    </row>
    <row r="292" spans="1:32" ht="12.75">
      <c r="A292" s="10" t="s">
        <v>544</v>
      </c>
      <c r="B292" s="10"/>
      <c r="C292" s="10" t="s">
        <v>545</v>
      </c>
      <c r="D292" s="10" t="s">
        <v>546</v>
      </c>
      <c r="E292" s="10" t="s">
        <v>131</v>
      </c>
      <c r="F292" s="40">
        <v>13</v>
      </c>
      <c r="G292" s="40">
        <v>0</v>
      </c>
      <c r="H292" s="40">
        <f>ROUND(F292*AE292,2)</f>
        <v>0</v>
      </c>
      <c r="I292" s="40">
        <f>J292-H292</f>
        <v>0</v>
      </c>
      <c r="J292" s="40">
        <f>ROUND(F292*G292,2)</f>
        <v>0</v>
      </c>
      <c r="K292" s="40">
        <v>0.0009</v>
      </c>
      <c r="L292" s="40">
        <f>F292*K292</f>
        <v>0.0117</v>
      </c>
      <c r="M292" s="41" t="s">
        <v>72</v>
      </c>
      <c r="N292" s="41" t="s">
        <v>47</v>
      </c>
      <c r="O292" s="40">
        <f>IF(N292="5",I292,0)</f>
        <v>0</v>
      </c>
      <c r="Z292" s="40">
        <f>IF(AD292=0,J292,0)</f>
        <v>0</v>
      </c>
      <c r="AA292" s="40">
        <f>IF(AD292=15,J292,0)</f>
        <v>0</v>
      </c>
      <c r="AB292" s="40">
        <f>IF(AD292=21,J292,0)</f>
        <v>0</v>
      </c>
      <c r="AD292" s="40">
        <v>21</v>
      </c>
      <c r="AE292" s="40">
        <f>G292*0.112530321406913</f>
        <v>0</v>
      </c>
      <c r="AF292" s="40">
        <f>G292*(1-0.112530321406913)</f>
        <v>0</v>
      </c>
    </row>
    <row r="293" spans="4:6" ht="12.75">
      <c r="D293" s="44" t="s">
        <v>547</v>
      </c>
      <c r="F293" s="45">
        <v>13</v>
      </c>
    </row>
    <row r="294" spans="1:32" ht="12.75">
      <c r="A294" s="10" t="s">
        <v>548</v>
      </c>
      <c r="B294" s="10"/>
      <c r="C294" s="10" t="s">
        <v>549</v>
      </c>
      <c r="D294" s="10" t="s">
        <v>550</v>
      </c>
      <c r="E294" s="10" t="s">
        <v>131</v>
      </c>
      <c r="F294" s="40">
        <v>11</v>
      </c>
      <c r="G294" s="40">
        <v>0</v>
      </c>
      <c r="H294" s="40">
        <f>ROUND(F294*AE294,2)</f>
        <v>0</v>
      </c>
      <c r="I294" s="40">
        <f>J294-H294</f>
        <v>0</v>
      </c>
      <c r="J294" s="40">
        <f>ROUND(F294*G294,2)</f>
        <v>0</v>
      </c>
      <c r="K294" s="40">
        <v>0.00165</v>
      </c>
      <c r="L294" s="40">
        <f>F294*K294</f>
        <v>0.01815</v>
      </c>
      <c r="M294" s="41" t="s">
        <v>72</v>
      </c>
      <c r="N294" s="41" t="s">
        <v>47</v>
      </c>
      <c r="O294" s="40">
        <f>IF(N294="5",I294,0)</f>
        <v>0</v>
      </c>
      <c r="Z294" s="40">
        <f>IF(AD294=0,J294,0)</f>
        <v>0</v>
      </c>
      <c r="AA294" s="40">
        <f>IF(AD294=15,J294,0)</f>
        <v>0</v>
      </c>
      <c r="AB294" s="40">
        <f>IF(AD294=21,J294,0)</f>
        <v>0</v>
      </c>
      <c r="AD294" s="40">
        <v>21</v>
      </c>
      <c r="AE294" s="40">
        <f>G294*0.153286259438195</f>
        <v>0</v>
      </c>
      <c r="AF294" s="40">
        <f>G294*(1-0.153286259438195)</f>
        <v>0</v>
      </c>
    </row>
    <row r="295" spans="4:6" ht="12.75">
      <c r="D295" s="44" t="s">
        <v>551</v>
      </c>
      <c r="F295" s="45">
        <v>11</v>
      </c>
    </row>
    <row r="296" spans="1:32" ht="12.75">
      <c r="A296" s="10" t="s">
        <v>552</v>
      </c>
      <c r="B296" s="10"/>
      <c r="C296" s="10" t="s">
        <v>553</v>
      </c>
      <c r="D296" s="10" t="s">
        <v>554</v>
      </c>
      <c r="E296" s="10" t="s">
        <v>131</v>
      </c>
      <c r="F296" s="40">
        <v>1</v>
      </c>
      <c r="G296" s="40">
        <v>0</v>
      </c>
      <c r="H296" s="40">
        <f>ROUND(F296*AE296,2)</f>
        <v>0</v>
      </c>
      <c r="I296" s="40">
        <f>J296-H296</f>
        <v>0</v>
      </c>
      <c r="J296" s="40">
        <f>ROUND(F296*G296,2)</f>
        <v>0</v>
      </c>
      <c r="K296" s="40">
        <v>0.00168</v>
      </c>
      <c r="L296" s="40">
        <f>F296*K296</f>
        <v>0.00168</v>
      </c>
      <c r="M296" s="41" t="s">
        <v>72</v>
      </c>
      <c r="N296" s="41" t="s">
        <v>47</v>
      </c>
      <c r="O296" s="40">
        <f>IF(N296="5",I296,0)</f>
        <v>0</v>
      </c>
      <c r="Z296" s="40">
        <f>IF(AD296=0,J296,0)</f>
        <v>0</v>
      </c>
      <c r="AA296" s="40">
        <f>IF(AD296=15,J296,0)</f>
        <v>0</v>
      </c>
      <c r="AB296" s="40">
        <f>IF(AD296=21,J296,0)</f>
        <v>0</v>
      </c>
      <c r="AD296" s="40">
        <v>21</v>
      </c>
      <c r="AE296" s="40">
        <f>G296*0.168605109086613</f>
        <v>0</v>
      </c>
      <c r="AF296" s="40">
        <f>G296*(1-0.168605109086613)</f>
        <v>0</v>
      </c>
    </row>
    <row r="297" spans="4:6" ht="12.75">
      <c r="D297" s="44" t="s">
        <v>555</v>
      </c>
      <c r="F297" s="45">
        <v>0.03</v>
      </c>
    </row>
    <row r="298" spans="1:32" ht="12.75">
      <c r="A298" s="10" t="s">
        <v>556</v>
      </c>
      <c r="B298" s="10"/>
      <c r="C298" s="10" t="s">
        <v>137</v>
      </c>
      <c r="D298" s="10" t="s">
        <v>557</v>
      </c>
      <c r="E298" s="10" t="s">
        <v>131</v>
      </c>
      <c r="F298" s="40">
        <v>8</v>
      </c>
      <c r="G298" s="40">
        <v>0</v>
      </c>
      <c r="H298" s="40">
        <f>ROUND(F298*AE298,2)</f>
        <v>0</v>
      </c>
      <c r="I298" s="40">
        <f>J298-H298</f>
        <v>0</v>
      </c>
      <c r="J298" s="40">
        <f>ROUND(F298*G298,2)</f>
        <v>0</v>
      </c>
      <c r="K298" s="40">
        <v>0.012</v>
      </c>
      <c r="L298" s="40">
        <f>F298*K298</f>
        <v>0.096</v>
      </c>
      <c r="M298" s="41"/>
      <c r="N298" s="41" t="s">
        <v>44</v>
      </c>
      <c r="O298" s="40">
        <f>IF(N298="5",I298,0)</f>
        <v>0</v>
      </c>
      <c r="Z298" s="40">
        <f>IF(AD298=0,J298,0)</f>
        <v>0</v>
      </c>
      <c r="AA298" s="40">
        <f>IF(AD298=15,J298,0)</f>
        <v>0</v>
      </c>
      <c r="AB298" s="40">
        <f>IF(AD298=21,J298,0)</f>
        <v>0</v>
      </c>
      <c r="AD298" s="40">
        <v>21</v>
      </c>
      <c r="AE298" s="40">
        <f>G298*1</f>
        <v>0</v>
      </c>
      <c r="AF298" s="40">
        <f>G298*(1-1)</f>
        <v>0</v>
      </c>
    </row>
    <row r="299" spans="4:6" ht="12.75">
      <c r="D299" s="44" t="s">
        <v>558</v>
      </c>
      <c r="F299" s="45">
        <v>8</v>
      </c>
    </row>
    <row r="300" spans="4:6" ht="12.75">
      <c r="D300" s="44" t="s">
        <v>559</v>
      </c>
      <c r="F300" s="45">
        <v>0</v>
      </c>
    </row>
    <row r="301" spans="1:32" ht="12.75">
      <c r="A301" s="10" t="s">
        <v>560</v>
      </c>
      <c r="B301" s="10"/>
      <c r="C301" s="10" t="s">
        <v>137</v>
      </c>
      <c r="D301" s="10" t="s">
        <v>561</v>
      </c>
      <c r="E301" s="10" t="s">
        <v>131</v>
      </c>
      <c r="F301" s="40">
        <v>5</v>
      </c>
      <c r="G301" s="40">
        <v>0</v>
      </c>
      <c r="H301" s="40">
        <f>ROUND(F301*AE301,2)</f>
        <v>0</v>
      </c>
      <c r="I301" s="40">
        <f>J301-H301</f>
        <v>0</v>
      </c>
      <c r="J301" s="40">
        <f>ROUND(F301*G301,2)</f>
        <v>0</v>
      </c>
      <c r="K301" s="40">
        <v>0.012</v>
      </c>
      <c r="L301" s="40">
        <f>F301*K301</f>
        <v>0.06</v>
      </c>
      <c r="M301" s="41"/>
      <c r="N301" s="41" t="s">
        <v>44</v>
      </c>
      <c r="O301" s="40">
        <f>IF(N301="5",I301,0)</f>
        <v>0</v>
      </c>
      <c r="Z301" s="40">
        <f>IF(AD301=0,J301,0)</f>
        <v>0</v>
      </c>
      <c r="AA301" s="40">
        <f>IF(AD301=15,J301,0)</f>
        <v>0</v>
      </c>
      <c r="AB301" s="40">
        <f>IF(AD301=21,J301,0)</f>
        <v>0</v>
      </c>
      <c r="AD301" s="40">
        <v>21</v>
      </c>
      <c r="AE301" s="40">
        <f>G301*1</f>
        <v>0</v>
      </c>
      <c r="AF301" s="40">
        <f>G301*(1-1)</f>
        <v>0</v>
      </c>
    </row>
    <row r="302" spans="4:6" ht="12.75">
      <c r="D302" s="44" t="s">
        <v>562</v>
      </c>
      <c r="F302" s="45">
        <v>5</v>
      </c>
    </row>
    <row r="303" spans="4:6" ht="12.75">
      <c r="D303" s="44" t="s">
        <v>563</v>
      </c>
      <c r="F303" s="45">
        <v>0</v>
      </c>
    </row>
    <row r="304" spans="1:32" ht="12.75">
      <c r="A304" s="10" t="s">
        <v>564</v>
      </c>
      <c r="B304" s="10"/>
      <c r="C304" s="10" t="s">
        <v>137</v>
      </c>
      <c r="D304" s="10" t="s">
        <v>565</v>
      </c>
      <c r="E304" s="10" t="s">
        <v>131</v>
      </c>
      <c r="F304" s="40">
        <v>10</v>
      </c>
      <c r="G304" s="40">
        <v>0</v>
      </c>
      <c r="H304" s="40">
        <f>ROUND(F304*AE304,2)</f>
        <v>0</v>
      </c>
      <c r="I304" s="40">
        <f>J304-H304</f>
        <v>0</v>
      </c>
      <c r="J304" s="40">
        <f>ROUND(F304*G304,2)</f>
        <v>0</v>
      </c>
      <c r="K304" s="40">
        <v>0.012</v>
      </c>
      <c r="L304" s="40">
        <f>F304*K304</f>
        <v>0.12</v>
      </c>
      <c r="M304" s="41"/>
      <c r="N304" s="41" t="s">
        <v>44</v>
      </c>
      <c r="O304" s="40">
        <f>IF(N304="5",I304,0)</f>
        <v>0</v>
      </c>
      <c r="Z304" s="40">
        <f>IF(AD304=0,J304,0)</f>
        <v>0</v>
      </c>
      <c r="AA304" s="40">
        <f>IF(AD304=15,J304,0)</f>
        <v>0</v>
      </c>
      <c r="AB304" s="40">
        <f>IF(AD304=21,J304,0)</f>
        <v>0</v>
      </c>
      <c r="AD304" s="40">
        <v>21</v>
      </c>
      <c r="AE304" s="40">
        <f>G304*1</f>
        <v>0</v>
      </c>
      <c r="AF304" s="40">
        <f>G304*(1-1)</f>
        <v>0</v>
      </c>
    </row>
    <row r="305" spans="4:6" ht="12.75">
      <c r="D305" s="44" t="s">
        <v>566</v>
      </c>
      <c r="F305" s="45">
        <v>10</v>
      </c>
    </row>
    <row r="306" spans="4:6" ht="12.75">
      <c r="D306" s="44" t="s">
        <v>563</v>
      </c>
      <c r="F306" s="45">
        <v>0</v>
      </c>
    </row>
    <row r="307" spans="1:32" ht="12.75">
      <c r="A307" s="10" t="s">
        <v>567</v>
      </c>
      <c r="B307" s="10"/>
      <c r="C307" s="10" t="s">
        <v>137</v>
      </c>
      <c r="D307" s="10" t="s">
        <v>568</v>
      </c>
      <c r="E307" s="10" t="s">
        <v>131</v>
      </c>
      <c r="F307" s="40">
        <v>1</v>
      </c>
      <c r="G307" s="40">
        <v>0</v>
      </c>
      <c r="H307" s="40">
        <f>ROUND(F307*AE307,2)</f>
        <v>0</v>
      </c>
      <c r="I307" s="40">
        <f>J307-H307</f>
        <v>0</v>
      </c>
      <c r="J307" s="40">
        <f>ROUND(F307*G307,2)</f>
        <v>0</v>
      </c>
      <c r="K307" s="40">
        <v>0.012</v>
      </c>
      <c r="L307" s="40">
        <f>F307*K307</f>
        <v>0.012</v>
      </c>
      <c r="M307" s="41"/>
      <c r="N307" s="41" t="s">
        <v>44</v>
      </c>
      <c r="O307" s="40">
        <f>IF(N307="5",I307,0)</f>
        <v>0</v>
      </c>
      <c r="Z307" s="40">
        <f>IF(AD307=0,J307,0)</f>
        <v>0</v>
      </c>
      <c r="AA307" s="40">
        <f>IF(AD307=15,J307,0)</f>
        <v>0</v>
      </c>
      <c r="AB307" s="40">
        <f>IF(AD307=21,J307,0)</f>
        <v>0</v>
      </c>
      <c r="AD307" s="40">
        <v>21</v>
      </c>
      <c r="AE307" s="40">
        <f>G307*1</f>
        <v>0</v>
      </c>
      <c r="AF307" s="40">
        <f>G307*(1-1)</f>
        <v>0</v>
      </c>
    </row>
    <row r="308" spans="4:6" ht="12.75">
      <c r="D308" s="44" t="s">
        <v>569</v>
      </c>
      <c r="F308" s="45">
        <v>1</v>
      </c>
    </row>
    <row r="309" spans="4:6" ht="12.75">
      <c r="D309" s="44" t="s">
        <v>563</v>
      </c>
      <c r="F309" s="45">
        <v>0</v>
      </c>
    </row>
    <row r="310" spans="1:32" ht="12.75">
      <c r="A310" s="10" t="s">
        <v>570</v>
      </c>
      <c r="B310" s="10"/>
      <c r="C310" s="10" t="s">
        <v>137</v>
      </c>
      <c r="D310" s="10" t="s">
        <v>571</v>
      </c>
      <c r="E310" s="10" t="s">
        <v>131</v>
      </c>
      <c r="F310" s="40">
        <v>1</v>
      </c>
      <c r="G310" s="40">
        <v>0</v>
      </c>
      <c r="H310" s="40">
        <f>ROUND(F310*AE310,2)</f>
        <v>0</v>
      </c>
      <c r="I310" s="40">
        <f>J310-H310</f>
        <v>0</v>
      </c>
      <c r="J310" s="40">
        <f>ROUND(F310*G310,2)</f>
        <v>0</v>
      </c>
      <c r="K310" s="40">
        <v>0.012</v>
      </c>
      <c r="L310" s="40">
        <f>F310*K310</f>
        <v>0.012</v>
      </c>
      <c r="M310" s="41"/>
      <c r="N310" s="41" t="s">
        <v>44</v>
      </c>
      <c r="O310" s="40">
        <f>IF(N310="5",I310,0)</f>
        <v>0</v>
      </c>
      <c r="Z310" s="40">
        <f>IF(AD310=0,J310,0)</f>
        <v>0</v>
      </c>
      <c r="AA310" s="40">
        <f>IF(AD310=15,J310,0)</f>
        <v>0</v>
      </c>
      <c r="AB310" s="40">
        <f>IF(AD310=21,J310,0)</f>
        <v>0</v>
      </c>
      <c r="AD310" s="40">
        <v>21</v>
      </c>
      <c r="AE310" s="40">
        <f>G310*1</f>
        <v>0</v>
      </c>
      <c r="AF310" s="40">
        <f>G310*(1-1)</f>
        <v>0</v>
      </c>
    </row>
    <row r="311" spans="4:6" ht="12.75">
      <c r="D311" s="44" t="s">
        <v>572</v>
      </c>
      <c r="F311" s="45">
        <v>1</v>
      </c>
    </row>
    <row r="312" spans="4:6" ht="12.75">
      <c r="D312" s="44" t="s">
        <v>573</v>
      </c>
      <c r="F312" s="45">
        <v>0</v>
      </c>
    </row>
    <row r="313" spans="4:6" ht="12.75">
      <c r="D313" s="44" t="s">
        <v>574</v>
      </c>
      <c r="F313" s="45">
        <v>0</v>
      </c>
    </row>
    <row r="314" spans="4:6" ht="12.75">
      <c r="D314" s="44" t="s">
        <v>563</v>
      </c>
      <c r="F314" s="45">
        <v>0</v>
      </c>
    </row>
    <row r="315" spans="1:32" ht="12.75">
      <c r="A315" s="10" t="s">
        <v>575</v>
      </c>
      <c r="B315" s="10"/>
      <c r="C315" s="10" t="s">
        <v>576</v>
      </c>
      <c r="D315" s="10" t="s">
        <v>577</v>
      </c>
      <c r="E315" s="10" t="s">
        <v>131</v>
      </c>
      <c r="F315" s="40">
        <v>6</v>
      </c>
      <c r="G315" s="40">
        <v>0</v>
      </c>
      <c r="H315" s="40">
        <f>ROUND(F315*AE315,2)</f>
        <v>0</v>
      </c>
      <c r="I315" s="40">
        <f>J315-H315</f>
        <v>0</v>
      </c>
      <c r="J315" s="40">
        <f>ROUND(F315*G315,2)</f>
        <v>0</v>
      </c>
      <c r="K315" s="40">
        <v>0.007</v>
      </c>
      <c r="L315" s="40">
        <f>F315*K315</f>
        <v>0.042</v>
      </c>
      <c r="M315" s="41" t="s">
        <v>72</v>
      </c>
      <c r="N315" s="41" t="s">
        <v>44</v>
      </c>
      <c r="O315" s="40">
        <f>IF(N315="5",I315,0)</f>
        <v>0</v>
      </c>
      <c r="Z315" s="40">
        <f>IF(AD315=0,J315,0)</f>
        <v>0</v>
      </c>
      <c r="AA315" s="40">
        <f>IF(AD315=15,J315,0)</f>
        <v>0</v>
      </c>
      <c r="AB315" s="40">
        <f>IF(AD315=21,J315,0)</f>
        <v>0</v>
      </c>
      <c r="AD315" s="40">
        <v>21</v>
      </c>
      <c r="AE315" s="40">
        <f>G315*1</f>
        <v>0</v>
      </c>
      <c r="AF315" s="40">
        <f>G315*(1-1)</f>
        <v>0</v>
      </c>
    </row>
    <row r="316" spans="4:6" ht="12.75">
      <c r="D316" s="44" t="s">
        <v>63</v>
      </c>
      <c r="F316" s="45">
        <v>6</v>
      </c>
    </row>
    <row r="317" spans="1:32" ht="12.75">
      <c r="A317" s="10" t="s">
        <v>578</v>
      </c>
      <c r="B317" s="10"/>
      <c r="C317" s="10" t="s">
        <v>579</v>
      </c>
      <c r="D317" s="10" t="s">
        <v>580</v>
      </c>
      <c r="E317" s="10" t="s">
        <v>131</v>
      </c>
      <c r="F317" s="40">
        <v>6</v>
      </c>
      <c r="G317" s="40">
        <v>0</v>
      </c>
      <c r="H317" s="40">
        <f aca="true" t="shared" si="112" ref="H317:H318">ROUND(F317*AE317,2)</f>
        <v>0</v>
      </c>
      <c r="I317" s="40">
        <f aca="true" t="shared" si="113" ref="I317:I318">J317-H317</f>
        <v>0</v>
      </c>
      <c r="J317" s="40">
        <f aca="true" t="shared" si="114" ref="J317:J318">ROUND(F317*G317,2)</f>
        <v>0</v>
      </c>
      <c r="K317" s="40">
        <v>0.01213</v>
      </c>
      <c r="L317" s="40">
        <f aca="true" t="shared" si="115" ref="L317:L318">F317*K317</f>
        <v>0.07278</v>
      </c>
      <c r="M317" s="41"/>
      <c r="N317" s="41" t="s">
        <v>47</v>
      </c>
      <c r="O317" s="40">
        <f aca="true" t="shared" si="116" ref="O317:O318">IF(N317="5",I317,0)</f>
        <v>0</v>
      </c>
      <c r="Z317" s="40">
        <f aca="true" t="shared" si="117" ref="Z317:Z318">IF(AD317=0,J317,0)</f>
        <v>0</v>
      </c>
      <c r="AA317" s="40">
        <f aca="true" t="shared" si="118" ref="AA317:AA318">IF(AD317=15,J317,0)</f>
        <v>0</v>
      </c>
      <c r="AB317" s="40">
        <f aca="true" t="shared" si="119" ref="AB317:AB318">IF(AD317=21,J317,0)</f>
        <v>0</v>
      </c>
      <c r="AD317" s="40">
        <v>21</v>
      </c>
      <c r="AE317" s="40">
        <f>G317*0.352003312972357</f>
        <v>0</v>
      </c>
      <c r="AF317" s="40">
        <f>G317*(1-0.352003312972357)</f>
        <v>0</v>
      </c>
    </row>
    <row r="318" spans="1:32" ht="12.75">
      <c r="A318" s="10" t="s">
        <v>581</v>
      </c>
      <c r="B318" s="10"/>
      <c r="C318" s="10" t="s">
        <v>582</v>
      </c>
      <c r="D318" s="10" t="s">
        <v>583</v>
      </c>
      <c r="E318" s="10" t="s">
        <v>113</v>
      </c>
      <c r="F318" s="40">
        <v>0.44</v>
      </c>
      <c r="G318" s="40">
        <v>0</v>
      </c>
      <c r="H318" s="40">
        <f t="shared" si="112"/>
        <v>0</v>
      </c>
      <c r="I318" s="40">
        <f t="shared" si="113"/>
        <v>0</v>
      </c>
      <c r="J318" s="40">
        <f t="shared" si="114"/>
        <v>0</v>
      </c>
      <c r="K318" s="40">
        <v>0</v>
      </c>
      <c r="L318" s="40">
        <f t="shared" si="115"/>
        <v>0</v>
      </c>
      <c r="M318" s="41" t="s">
        <v>72</v>
      </c>
      <c r="N318" s="41" t="s">
        <v>60</v>
      </c>
      <c r="O318" s="40">
        <f t="shared" si="116"/>
        <v>0</v>
      </c>
      <c r="Z318" s="40">
        <f t="shared" si="117"/>
        <v>0</v>
      </c>
      <c r="AA318" s="40">
        <f t="shared" si="118"/>
        <v>0</v>
      </c>
      <c r="AB318" s="40">
        <f t="shared" si="119"/>
        <v>0</v>
      </c>
      <c r="AD318" s="40">
        <v>21</v>
      </c>
      <c r="AE318" s="40">
        <f>G318*0</f>
        <v>0</v>
      </c>
      <c r="AF318" s="40">
        <f>G318*(1-0)</f>
        <v>0</v>
      </c>
    </row>
    <row r="319" spans="1:37" ht="12.75">
      <c r="A319" s="42"/>
      <c r="B319" s="43"/>
      <c r="C319" s="43" t="s">
        <v>584</v>
      </c>
      <c r="D319" s="43" t="s">
        <v>585</v>
      </c>
      <c r="E319" s="43"/>
      <c r="F319" s="43"/>
      <c r="G319" s="43"/>
      <c r="H319" s="39">
        <f>SUM(H320:H424)</f>
        <v>0</v>
      </c>
      <c r="I319" s="39">
        <f>SUM(I320:I424)</f>
        <v>0</v>
      </c>
      <c r="J319" s="39">
        <f>H319+I319</f>
        <v>0</v>
      </c>
      <c r="K319" s="34"/>
      <c r="L319" s="39">
        <f>SUM(L320:L424)</f>
        <v>1.7103450999999998</v>
      </c>
      <c r="M319" s="34"/>
      <c r="P319" s="39">
        <f>IF(Q319="PR",J319,SUM(O320:O424))</f>
        <v>0</v>
      </c>
      <c r="Q319" s="34" t="s">
        <v>317</v>
      </c>
      <c r="R319" s="39">
        <f>IF(Q319="HS",H319,0)</f>
        <v>0</v>
      </c>
      <c r="S319" s="39">
        <f>IF(Q319="HS",I319-P319,0)</f>
        <v>0</v>
      </c>
      <c r="T319" s="39">
        <f>IF(Q319="PS",H319,0)</f>
        <v>0</v>
      </c>
      <c r="U319" s="39">
        <f>IF(Q319="PS",I319-P319,0)</f>
        <v>0</v>
      </c>
      <c r="V319" s="39">
        <f>IF(Q319="MP",H319,0)</f>
        <v>0</v>
      </c>
      <c r="W319" s="39">
        <f>IF(Q319="MP",I319-P319,0)</f>
        <v>0</v>
      </c>
      <c r="X319" s="39">
        <f>IF(Q319="OM",H319,0)</f>
        <v>0</v>
      </c>
      <c r="Y319" s="34"/>
      <c r="AI319" s="39">
        <f>SUM(Z320:Z424)</f>
        <v>0</v>
      </c>
      <c r="AJ319" s="39">
        <f>SUM(AA320:AA424)</f>
        <v>0</v>
      </c>
      <c r="AK319" s="39">
        <f>SUM(AB320:AB424)</f>
        <v>0</v>
      </c>
    </row>
    <row r="320" spans="1:32" ht="12.75">
      <c r="A320" s="10" t="s">
        <v>586</v>
      </c>
      <c r="B320" s="10"/>
      <c r="C320" s="10" t="s">
        <v>587</v>
      </c>
      <c r="D320" s="10" t="s">
        <v>588</v>
      </c>
      <c r="E320" s="10" t="s">
        <v>108</v>
      </c>
      <c r="F320" s="40">
        <v>772.38</v>
      </c>
      <c r="G320" s="40">
        <v>0</v>
      </c>
      <c r="H320" s="40">
        <f>ROUND(F320*AE320,2)</f>
        <v>0</v>
      </c>
      <c r="I320" s="40">
        <f>J320-H320</f>
        <v>0</v>
      </c>
      <c r="J320" s="40">
        <f>ROUND(F320*G320,2)</f>
        <v>0</v>
      </c>
      <c r="K320" s="40">
        <v>6E-05</v>
      </c>
      <c r="L320" s="40">
        <f>F320*K320</f>
        <v>0.0463428</v>
      </c>
      <c r="M320" s="41" t="s">
        <v>72</v>
      </c>
      <c r="N320" s="41" t="s">
        <v>47</v>
      </c>
      <c r="O320" s="40">
        <f>IF(N320="5",I320,0)</f>
        <v>0</v>
      </c>
      <c r="Z320" s="40">
        <f>IF(AD320=0,J320,0)</f>
        <v>0</v>
      </c>
      <c r="AA320" s="40">
        <f>IF(AD320=15,J320,0)</f>
        <v>0</v>
      </c>
      <c r="AB320" s="40">
        <f>IF(AD320=21,J320,0)</f>
        <v>0</v>
      </c>
      <c r="AD320" s="40">
        <v>21</v>
      </c>
      <c r="AE320" s="40">
        <f>G320*0.126482213438735</f>
        <v>0</v>
      </c>
      <c r="AF320" s="40">
        <f>G320*(1-0.126482213438735)</f>
        <v>0</v>
      </c>
    </row>
    <row r="321" spans="4:6" ht="12.75">
      <c r="D321" s="44" t="s">
        <v>589</v>
      </c>
      <c r="F321" s="45">
        <v>772.38</v>
      </c>
    </row>
    <row r="322" spans="1:32" ht="12.75">
      <c r="A322" s="10" t="s">
        <v>590</v>
      </c>
      <c r="B322" s="10"/>
      <c r="C322" s="10" t="s">
        <v>591</v>
      </c>
      <c r="D322" s="10" t="s">
        <v>592</v>
      </c>
      <c r="E322" s="10" t="s">
        <v>593</v>
      </c>
      <c r="F322" s="40">
        <v>0.2</v>
      </c>
      <c r="G322" s="40">
        <v>0</v>
      </c>
      <c r="H322" s="40">
        <f>ROUND(F322*AE322,2)</f>
        <v>0</v>
      </c>
      <c r="I322" s="40">
        <f>J322-H322</f>
        <v>0</v>
      </c>
      <c r="J322" s="40">
        <f>ROUND(F322*G322,2)</f>
        <v>0</v>
      </c>
      <c r="K322" s="40">
        <v>0.001</v>
      </c>
      <c r="L322" s="40">
        <f>F322*K322</f>
        <v>0.0002</v>
      </c>
      <c r="M322" s="41" t="s">
        <v>72</v>
      </c>
      <c r="N322" s="41" t="s">
        <v>44</v>
      </c>
      <c r="O322" s="40">
        <f>IF(N322="5",I322,0)</f>
        <v>0</v>
      </c>
      <c r="Z322" s="40">
        <f>IF(AD322=0,J322,0)</f>
        <v>0</v>
      </c>
      <c r="AA322" s="40">
        <f>IF(AD322=15,J322,0)</f>
        <v>0</v>
      </c>
      <c r="AB322" s="40">
        <f>IF(AD322=21,J322,0)</f>
        <v>0</v>
      </c>
      <c r="AD322" s="40">
        <v>21</v>
      </c>
      <c r="AE322" s="40">
        <f>G322*1</f>
        <v>0</v>
      </c>
      <c r="AF322" s="40">
        <f>G322*(1-1)</f>
        <v>0</v>
      </c>
    </row>
    <row r="323" spans="4:6" ht="12.75">
      <c r="D323" s="44" t="s">
        <v>594</v>
      </c>
      <c r="F323" s="45">
        <v>0.19</v>
      </c>
    </row>
    <row r="324" spans="4:6" ht="12.75">
      <c r="D324" s="44" t="s">
        <v>595</v>
      </c>
      <c r="F324" s="45">
        <v>0.01</v>
      </c>
    </row>
    <row r="325" spans="1:32" ht="12.75">
      <c r="A325" s="10" t="s">
        <v>596</v>
      </c>
      <c r="B325" s="10"/>
      <c r="C325" s="10" t="s">
        <v>597</v>
      </c>
      <c r="D325" s="10" t="s">
        <v>598</v>
      </c>
      <c r="E325" s="10" t="s">
        <v>593</v>
      </c>
      <c r="F325" s="40">
        <v>0.62</v>
      </c>
      <c r="G325" s="40">
        <v>0</v>
      </c>
      <c r="H325" s="40">
        <f>ROUND(F325*AE325,2)</f>
        <v>0</v>
      </c>
      <c r="I325" s="40">
        <f>J325-H325</f>
        <v>0</v>
      </c>
      <c r="J325" s="40">
        <f>ROUND(F325*G325,2)</f>
        <v>0</v>
      </c>
      <c r="K325" s="40">
        <v>0.001</v>
      </c>
      <c r="L325" s="40">
        <f>F325*K325</f>
        <v>0.00062</v>
      </c>
      <c r="M325" s="41" t="s">
        <v>72</v>
      </c>
      <c r="N325" s="41" t="s">
        <v>44</v>
      </c>
      <c r="O325" s="40">
        <f>IF(N325="5",I325,0)</f>
        <v>0</v>
      </c>
      <c r="Z325" s="40">
        <f>IF(AD325=0,J325,0)</f>
        <v>0</v>
      </c>
      <c r="AA325" s="40">
        <f>IF(AD325=15,J325,0)</f>
        <v>0</v>
      </c>
      <c r="AB325" s="40">
        <f>IF(AD325=21,J325,0)</f>
        <v>0</v>
      </c>
      <c r="AD325" s="40">
        <v>21</v>
      </c>
      <c r="AE325" s="40">
        <f>G325*1</f>
        <v>0</v>
      </c>
      <c r="AF325" s="40">
        <f>G325*(1-1)</f>
        <v>0</v>
      </c>
    </row>
    <row r="326" spans="4:6" ht="12.75">
      <c r="D326" s="44" t="s">
        <v>599</v>
      </c>
      <c r="F326" s="45">
        <v>0.58</v>
      </c>
    </row>
    <row r="327" spans="4:6" ht="12.75">
      <c r="D327" s="44" t="s">
        <v>600</v>
      </c>
      <c r="F327" s="45">
        <v>0.04</v>
      </c>
    </row>
    <row r="328" spans="1:32" ht="12.75">
      <c r="A328" s="10" t="s">
        <v>601</v>
      </c>
      <c r="B328" s="10"/>
      <c r="C328" s="10" t="s">
        <v>602</v>
      </c>
      <c r="D328" s="10" t="s">
        <v>603</v>
      </c>
      <c r="E328" s="10" t="s">
        <v>108</v>
      </c>
      <c r="F328" s="40">
        <v>858.88</v>
      </c>
      <c r="G328" s="40">
        <v>0</v>
      </c>
      <c r="H328" s="40">
        <f>ROUND(F328*AE328,2)</f>
        <v>0</v>
      </c>
      <c r="I328" s="40">
        <f>J328-H328</f>
        <v>0</v>
      </c>
      <c r="J328" s="40">
        <f>ROUND(F328*G328,2)</f>
        <v>0</v>
      </c>
      <c r="K328" s="40">
        <v>0.00031</v>
      </c>
      <c r="L328" s="40">
        <f>F328*K328</f>
        <v>0.2662528</v>
      </c>
      <c r="M328" s="41"/>
      <c r="N328" s="41" t="s">
        <v>47</v>
      </c>
      <c r="O328" s="40">
        <f>IF(N328="5",I328,0)</f>
        <v>0</v>
      </c>
      <c r="Z328" s="40">
        <f>IF(AD328=0,J328,0)</f>
        <v>0</v>
      </c>
      <c r="AA328" s="40">
        <f>IF(AD328=15,J328,0)</f>
        <v>0</v>
      </c>
      <c r="AB328" s="40">
        <f>IF(AD328=21,J328,0)</f>
        <v>0</v>
      </c>
      <c r="AD328" s="40">
        <v>21</v>
      </c>
      <c r="AE328" s="40">
        <f>G328*1</f>
        <v>0</v>
      </c>
      <c r="AF328" s="40">
        <f>G328*(1-1)</f>
        <v>0</v>
      </c>
    </row>
    <row r="329" spans="4:6" ht="12.75">
      <c r="D329" s="44" t="s">
        <v>604</v>
      </c>
      <c r="F329" s="45">
        <v>772.38</v>
      </c>
    </row>
    <row r="330" spans="4:6" ht="12.75">
      <c r="D330" s="44" t="s">
        <v>300</v>
      </c>
      <c r="F330" s="45">
        <v>86.5</v>
      </c>
    </row>
    <row r="331" spans="1:32" ht="12.75">
      <c r="A331" s="10" t="s">
        <v>605</v>
      </c>
      <c r="B331" s="10"/>
      <c r="C331" s="10" t="s">
        <v>606</v>
      </c>
      <c r="D331" s="10" t="s">
        <v>607</v>
      </c>
      <c r="E331" s="10" t="s">
        <v>131</v>
      </c>
      <c r="F331" s="40">
        <v>252</v>
      </c>
      <c r="G331" s="40">
        <v>0</v>
      </c>
      <c r="H331" s="40">
        <f aca="true" t="shared" si="120" ref="H331:H332">ROUND(F331*AE331,2)</f>
        <v>0</v>
      </c>
      <c r="I331" s="40">
        <f aca="true" t="shared" si="121" ref="I331:I332">J331-H331</f>
        <v>0</v>
      </c>
      <c r="J331" s="40">
        <f aca="true" t="shared" si="122" ref="J331:J332">ROUND(F331*G331,2)</f>
        <v>0</v>
      </c>
      <c r="K331" s="40">
        <v>0</v>
      </c>
      <c r="L331" s="40">
        <f aca="true" t="shared" si="123" ref="L331:L332">F331*K331</f>
        <v>0</v>
      </c>
      <c r="M331" s="41"/>
      <c r="N331" s="41" t="s">
        <v>47</v>
      </c>
      <c r="O331" s="40">
        <f aca="true" t="shared" si="124" ref="O331:O332">IF(N331="5",I331,0)</f>
        <v>0</v>
      </c>
      <c r="Z331" s="40">
        <f aca="true" t="shared" si="125" ref="Z331:Z332">IF(AD331=0,J331,0)</f>
        <v>0</v>
      </c>
      <c r="AA331" s="40">
        <f aca="true" t="shared" si="126" ref="AA331:AA332">IF(AD331=15,J331,0)</f>
        <v>0</v>
      </c>
      <c r="AB331" s="40">
        <f aca="true" t="shared" si="127" ref="AB331:AB332">IF(AD331=21,J331,0)</f>
        <v>0</v>
      </c>
      <c r="AD331" s="40">
        <v>21</v>
      </c>
      <c r="AE331" s="40">
        <f>G331*0.601046025104603</f>
        <v>0</v>
      </c>
      <c r="AF331" s="40">
        <f>G331*(1-0.601046025104603)</f>
        <v>0</v>
      </c>
    </row>
    <row r="332" spans="1:32" ht="12.75">
      <c r="A332" s="10" t="s">
        <v>608</v>
      </c>
      <c r="B332" s="10"/>
      <c r="C332" s="10" t="s">
        <v>609</v>
      </c>
      <c r="D332" s="10" t="s">
        <v>610</v>
      </c>
      <c r="E332" s="10" t="s">
        <v>143</v>
      </c>
      <c r="F332" s="40">
        <v>12.84</v>
      </c>
      <c r="G332" s="40">
        <v>0</v>
      </c>
      <c r="H332" s="40">
        <f t="shared" si="120"/>
        <v>0</v>
      </c>
      <c r="I332" s="40">
        <f t="shared" si="121"/>
        <v>0</v>
      </c>
      <c r="J332" s="40">
        <f t="shared" si="122"/>
        <v>0</v>
      </c>
      <c r="K332" s="40">
        <v>0.00255</v>
      </c>
      <c r="L332" s="40">
        <f t="shared" si="123"/>
        <v>0.032742</v>
      </c>
      <c r="M332" s="41" t="s">
        <v>72</v>
      </c>
      <c r="N332" s="41" t="s">
        <v>44</v>
      </c>
      <c r="O332" s="40">
        <f t="shared" si="124"/>
        <v>0</v>
      </c>
      <c r="Z332" s="40">
        <f t="shared" si="125"/>
        <v>0</v>
      </c>
      <c r="AA332" s="40">
        <f t="shared" si="126"/>
        <v>0</v>
      </c>
      <c r="AB332" s="40">
        <f t="shared" si="127"/>
        <v>0</v>
      </c>
      <c r="AD332" s="40">
        <v>21</v>
      </c>
      <c r="AE332" s="40">
        <f>G332*1</f>
        <v>0</v>
      </c>
      <c r="AF332" s="40">
        <f>G332*(1-1)</f>
        <v>0</v>
      </c>
    </row>
    <row r="333" spans="4:6" ht="12.75">
      <c r="D333" s="44" t="s">
        <v>611</v>
      </c>
      <c r="F333" s="45">
        <v>12</v>
      </c>
    </row>
    <row r="334" spans="4:6" ht="12.75">
      <c r="D334" s="44" t="s">
        <v>612</v>
      </c>
      <c r="F334" s="45">
        <v>0.84</v>
      </c>
    </row>
    <row r="335" spans="1:32" ht="12.75">
      <c r="A335" s="10" t="s">
        <v>613</v>
      </c>
      <c r="B335" s="10"/>
      <c r="C335" s="10" t="s">
        <v>614</v>
      </c>
      <c r="D335" s="10" t="s">
        <v>615</v>
      </c>
      <c r="E335" s="10" t="s">
        <v>593</v>
      </c>
      <c r="F335" s="40">
        <v>0.01</v>
      </c>
      <c r="G335" s="40">
        <v>0</v>
      </c>
      <c r="H335" s="40">
        <f>ROUND(F335*AE335,2)</f>
        <v>0</v>
      </c>
      <c r="I335" s="40">
        <f>J335-H335</f>
        <v>0</v>
      </c>
      <c r="J335" s="40">
        <f>ROUND(F335*G335,2)</f>
        <v>0</v>
      </c>
      <c r="K335" s="40">
        <v>1</v>
      </c>
      <c r="L335" s="40">
        <f>F335*K335</f>
        <v>0.01</v>
      </c>
      <c r="M335" s="41" t="s">
        <v>72</v>
      </c>
      <c r="N335" s="41" t="s">
        <v>44</v>
      </c>
      <c r="O335" s="40">
        <f>IF(N335="5",I335,0)</f>
        <v>0</v>
      </c>
      <c r="Z335" s="40">
        <f>IF(AD335=0,J335,0)</f>
        <v>0</v>
      </c>
      <c r="AA335" s="40">
        <f>IF(AD335=15,J335,0)</f>
        <v>0</v>
      </c>
      <c r="AB335" s="40">
        <f>IF(AD335=21,J335,0)</f>
        <v>0</v>
      </c>
      <c r="AD335" s="40">
        <v>21</v>
      </c>
      <c r="AE335" s="40">
        <f>G335*1</f>
        <v>0</v>
      </c>
      <c r="AF335" s="40">
        <f>G335*(1-1)</f>
        <v>0</v>
      </c>
    </row>
    <row r="336" spans="4:6" ht="12.75">
      <c r="D336" s="44" t="s">
        <v>616</v>
      </c>
      <c r="F336" s="45">
        <v>0.01</v>
      </c>
    </row>
    <row r="337" spans="4:6" ht="12.75">
      <c r="D337" s="44" t="s">
        <v>617</v>
      </c>
      <c r="F337" s="45">
        <v>0</v>
      </c>
    </row>
    <row r="338" spans="1:32" ht="12.75">
      <c r="A338" s="10" t="s">
        <v>618</v>
      </c>
      <c r="B338" s="10"/>
      <c r="C338" s="10" t="s">
        <v>619</v>
      </c>
      <c r="D338" s="10" t="s">
        <v>620</v>
      </c>
      <c r="E338" s="10" t="s">
        <v>108</v>
      </c>
      <c r="F338" s="40">
        <v>49.8</v>
      </c>
      <c r="G338" s="40">
        <v>0</v>
      </c>
      <c r="H338" s="40">
        <f>ROUND(F338*AE338,2)</f>
        <v>0</v>
      </c>
      <c r="I338" s="40">
        <f>J338-H338</f>
        <v>0</v>
      </c>
      <c r="J338" s="40">
        <f>ROUND(F338*G338,2)</f>
        <v>0</v>
      </c>
      <c r="K338" s="40">
        <v>0.001</v>
      </c>
      <c r="L338" s="40">
        <f>F338*K338</f>
        <v>0.0498</v>
      </c>
      <c r="M338" s="41" t="s">
        <v>72</v>
      </c>
      <c r="N338" s="41" t="s">
        <v>47</v>
      </c>
      <c r="O338" s="40">
        <f>IF(N338="5",I338,0)</f>
        <v>0</v>
      </c>
      <c r="Z338" s="40">
        <f>IF(AD338=0,J338,0)</f>
        <v>0</v>
      </c>
      <c r="AA338" s="40">
        <f>IF(AD338=15,J338,0)</f>
        <v>0</v>
      </c>
      <c r="AB338" s="40">
        <f>IF(AD338=21,J338,0)</f>
        <v>0</v>
      </c>
      <c r="AD338" s="40">
        <v>21</v>
      </c>
      <c r="AE338" s="40">
        <f>G338*0.152988541344069</f>
        <v>0</v>
      </c>
      <c r="AF338" s="40">
        <f>G338*(1-0.152988541344069)</f>
        <v>0</v>
      </c>
    </row>
    <row r="339" spans="4:6" ht="12.75">
      <c r="D339" s="44" t="s">
        <v>621</v>
      </c>
      <c r="F339" s="45">
        <v>49.8</v>
      </c>
    </row>
    <row r="340" spans="1:32" ht="12.75">
      <c r="A340" s="10" t="s">
        <v>622</v>
      </c>
      <c r="B340" s="10"/>
      <c r="C340" s="10" t="s">
        <v>623</v>
      </c>
      <c r="D340" s="10" t="s">
        <v>624</v>
      </c>
      <c r="E340" s="10" t="s">
        <v>625</v>
      </c>
      <c r="F340" s="40">
        <v>60</v>
      </c>
      <c r="G340" s="40">
        <v>0</v>
      </c>
      <c r="H340" s="40">
        <f aca="true" t="shared" si="128" ref="H340:H342">ROUND(F340*AE340,2)</f>
        <v>0</v>
      </c>
      <c r="I340" s="40">
        <f aca="true" t="shared" si="129" ref="I340:I342">J340-H340</f>
        <v>0</v>
      </c>
      <c r="J340" s="40">
        <f aca="true" t="shared" si="130" ref="J340:J342">ROUND(F340*G340,2)</f>
        <v>0</v>
      </c>
      <c r="K340" s="40">
        <v>0</v>
      </c>
      <c r="L340" s="40">
        <f aca="true" t="shared" si="131" ref="L340:L342">F340*K340</f>
        <v>0</v>
      </c>
      <c r="M340" s="41" t="s">
        <v>72</v>
      </c>
      <c r="N340" s="41" t="s">
        <v>47</v>
      </c>
      <c r="O340" s="40">
        <f aca="true" t="shared" si="132" ref="O340:O342">IF(N340="5",I340,0)</f>
        <v>0</v>
      </c>
      <c r="Z340" s="40">
        <f aca="true" t="shared" si="133" ref="Z340:Z342">IF(AD340=0,J340,0)</f>
        <v>0</v>
      </c>
      <c r="AA340" s="40">
        <f aca="true" t="shared" si="134" ref="AA340:AA342">IF(AD340=15,J340,0)</f>
        <v>0</v>
      </c>
      <c r="AB340" s="40">
        <f aca="true" t="shared" si="135" ref="AB340:AB342">IF(AD340=21,J340,0)</f>
        <v>0</v>
      </c>
      <c r="AD340" s="40">
        <v>21</v>
      </c>
      <c r="AE340" s="40">
        <f aca="true" t="shared" si="136" ref="AE340:AE341">G340*0</f>
        <v>0</v>
      </c>
      <c r="AF340" s="40">
        <f aca="true" t="shared" si="137" ref="AF340:AF341">G340*(1-0)</f>
        <v>0</v>
      </c>
    </row>
    <row r="341" spans="1:32" ht="12.75">
      <c r="A341" s="10" t="s">
        <v>626</v>
      </c>
      <c r="B341" s="10"/>
      <c r="C341" s="10" t="s">
        <v>627</v>
      </c>
      <c r="D341" s="10" t="s">
        <v>628</v>
      </c>
      <c r="E341" s="10" t="s">
        <v>113</v>
      </c>
      <c r="F341" s="40">
        <v>1.45</v>
      </c>
      <c r="G341" s="40">
        <v>0</v>
      </c>
      <c r="H341" s="40">
        <f t="shared" si="128"/>
        <v>0</v>
      </c>
      <c r="I341" s="40">
        <f t="shared" si="129"/>
        <v>0</v>
      </c>
      <c r="J341" s="40">
        <f t="shared" si="130"/>
        <v>0</v>
      </c>
      <c r="K341" s="40">
        <v>0</v>
      </c>
      <c r="L341" s="40">
        <f t="shared" si="131"/>
        <v>0</v>
      </c>
      <c r="M341" s="41" t="s">
        <v>72</v>
      </c>
      <c r="N341" s="41" t="s">
        <v>60</v>
      </c>
      <c r="O341" s="40">
        <f t="shared" si="132"/>
        <v>0</v>
      </c>
      <c r="Z341" s="40">
        <f t="shared" si="133"/>
        <v>0</v>
      </c>
      <c r="AA341" s="40">
        <f t="shared" si="134"/>
        <v>0</v>
      </c>
      <c r="AB341" s="40">
        <f t="shared" si="135"/>
        <v>0</v>
      </c>
      <c r="AD341" s="40">
        <v>21</v>
      </c>
      <c r="AE341" s="40">
        <f t="shared" si="136"/>
        <v>0</v>
      </c>
      <c r="AF341" s="40">
        <f t="shared" si="137"/>
        <v>0</v>
      </c>
    </row>
    <row r="342" spans="1:32" ht="12.75">
      <c r="A342" s="10" t="s">
        <v>629</v>
      </c>
      <c r="B342" s="10"/>
      <c r="C342" s="10" t="s">
        <v>630</v>
      </c>
      <c r="D342" s="10" t="s">
        <v>631</v>
      </c>
      <c r="E342" s="10" t="s">
        <v>108</v>
      </c>
      <c r="F342" s="40">
        <v>126.5</v>
      </c>
      <c r="G342" s="40">
        <v>0</v>
      </c>
      <c r="H342" s="40">
        <f t="shared" si="128"/>
        <v>0</v>
      </c>
      <c r="I342" s="40">
        <f t="shared" si="129"/>
        <v>0</v>
      </c>
      <c r="J342" s="40">
        <f t="shared" si="130"/>
        <v>0</v>
      </c>
      <c r="K342" s="40">
        <v>0.001</v>
      </c>
      <c r="L342" s="40">
        <f t="shared" si="131"/>
        <v>0.1265</v>
      </c>
      <c r="M342" s="41" t="s">
        <v>72</v>
      </c>
      <c r="N342" s="41" t="s">
        <v>47</v>
      </c>
      <c r="O342" s="40">
        <f t="shared" si="132"/>
        <v>0</v>
      </c>
      <c r="Z342" s="40">
        <f t="shared" si="133"/>
        <v>0</v>
      </c>
      <c r="AA342" s="40">
        <f t="shared" si="134"/>
        <v>0</v>
      </c>
      <c r="AB342" s="40">
        <f t="shared" si="135"/>
        <v>0</v>
      </c>
      <c r="AD342" s="40">
        <v>21</v>
      </c>
      <c r="AE342" s="40">
        <f>G342*0.170967741935484</f>
        <v>0</v>
      </c>
      <c r="AF342" s="40">
        <f>G342*(1-0.170967741935484)</f>
        <v>0</v>
      </c>
    </row>
    <row r="343" spans="4:6" ht="12.75">
      <c r="D343" s="44" t="s">
        <v>632</v>
      </c>
      <c r="F343" s="45">
        <v>126.5</v>
      </c>
    </row>
    <row r="344" spans="1:32" ht="12.75">
      <c r="A344" s="10" t="s">
        <v>633</v>
      </c>
      <c r="B344" s="10"/>
      <c r="C344" s="10" t="s">
        <v>137</v>
      </c>
      <c r="D344" s="10" t="s">
        <v>634</v>
      </c>
      <c r="E344" s="10" t="s">
        <v>131</v>
      </c>
      <c r="F344" s="40">
        <v>8</v>
      </c>
      <c r="G344" s="40">
        <v>0</v>
      </c>
      <c r="H344" s="40">
        <f aca="true" t="shared" si="138" ref="H344:H345">ROUND(F344*AE344,2)</f>
        <v>0</v>
      </c>
      <c r="I344" s="40">
        <f aca="true" t="shared" si="139" ref="I344:I345">J344-H344</f>
        <v>0</v>
      </c>
      <c r="J344" s="40">
        <f aca="true" t="shared" si="140" ref="J344:J345">ROUND(F344*G344,2)</f>
        <v>0</v>
      </c>
      <c r="K344" s="40">
        <v>0.012</v>
      </c>
      <c r="L344" s="40">
        <f aca="true" t="shared" si="141" ref="L344:L345">F344*K344</f>
        <v>0.096</v>
      </c>
      <c r="M344" s="41"/>
      <c r="N344" s="41" t="s">
        <v>44</v>
      </c>
      <c r="O344" s="40">
        <f aca="true" t="shared" si="142" ref="O344:O345">IF(N344="5",I344,0)</f>
        <v>0</v>
      </c>
      <c r="Z344" s="40">
        <f aca="true" t="shared" si="143" ref="Z344:Z345">IF(AD344=0,J344,0)</f>
        <v>0</v>
      </c>
      <c r="AA344" s="40">
        <f aca="true" t="shared" si="144" ref="AA344:AA345">IF(AD344=15,J344,0)</f>
        <v>0</v>
      </c>
      <c r="AB344" s="40">
        <f aca="true" t="shared" si="145" ref="AB344:AB345">IF(AD344=21,J344,0)</f>
        <v>0</v>
      </c>
      <c r="AD344" s="40">
        <v>21</v>
      </c>
      <c r="AE344" s="40">
        <f>G344*1</f>
        <v>0</v>
      </c>
      <c r="AF344" s="40">
        <f>G344*(1-1)</f>
        <v>0</v>
      </c>
    </row>
    <row r="345" spans="1:32" ht="12.75">
      <c r="A345" s="10" t="s">
        <v>635</v>
      </c>
      <c r="B345" s="10"/>
      <c r="C345" s="10" t="s">
        <v>636</v>
      </c>
      <c r="D345" s="10" t="s">
        <v>637</v>
      </c>
      <c r="E345" s="10" t="s">
        <v>71</v>
      </c>
      <c r="F345" s="40">
        <v>6.86</v>
      </c>
      <c r="G345" s="40">
        <v>0</v>
      </c>
      <c r="H345" s="40">
        <f t="shared" si="138"/>
        <v>0</v>
      </c>
      <c r="I345" s="40">
        <f t="shared" si="139"/>
        <v>0</v>
      </c>
      <c r="J345" s="40">
        <f t="shared" si="140"/>
        <v>0</v>
      </c>
      <c r="K345" s="40">
        <v>0</v>
      </c>
      <c r="L345" s="40">
        <f t="shared" si="141"/>
        <v>0</v>
      </c>
      <c r="M345" s="41" t="s">
        <v>72</v>
      </c>
      <c r="N345" s="41" t="s">
        <v>47</v>
      </c>
      <c r="O345" s="40">
        <f t="shared" si="142"/>
        <v>0</v>
      </c>
      <c r="Z345" s="40">
        <f t="shared" si="143"/>
        <v>0</v>
      </c>
      <c r="AA345" s="40">
        <f t="shared" si="144"/>
        <v>0</v>
      </c>
      <c r="AB345" s="40">
        <f t="shared" si="145"/>
        <v>0</v>
      </c>
      <c r="AD345" s="40">
        <v>21</v>
      </c>
      <c r="AE345" s="40">
        <f>G345*0.00457626386910158</f>
        <v>0</v>
      </c>
      <c r="AF345" s="40">
        <f>G345*(1-0.00457626386910158)</f>
        <v>0</v>
      </c>
    </row>
    <row r="346" spans="4:6" ht="12.75">
      <c r="D346" s="44" t="s">
        <v>638</v>
      </c>
      <c r="F346" s="45">
        <v>4.8</v>
      </c>
    </row>
    <row r="347" spans="4:6" ht="12.75">
      <c r="D347" s="44" t="s">
        <v>639</v>
      </c>
      <c r="F347" s="45">
        <v>2.06</v>
      </c>
    </row>
    <row r="348" spans="1:32" ht="12.75">
      <c r="A348" s="10" t="s">
        <v>640</v>
      </c>
      <c r="B348" s="10"/>
      <c r="C348" s="10" t="s">
        <v>137</v>
      </c>
      <c r="D348" s="10" t="s">
        <v>641</v>
      </c>
      <c r="E348" s="10" t="s">
        <v>131</v>
      </c>
      <c r="F348" s="40">
        <v>5</v>
      </c>
      <c r="G348" s="40">
        <v>0</v>
      </c>
      <c r="H348" s="40">
        <f aca="true" t="shared" si="146" ref="H348:H349">ROUND(F348*AE348,2)</f>
        <v>0</v>
      </c>
      <c r="I348" s="40">
        <f aca="true" t="shared" si="147" ref="I348:I349">J348-H348</f>
        <v>0</v>
      </c>
      <c r="J348" s="40">
        <f aca="true" t="shared" si="148" ref="J348:J349">ROUND(F348*G348,2)</f>
        <v>0</v>
      </c>
      <c r="K348" s="40">
        <v>0.012</v>
      </c>
      <c r="L348" s="40">
        <f aca="true" t="shared" si="149" ref="L348:L349">F348*K348</f>
        <v>0.06</v>
      </c>
      <c r="M348" s="41"/>
      <c r="N348" s="41" t="s">
        <v>44</v>
      </c>
      <c r="O348" s="40">
        <f aca="true" t="shared" si="150" ref="O348:O349">IF(N348="5",I348,0)</f>
        <v>0</v>
      </c>
      <c r="Z348" s="40">
        <f aca="true" t="shared" si="151" ref="Z348:Z349">IF(AD348=0,J348,0)</f>
        <v>0</v>
      </c>
      <c r="AA348" s="40">
        <f aca="true" t="shared" si="152" ref="AA348:AA349">IF(AD348=15,J348,0)</f>
        <v>0</v>
      </c>
      <c r="AB348" s="40">
        <f aca="true" t="shared" si="153" ref="AB348:AB349">IF(AD348=21,J348,0)</f>
        <v>0</v>
      </c>
      <c r="AD348" s="40">
        <v>21</v>
      </c>
      <c r="AE348" s="40">
        <f aca="true" t="shared" si="154" ref="AE348:AE349">G348*1</f>
        <v>0</v>
      </c>
      <c r="AF348" s="40">
        <f aca="true" t="shared" si="155" ref="AF348:AF349">G348*(1-1)</f>
        <v>0</v>
      </c>
    </row>
    <row r="349" spans="1:32" ht="12.75">
      <c r="A349" s="10" t="s">
        <v>642</v>
      </c>
      <c r="B349" s="10"/>
      <c r="C349" s="10" t="s">
        <v>146</v>
      </c>
      <c r="D349" s="10" t="s">
        <v>643</v>
      </c>
      <c r="E349" s="10" t="s">
        <v>131</v>
      </c>
      <c r="F349" s="40">
        <v>72</v>
      </c>
      <c r="G349" s="40">
        <v>0</v>
      </c>
      <c r="H349" s="40">
        <f t="shared" si="146"/>
        <v>0</v>
      </c>
      <c r="I349" s="40">
        <f t="shared" si="147"/>
        <v>0</v>
      </c>
      <c r="J349" s="40">
        <f t="shared" si="148"/>
        <v>0</v>
      </c>
      <c r="K349" s="40">
        <v>0.001</v>
      </c>
      <c r="L349" s="40">
        <f t="shared" si="149"/>
        <v>0.07200000000000001</v>
      </c>
      <c r="M349" s="41"/>
      <c r="N349" s="41" t="s">
        <v>44</v>
      </c>
      <c r="O349" s="40">
        <f t="shared" si="150"/>
        <v>0</v>
      </c>
      <c r="Z349" s="40">
        <f t="shared" si="151"/>
        <v>0</v>
      </c>
      <c r="AA349" s="40">
        <f t="shared" si="152"/>
        <v>0</v>
      </c>
      <c r="AB349" s="40">
        <f t="shared" si="153"/>
        <v>0</v>
      </c>
      <c r="AD349" s="40">
        <v>21</v>
      </c>
      <c r="AE349" s="40">
        <f t="shared" si="154"/>
        <v>0</v>
      </c>
      <c r="AF349" s="40">
        <f t="shared" si="155"/>
        <v>0</v>
      </c>
    </row>
    <row r="350" spans="4:6" ht="12.75">
      <c r="D350" s="44" t="s">
        <v>370</v>
      </c>
      <c r="F350" s="45">
        <v>72</v>
      </c>
    </row>
    <row r="351" spans="1:32" ht="12.75">
      <c r="A351" s="10" t="s">
        <v>644</v>
      </c>
      <c r="B351" s="10"/>
      <c r="C351" s="10" t="s">
        <v>645</v>
      </c>
      <c r="D351" s="10" t="s">
        <v>646</v>
      </c>
      <c r="E351" s="10" t="s">
        <v>131</v>
      </c>
      <c r="F351" s="40">
        <v>72</v>
      </c>
      <c r="G351" s="40">
        <v>0</v>
      </c>
      <c r="H351" s="40">
        <f>ROUND(F351*AE351,2)</f>
        <v>0</v>
      </c>
      <c r="I351" s="40">
        <f>J351-H351</f>
        <v>0</v>
      </c>
      <c r="J351" s="40">
        <f>ROUND(F351*G351,2)</f>
        <v>0</v>
      </c>
      <c r="K351" s="40">
        <v>0</v>
      </c>
      <c r="L351" s="40">
        <f>F351*K351</f>
        <v>0</v>
      </c>
      <c r="M351" s="41"/>
      <c r="N351" s="41" t="s">
        <v>47</v>
      </c>
      <c r="O351" s="40">
        <f>IF(N351="5",I351,0)</f>
        <v>0</v>
      </c>
      <c r="Z351" s="40">
        <f>IF(AD351=0,J351,0)</f>
        <v>0</v>
      </c>
      <c r="AA351" s="40">
        <f>IF(AD351=15,J351,0)</f>
        <v>0</v>
      </c>
      <c r="AB351" s="40">
        <f>IF(AD351=21,J351,0)</f>
        <v>0</v>
      </c>
      <c r="AD351" s="40">
        <v>21</v>
      </c>
      <c r="AE351" s="40">
        <f>G351*0.522708333333333</f>
        <v>0</v>
      </c>
      <c r="AF351" s="40">
        <f>G351*(1-0.522708333333333)</f>
        <v>0</v>
      </c>
    </row>
    <row r="352" spans="4:6" ht="12.75">
      <c r="D352" s="44" t="s">
        <v>370</v>
      </c>
      <c r="F352" s="45">
        <v>72</v>
      </c>
    </row>
    <row r="353" spans="1:32" ht="12.75">
      <c r="A353" s="10" t="s">
        <v>647</v>
      </c>
      <c r="B353" s="10"/>
      <c r="C353" s="10" t="s">
        <v>648</v>
      </c>
      <c r="D353" s="10" t="s">
        <v>649</v>
      </c>
      <c r="E353" s="10" t="s">
        <v>131</v>
      </c>
      <c r="F353" s="40">
        <v>1</v>
      </c>
      <c r="G353" s="40">
        <v>0</v>
      </c>
      <c r="H353" s="40">
        <f aca="true" t="shared" si="156" ref="H353:H357">ROUND(F353*AE353,2)</f>
        <v>0</v>
      </c>
      <c r="I353" s="40">
        <f aca="true" t="shared" si="157" ref="I353:I357">J353-H353</f>
        <v>0</v>
      </c>
      <c r="J353" s="40">
        <f aca="true" t="shared" si="158" ref="J353:J357">ROUND(F353*G353,2)</f>
        <v>0</v>
      </c>
      <c r="K353" s="40">
        <v>0.001</v>
      </c>
      <c r="L353" s="40">
        <f aca="true" t="shared" si="159" ref="L353:L357">F353*K353</f>
        <v>0.001</v>
      </c>
      <c r="M353" s="41"/>
      <c r="N353" s="41" t="s">
        <v>44</v>
      </c>
      <c r="O353" s="40">
        <f aca="true" t="shared" si="160" ref="O353:O357">IF(N353="5",I353,0)</f>
        <v>0</v>
      </c>
      <c r="Z353" s="40">
        <f aca="true" t="shared" si="161" ref="Z353:Z357">IF(AD353=0,J353,0)</f>
        <v>0</v>
      </c>
      <c r="AA353" s="40">
        <f aca="true" t="shared" si="162" ref="AA353:AA357">IF(AD353=15,J353,0)</f>
        <v>0</v>
      </c>
      <c r="AB353" s="40">
        <f aca="true" t="shared" si="163" ref="AB353:AB357">IF(AD353=21,J353,0)</f>
        <v>0</v>
      </c>
      <c r="AD353" s="40">
        <v>21</v>
      </c>
      <c r="AE353" s="40">
        <f>G353*1</f>
        <v>0</v>
      </c>
      <c r="AF353" s="40">
        <f>G353*(1-1)</f>
        <v>0</v>
      </c>
    </row>
    <row r="354" spans="1:32" ht="12.75">
      <c r="A354" s="10" t="s">
        <v>650</v>
      </c>
      <c r="B354" s="10"/>
      <c r="C354" s="10" t="s">
        <v>651</v>
      </c>
      <c r="D354" s="10" t="s">
        <v>652</v>
      </c>
      <c r="E354" s="10" t="s">
        <v>131</v>
      </c>
      <c r="F354" s="40">
        <v>2</v>
      </c>
      <c r="G354" s="40">
        <v>0</v>
      </c>
      <c r="H354" s="40">
        <f t="shared" si="156"/>
        <v>0</v>
      </c>
      <c r="I354" s="40">
        <f t="shared" si="157"/>
        <v>0</v>
      </c>
      <c r="J354" s="40">
        <f t="shared" si="158"/>
        <v>0</v>
      </c>
      <c r="K354" s="40">
        <v>0</v>
      </c>
      <c r="L354" s="40">
        <f t="shared" si="159"/>
        <v>0</v>
      </c>
      <c r="M354" s="41"/>
      <c r="N354" s="41" t="s">
        <v>47</v>
      </c>
      <c r="O354" s="40">
        <f t="shared" si="160"/>
        <v>0</v>
      </c>
      <c r="Z354" s="40">
        <f t="shared" si="161"/>
        <v>0</v>
      </c>
      <c r="AA354" s="40">
        <f t="shared" si="162"/>
        <v>0</v>
      </c>
      <c r="AB354" s="40">
        <f t="shared" si="163"/>
        <v>0</v>
      </c>
      <c r="AD354" s="40">
        <v>21</v>
      </c>
      <c r="AE354" s="40">
        <f>G354*0</f>
        <v>0</v>
      </c>
      <c r="AF354" s="40">
        <f>G354*(1-0)</f>
        <v>0</v>
      </c>
    </row>
    <row r="355" spans="1:32" ht="12.75">
      <c r="A355" s="10" t="s">
        <v>653</v>
      </c>
      <c r="B355" s="10"/>
      <c r="C355" s="10" t="s">
        <v>648</v>
      </c>
      <c r="D355" s="10" t="s">
        <v>654</v>
      </c>
      <c r="E355" s="10" t="s">
        <v>131</v>
      </c>
      <c r="F355" s="40">
        <v>1</v>
      </c>
      <c r="G355" s="40">
        <v>0</v>
      </c>
      <c r="H355" s="40">
        <f t="shared" si="156"/>
        <v>0</v>
      </c>
      <c r="I355" s="40">
        <f t="shared" si="157"/>
        <v>0</v>
      </c>
      <c r="J355" s="40">
        <f t="shared" si="158"/>
        <v>0</v>
      </c>
      <c r="K355" s="40">
        <v>0.001</v>
      </c>
      <c r="L355" s="40">
        <f t="shared" si="159"/>
        <v>0.001</v>
      </c>
      <c r="M355" s="41"/>
      <c r="N355" s="41" t="s">
        <v>44</v>
      </c>
      <c r="O355" s="40">
        <f t="shared" si="160"/>
        <v>0</v>
      </c>
      <c r="Z355" s="40">
        <f t="shared" si="161"/>
        <v>0</v>
      </c>
      <c r="AA355" s="40">
        <f t="shared" si="162"/>
        <v>0</v>
      </c>
      <c r="AB355" s="40">
        <f t="shared" si="163"/>
        <v>0</v>
      </c>
      <c r="AD355" s="40">
        <v>21</v>
      </c>
      <c r="AE355" s="40">
        <f aca="true" t="shared" si="164" ref="AE355:AE356">G355*1</f>
        <v>0</v>
      </c>
      <c r="AF355" s="40">
        <f aca="true" t="shared" si="165" ref="AF355:AF356">G355*(1-1)</f>
        <v>0</v>
      </c>
    </row>
    <row r="356" spans="1:32" ht="12.75">
      <c r="A356" s="10" t="s">
        <v>655</v>
      </c>
      <c r="B356" s="10"/>
      <c r="C356" s="10" t="s">
        <v>273</v>
      </c>
      <c r="D356" s="10" t="s">
        <v>656</v>
      </c>
      <c r="E356" s="10" t="s">
        <v>131</v>
      </c>
      <c r="F356" s="40">
        <v>3</v>
      </c>
      <c r="G356" s="40">
        <v>0</v>
      </c>
      <c r="H356" s="40">
        <f t="shared" si="156"/>
        <v>0</v>
      </c>
      <c r="I356" s="40">
        <f t="shared" si="157"/>
        <v>0</v>
      </c>
      <c r="J356" s="40">
        <f t="shared" si="158"/>
        <v>0</v>
      </c>
      <c r="K356" s="40">
        <v>0.001</v>
      </c>
      <c r="L356" s="40">
        <f t="shared" si="159"/>
        <v>0.003</v>
      </c>
      <c r="M356" s="41"/>
      <c r="N356" s="41" t="s">
        <v>44</v>
      </c>
      <c r="O356" s="40">
        <f t="shared" si="160"/>
        <v>0</v>
      </c>
      <c r="Z356" s="40">
        <f t="shared" si="161"/>
        <v>0</v>
      </c>
      <c r="AA356" s="40">
        <f t="shared" si="162"/>
        <v>0</v>
      </c>
      <c r="AB356" s="40">
        <f t="shared" si="163"/>
        <v>0</v>
      </c>
      <c r="AD356" s="40">
        <v>21</v>
      </c>
      <c r="AE356" s="40">
        <f t="shared" si="164"/>
        <v>0</v>
      </c>
      <c r="AF356" s="40">
        <f t="shared" si="165"/>
        <v>0</v>
      </c>
    </row>
    <row r="357" spans="1:32" ht="12.75">
      <c r="A357" s="10" t="s">
        <v>657</v>
      </c>
      <c r="B357" s="10"/>
      <c r="C357" s="10" t="s">
        <v>658</v>
      </c>
      <c r="D357" s="10" t="s">
        <v>659</v>
      </c>
      <c r="E357" s="10" t="s">
        <v>108</v>
      </c>
      <c r="F357" s="40">
        <v>1.26</v>
      </c>
      <c r="G357" s="40">
        <v>0</v>
      </c>
      <c r="H357" s="40">
        <f t="shared" si="156"/>
        <v>0</v>
      </c>
      <c r="I357" s="40">
        <f t="shared" si="157"/>
        <v>0</v>
      </c>
      <c r="J357" s="40">
        <f t="shared" si="158"/>
        <v>0</v>
      </c>
      <c r="K357" s="40">
        <v>6E-05</v>
      </c>
      <c r="L357" s="40">
        <f t="shared" si="159"/>
        <v>7.560000000000001E-05</v>
      </c>
      <c r="M357" s="41" t="s">
        <v>72</v>
      </c>
      <c r="N357" s="41" t="s">
        <v>47</v>
      </c>
      <c r="O357" s="40">
        <f t="shared" si="160"/>
        <v>0</v>
      </c>
      <c r="Z357" s="40">
        <f t="shared" si="161"/>
        <v>0</v>
      </c>
      <c r="AA357" s="40">
        <f t="shared" si="162"/>
        <v>0</v>
      </c>
      <c r="AB357" s="40">
        <f t="shared" si="163"/>
        <v>0</v>
      </c>
      <c r="AD357" s="40">
        <v>21</v>
      </c>
      <c r="AE357" s="40">
        <f>G357*0.0947502296332933</f>
        <v>0</v>
      </c>
      <c r="AF357" s="40">
        <f>G357*(1-0.0947502296332933)</f>
        <v>0</v>
      </c>
    </row>
    <row r="358" spans="4:6" ht="12.75">
      <c r="D358" s="44" t="s">
        <v>660</v>
      </c>
      <c r="F358" s="45">
        <v>1.26</v>
      </c>
    </row>
    <row r="359" spans="1:32" ht="12.75">
      <c r="A359" s="10" t="s">
        <v>661</v>
      </c>
      <c r="B359" s="10"/>
      <c r="C359" s="10" t="s">
        <v>662</v>
      </c>
      <c r="D359" s="10" t="s">
        <v>663</v>
      </c>
      <c r="E359" s="10" t="s">
        <v>143</v>
      </c>
      <c r="F359" s="40">
        <v>7.9</v>
      </c>
      <c r="G359" s="40">
        <v>0</v>
      </c>
      <c r="H359" s="40">
        <f>ROUND(F359*AE359,2)</f>
        <v>0</v>
      </c>
      <c r="I359" s="40">
        <f>J359-H359</f>
        <v>0</v>
      </c>
      <c r="J359" s="40">
        <f>ROUND(F359*G359,2)</f>
        <v>0</v>
      </c>
      <c r="K359" s="40">
        <v>6E-05</v>
      </c>
      <c r="L359" s="40">
        <f>F359*K359</f>
        <v>0.00047400000000000003</v>
      </c>
      <c r="M359" s="41" t="s">
        <v>72</v>
      </c>
      <c r="N359" s="41" t="s">
        <v>47</v>
      </c>
      <c r="O359" s="40">
        <f>IF(N359="5",I359,0)</f>
        <v>0</v>
      </c>
      <c r="Z359" s="40">
        <f>IF(AD359=0,J359,0)</f>
        <v>0</v>
      </c>
      <c r="AA359" s="40">
        <f>IF(AD359=15,J359,0)</f>
        <v>0</v>
      </c>
      <c r="AB359" s="40">
        <f>IF(AD359=21,J359,0)</f>
        <v>0</v>
      </c>
      <c r="AD359" s="40">
        <v>21</v>
      </c>
      <c r="AE359" s="40">
        <f>G359*0.0590255220417633</f>
        <v>0</v>
      </c>
      <c r="AF359" s="40">
        <f>G359*(1-0.0590255220417633)</f>
        <v>0</v>
      </c>
    </row>
    <row r="360" spans="4:6" ht="12.75">
      <c r="D360" s="44" t="s">
        <v>664</v>
      </c>
      <c r="F360" s="45">
        <v>7.9</v>
      </c>
    </row>
    <row r="361" spans="1:32" ht="12.75">
      <c r="A361" s="10" t="s">
        <v>665</v>
      </c>
      <c r="B361" s="10"/>
      <c r="C361" s="10" t="s">
        <v>666</v>
      </c>
      <c r="D361" s="10" t="s">
        <v>667</v>
      </c>
      <c r="E361" s="10" t="s">
        <v>108</v>
      </c>
      <c r="F361" s="40">
        <v>122.9</v>
      </c>
      <c r="G361" s="40">
        <v>0</v>
      </c>
      <c r="H361" s="40">
        <f>ROUND(F361*AE361,2)</f>
        <v>0</v>
      </c>
      <c r="I361" s="40">
        <f>J361-H361</f>
        <v>0</v>
      </c>
      <c r="J361" s="40">
        <f>ROUND(F361*G361,2)</f>
        <v>0</v>
      </c>
      <c r="K361" s="40">
        <v>5E-05</v>
      </c>
      <c r="L361" s="40">
        <f>F361*K361</f>
        <v>0.006145</v>
      </c>
      <c r="M361" s="41"/>
      <c r="N361" s="41" t="s">
        <v>47</v>
      </c>
      <c r="O361" s="40">
        <f>IF(N361="5",I361,0)</f>
        <v>0</v>
      </c>
      <c r="Z361" s="40">
        <f>IF(AD361=0,J361,0)</f>
        <v>0</v>
      </c>
      <c r="AA361" s="40">
        <f>IF(AD361=15,J361,0)</f>
        <v>0</v>
      </c>
      <c r="AB361" s="40">
        <f>IF(AD361=21,J361,0)</f>
        <v>0</v>
      </c>
      <c r="AD361" s="40">
        <v>21</v>
      </c>
      <c r="AE361" s="40">
        <f>G361*0.202044989775051</f>
        <v>0</v>
      </c>
      <c r="AF361" s="40">
        <f>G361*(1-0.202044989775051)</f>
        <v>0</v>
      </c>
    </row>
    <row r="362" spans="4:6" ht="12.75">
      <c r="D362" s="44" t="s">
        <v>668</v>
      </c>
      <c r="F362" s="45">
        <v>122.9</v>
      </c>
    </row>
    <row r="363" spans="4:6" ht="12.75">
      <c r="D363" s="44" t="s">
        <v>555</v>
      </c>
      <c r="F363" s="45">
        <v>0.03</v>
      </c>
    </row>
    <row r="364" spans="1:32" ht="12.75">
      <c r="A364" s="10" t="s">
        <v>669</v>
      </c>
      <c r="B364" s="10"/>
      <c r="C364" s="10" t="s">
        <v>670</v>
      </c>
      <c r="D364" s="10" t="s">
        <v>671</v>
      </c>
      <c r="E364" s="10" t="s">
        <v>108</v>
      </c>
      <c r="F364" s="40">
        <v>84.53</v>
      </c>
      <c r="G364" s="40">
        <v>0</v>
      </c>
      <c r="H364" s="40">
        <f>ROUND(F364*AE364,2)</f>
        <v>0</v>
      </c>
      <c r="I364" s="40">
        <f>J364-H364</f>
        <v>0</v>
      </c>
      <c r="J364" s="40">
        <f>ROUND(F364*G364,2)</f>
        <v>0</v>
      </c>
      <c r="K364" s="40">
        <v>0</v>
      </c>
      <c r="L364" s="40">
        <f>F364*K364</f>
        <v>0</v>
      </c>
      <c r="M364" s="41"/>
      <c r="N364" s="41" t="s">
        <v>44</v>
      </c>
      <c r="O364" s="40">
        <f>IF(N364="5",I364,0)</f>
        <v>0</v>
      </c>
      <c r="Z364" s="40">
        <f>IF(AD364=0,J364,0)</f>
        <v>0</v>
      </c>
      <c r="AA364" s="40">
        <f>IF(AD364=15,J364,0)</f>
        <v>0</v>
      </c>
      <c r="AB364" s="40">
        <f>IF(AD364=21,J364,0)</f>
        <v>0</v>
      </c>
      <c r="AD364" s="40">
        <v>21</v>
      </c>
      <c r="AE364" s="40">
        <f>G364*1</f>
        <v>0</v>
      </c>
      <c r="AF364" s="40">
        <f>G364*(1-1)</f>
        <v>0</v>
      </c>
    </row>
    <row r="365" spans="4:6" ht="12.75">
      <c r="D365" s="44" t="s">
        <v>397</v>
      </c>
      <c r="F365" s="45">
        <v>79</v>
      </c>
    </row>
    <row r="366" spans="4:6" ht="12.75">
      <c r="D366" s="44" t="s">
        <v>672</v>
      </c>
      <c r="F366" s="45">
        <v>5.53</v>
      </c>
    </row>
    <row r="367" spans="1:32" ht="12.75">
      <c r="A367" s="10" t="s">
        <v>673</v>
      </c>
      <c r="B367" s="10"/>
      <c r="C367" s="10" t="s">
        <v>609</v>
      </c>
      <c r="D367" s="10" t="s">
        <v>610</v>
      </c>
      <c r="E367" s="10" t="s">
        <v>143</v>
      </c>
      <c r="F367" s="40">
        <v>9.2</v>
      </c>
      <c r="G367" s="40">
        <v>0</v>
      </c>
      <c r="H367" s="40">
        <f>ROUND(F367*AE367,2)</f>
        <v>0</v>
      </c>
      <c r="I367" s="40">
        <f>J367-H367</f>
        <v>0</v>
      </c>
      <c r="J367" s="40">
        <f>ROUND(F367*G367,2)</f>
        <v>0</v>
      </c>
      <c r="K367" s="40">
        <v>0.00255</v>
      </c>
      <c r="L367" s="40">
        <f>F367*K367</f>
        <v>0.023459999999999998</v>
      </c>
      <c r="M367" s="41" t="s">
        <v>72</v>
      </c>
      <c r="N367" s="41" t="s">
        <v>44</v>
      </c>
      <c r="O367" s="40">
        <f>IF(N367="5",I367,0)</f>
        <v>0</v>
      </c>
      <c r="Z367" s="40">
        <f>IF(AD367=0,J367,0)</f>
        <v>0</v>
      </c>
      <c r="AA367" s="40">
        <f>IF(AD367=15,J367,0)</f>
        <v>0</v>
      </c>
      <c r="AB367" s="40">
        <f>IF(AD367=21,J367,0)</f>
        <v>0</v>
      </c>
      <c r="AD367" s="40">
        <v>21</v>
      </c>
      <c r="AE367" s="40">
        <f>G367*1</f>
        <v>0</v>
      </c>
      <c r="AF367" s="40">
        <f>G367*(1-1)</f>
        <v>0</v>
      </c>
    </row>
    <row r="368" spans="4:6" ht="12.75">
      <c r="D368" s="44" t="s">
        <v>674</v>
      </c>
      <c r="F368" s="45">
        <v>8.6</v>
      </c>
    </row>
    <row r="369" spans="4:6" ht="12.75">
      <c r="D369" s="44" t="s">
        <v>675</v>
      </c>
      <c r="F369" s="45">
        <v>0.6</v>
      </c>
    </row>
    <row r="370" spans="1:32" ht="12.75">
      <c r="A370" s="10" t="s">
        <v>676</v>
      </c>
      <c r="B370" s="10"/>
      <c r="C370" s="10" t="s">
        <v>677</v>
      </c>
      <c r="D370" s="10" t="s">
        <v>678</v>
      </c>
      <c r="E370" s="10" t="s">
        <v>108</v>
      </c>
      <c r="F370" s="40">
        <v>1.18</v>
      </c>
      <c r="G370" s="40">
        <v>0</v>
      </c>
      <c r="H370" s="40">
        <f>ROUND(F370*AE370,2)</f>
        <v>0</v>
      </c>
      <c r="I370" s="40">
        <f>J370-H370</f>
        <v>0</v>
      </c>
      <c r="J370" s="40">
        <f>ROUND(F370*G370,2)</f>
        <v>0</v>
      </c>
      <c r="K370" s="40">
        <v>0</v>
      </c>
      <c r="L370" s="40">
        <f>F370*K370</f>
        <v>0</v>
      </c>
      <c r="M370" s="41"/>
      <c r="N370" s="41" t="s">
        <v>44</v>
      </c>
      <c r="O370" s="40">
        <f>IF(N370="5",I370,0)</f>
        <v>0</v>
      </c>
      <c r="Z370" s="40">
        <f>IF(AD370=0,J370,0)</f>
        <v>0</v>
      </c>
      <c r="AA370" s="40">
        <f>IF(AD370=15,J370,0)</f>
        <v>0</v>
      </c>
      <c r="AB370" s="40">
        <f>IF(AD370=21,J370,0)</f>
        <v>0</v>
      </c>
      <c r="AD370" s="40">
        <v>21</v>
      </c>
      <c r="AE370" s="40">
        <f>G370*1</f>
        <v>0</v>
      </c>
      <c r="AF370" s="40">
        <f>G370*(1-1)</f>
        <v>0</v>
      </c>
    </row>
    <row r="371" spans="4:6" ht="12.75">
      <c r="D371" s="44" t="s">
        <v>679</v>
      </c>
      <c r="F371" s="45">
        <v>1.1</v>
      </c>
    </row>
    <row r="372" spans="4:6" ht="12.75">
      <c r="D372" s="44" t="s">
        <v>680</v>
      </c>
      <c r="F372" s="45">
        <v>0.08</v>
      </c>
    </row>
    <row r="373" spans="1:32" ht="12.75">
      <c r="A373" s="10" t="s">
        <v>681</v>
      </c>
      <c r="B373" s="10"/>
      <c r="C373" s="10" t="s">
        <v>682</v>
      </c>
      <c r="D373" s="10" t="s">
        <v>683</v>
      </c>
      <c r="E373" s="10" t="s">
        <v>108</v>
      </c>
      <c r="F373" s="40">
        <v>21.29</v>
      </c>
      <c r="G373" s="40">
        <v>0</v>
      </c>
      <c r="H373" s="40">
        <f>ROUND(F373*AE373,2)</f>
        <v>0</v>
      </c>
      <c r="I373" s="40">
        <f>J373-H373</f>
        <v>0</v>
      </c>
      <c r="J373" s="40">
        <f>ROUND(F373*G373,2)</f>
        <v>0</v>
      </c>
      <c r="K373" s="40">
        <v>1E-05</v>
      </c>
      <c r="L373" s="40">
        <f>F373*K373</f>
        <v>0.0002129</v>
      </c>
      <c r="M373" s="41"/>
      <c r="N373" s="41" t="s">
        <v>44</v>
      </c>
      <c r="O373" s="40">
        <f>IF(N373="5",I373,0)</f>
        <v>0</v>
      </c>
      <c r="Z373" s="40">
        <f>IF(AD373=0,J373,0)</f>
        <v>0</v>
      </c>
      <c r="AA373" s="40">
        <f>IF(AD373=15,J373,0)</f>
        <v>0</v>
      </c>
      <c r="AB373" s="40">
        <f>IF(AD373=21,J373,0)</f>
        <v>0</v>
      </c>
      <c r="AD373" s="40">
        <v>21</v>
      </c>
      <c r="AE373" s="40">
        <f>G373*1</f>
        <v>0</v>
      </c>
      <c r="AF373" s="40">
        <f>G373*(1-1)</f>
        <v>0</v>
      </c>
    </row>
    <row r="374" spans="4:6" ht="12.75">
      <c r="D374" s="44" t="s">
        <v>684</v>
      </c>
      <c r="F374" s="45">
        <v>19.9</v>
      </c>
    </row>
    <row r="375" spans="4:6" ht="12.75">
      <c r="D375" s="44" t="s">
        <v>685</v>
      </c>
      <c r="F375" s="45">
        <v>1.39</v>
      </c>
    </row>
    <row r="376" spans="1:32" ht="12.75">
      <c r="A376" s="10" t="s">
        <v>686</v>
      </c>
      <c r="B376" s="10"/>
      <c r="C376" s="10" t="s">
        <v>687</v>
      </c>
      <c r="D376" s="10" t="s">
        <v>688</v>
      </c>
      <c r="E376" s="10" t="s">
        <v>108</v>
      </c>
      <c r="F376" s="40">
        <v>7.92</v>
      </c>
      <c r="G376" s="40">
        <v>0</v>
      </c>
      <c r="H376" s="40">
        <f>ROUND(F376*AE376,2)</f>
        <v>0</v>
      </c>
      <c r="I376" s="40">
        <f>J376-H376</f>
        <v>0</v>
      </c>
      <c r="J376" s="40">
        <f>ROUND(F376*G376,2)</f>
        <v>0</v>
      </c>
      <c r="K376" s="40">
        <v>0</v>
      </c>
      <c r="L376" s="40">
        <f>F376*K376</f>
        <v>0</v>
      </c>
      <c r="M376" s="41"/>
      <c r="N376" s="41" t="s">
        <v>44</v>
      </c>
      <c r="O376" s="40">
        <f>IF(N376="5",I376,0)</f>
        <v>0</v>
      </c>
      <c r="Z376" s="40">
        <f>IF(AD376=0,J376,0)</f>
        <v>0</v>
      </c>
      <c r="AA376" s="40">
        <f>IF(AD376=15,J376,0)</f>
        <v>0</v>
      </c>
      <c r="AB376" s="40">
        <f>IF(AD376=21,J376,0)</f>
        <v>0</v>
      </c>
      <c r="AD376" s="40">
        <v>21</v>
      </c>
      <c r="AE376" s="40">
        <f>G376*1</f>
        <v>0</v>
      </c>
      <c r="AF376" s="40">
        <f>G376*(1-1)</f>
        <v>0</v>
      </c>
    </row>
    <row r="377" spans="4:6" ht="12.75">
      <c r="D377" s="44" t="s">
        <v>689</v>
      </c>
      <c r="F377" s="45">
        <v>7.4</v>
      </c>
    </row>
    <row r="378" spans="4:6" ht="12.75">
      <c r="D378" s="44" t="s">
        <v>690</v>
      </c>
      <c r="F378" s="45">
        <v>0.52</v>
      </c>
    </row>
    <row r="379" spans="1:32" ht="12.75">
      <c r="A379" s="10" t="s">
        <v>691</v>
      </c>
      <c r="B379" s="10"/>
      <c r="C379" s="10" t="s">
        <v>692</v>
      </c>
      <c r="D379" s="10" t="s">
        <v>693</v>
      </c>
      <c r="E379" s="10" t="s">
        <v>131</v>
      </c>
      <c r="F379" s="40">
        <v>32</v>
      </c>
      <c r="G379" s="40">
        <v>0</v>
      </c>
      <c r="H379" s="40">
        <f aca="true" t="shared" si="166" ref="H379:H380">ROUND(F379*AE379,2)</f>
        <v>0</v>
      </c>
      <c r="I379" s="40">
        <f aca="true" t="shared" si="167" ref="I379:I380">J379-H379</f>
        <v>0</v>
      </c>
      <c r="J379" s="40">
        <f aca="true" t="shared" si="168" ref="J379:J380">ROUND(F379*G379,2)</f>
        <v>0</v>
      </c>
      <c r="K379" s="40">
        <v>0</v>
      </c>
      <c r="L379" s="40">
        <f aca="true" t="shared" si="169" ref="L379:L380">F379*K379</f>
        <v>0</v>
      </c>
      <c r="M379" s="41"/>
      <c r="N379" s="41" t="s">
        <v>47</v>
      </c>
      <c r="O379" s="40">
        <f aca="true" t="shared" si="170" ref="O379:O380">IF(N379="5",I379,0)</f>
        <v>0</v>
      </c>
      <c r="Z379" s="40">
        <f aca="true" t="shared" si="171" ref="Z379:Z380">IF(AD379=0,J379,0)</f>
        <v>0</v>
      </c>
      <c r="AA379" s="40">
        <f aca="true" t="shared" si="172" ref="AA379:AA380">IF(AD379=15,J379,0)</f>
        <v>0</v>
      </c>
      <c r="AB379" s="40">
        <f aca="true" t="shared" si="173" ref="AB379:AB380">IF(AD379=21,J379,0)</f>
        <v>0</v>
      </c>
      <c r="AD379" s="40">
        <v>21</v>
      </c>
      <c r="AE379" s="40">
        <f>G379*0.619183285849953</f>
        <v>0</v>
      </c>
      <c r="AF379" s="40">
        <f>G379*(1-0.619183285849953)</f>
        <v>0</v>
      </c>
    </row>
    <row r="380" spans="1:32" ht="12.75">
      <c r="A380" s="10" t="s">
        <v>694</v>
      </c>
      <c r="B380" s="10"/>
      <c r="C380" s="10" t="s">
        <v>695</v>
      </c>
      <c r="D380" s="10" t="s">
        <v>696</v>
      </c>
      <c r="E380" s="10" t="s">
        <v>71</v>
      </c>
      <c r="F380" s="40">
        <v>9.04</v>
      </c>
      <c r="G380" s="40">
        <v>0</v>
      </c>
      <c r="H380" s="40">
        <f t="shared" si="166"/>
        <v>0</v>
      </c>
      <c r="I380" s="40">
        <f t="shared" si="167"/>
        <v>0</v>
      </c>
      <c r="J380" s="40">
        <f t="shared" si="168"/>
        <v>0</v>
      </c>
      <c r="K380" s="40">
        <v>0.00025</v>
      </c>
      <c r="L380" s="40">
        <f t="shared" si="169"/>
        <v>0.00226</v>
      </c>
      <c r="M380" s="41"/>
      <c r="N380" s="41" t="s">
        <v>47</v>
      </c>
      <c r="O380" s="40">
        <f t="shared" si="170"/>
        <v>0</v>
      </c>
      <c r="Z380" s="40">
        <f t="shared" si="171"/>
        <v>0</v>
      </c>
      <c r="AA380" s="40">
        <f t="shared" si="172"/>
        <v>0</v>
      </c>
      <c r="AB380" s="40">
        <f t="shared" si="173"/>
        <v>0</v>
      </c>
      <c r="AD380" s="40">
        <v>21</v>
      </c>
      <c r="AE380" s="40">
        <f>G380*0.0958160572936299</f>
        <v>0</v>
      </c>
      <c r="AF380" s="40">
        <f>G380*(1-0.0958160572936299)</f>
        <v>0</v>
      </c>
    </row>
    <row r="381" spans="4:6" ht="12.75">
      <c r="D381" s="44" t="s">
        <v>697</v>
      </c>
      <c r="F381" s="45">
        <v>3.77</v>
      </c>
    </row>
    <row r="382" spans="4:6" ht="12.75">
      <c r="D382" s="44" t="s">
        <v>698</v>
      </c>
      <c r="F382" s="45">
        <v>5.27</v>
      </c>
    </row>
    <row r="383" spans="1:32" ht="12.75">
      <c r="A383" s="10" t="s">
        <v>699</v>
      </c>
      <c r="B383" s="10"/>
      <c r="C383" s="10" t="s">
        <v>666</v>
      </c>
      <c r="D383" s="10" t="s">
        <v>700</v>
      </c>
      <c r="E383" s="10" t="s">
        <v>108</v>
      </c>
      <c r="F383" s="40">
        <v>147.2</v>
      </c>
      <c r="G383" s="40">
        <v>0</v>
      </c>
      <c r="H383" s="40">
        <f>ROUND(F383*AE383,2)</f>
        <v>0</v>
      </c>
      <c r="I383" s="40">
        <f>J383-H383</f>
        <v>0</v>
      </c>
      <c r="J383" s="40">
        <f>ROUND(F383*G383,2)</f>
        <v>0</v>
      </c>
      <c r="K383" s="40">
        <v>5E-05</v>
      </c>
      <c r="L383" s="40">
        <f>F383*K383</f>
        <v>0.007359999999999999</v>
      </c>
      <c r="M383" s="41"/>
      <c r="N383" s="41" t="s">
        <v>47</v>
      </c>
      <c r="O383" s="40">
        <f>IF(N383="5",I383,0)</f>
        <v>0</v>
      </c>
      <c r="Z383" s="40">
        <f>IF(AD383=0,J383,0)</f>
        <v>0</v>
      </c>
      <c r="AA383" s="40">
        <f>IF(AD383=15,J383,0)</f>
        <v>0</v>
      </c>
      <c r="AB383" s="40">
        <f>IF(AD383=21,J383,0)</f>
        <v>0</v>
      </c>
      <c r="AD383" s="40">
        <v>21</v>
      </c>
      <c r="AE383" s="40">
        <f>G383*0.202044989775051</f>
        <v>0</v>
      </c>
      <c r="AF383" s="40">
        <f>G383*(1-0.202044989775051)</f>
        <v>0</v>
      </c>
    </row>
    <row r="384" spans="4:6" ht="12.75">
      <c r="D384" s="44" t="s">
        <v>701</v>
      </c>
      <c r="F384" s="45">
        <v>147.2</v>
      </c>
    </row>
    <row r="385" spans="1:32" ht="12.75">
      <c r="A385" s="10" t="s">
        <v>702</v>
      </c>
      <c r="B385" s="10"/>
      <c r="C385" s="10" t="s">
        <v>703</v>
      </c>
      <c r="D385" s="10" t="s">
        <v>704</v>
      </c>
      <c r="E385" s="10" t="s">
        <v>108</v>
      </c>
      <c r="F385" s="40">
        <v>99.19</v>
      </c>
      <c r="G385" s="40">
        <v>0</v>
      </c>
      <c r="H385" s="40">
        <f>ROUND(F385*AE385,2)</f>
        <v>0</v>
      </c>
      <c r="I385" s="40">
        <f>J385-H385</f>
        <v>0</v>
      </c>
      <c r="J385" s="40">
        <f>ROUND(F385*G385,2)</f>
        <v>0</v>
      </c>
      <c r="K385" s="40">
        <v>0</v>
      </c>
      <c r="L385" s="40">
        <f>F385*K385</f>
        <v>0</v>
      </c>
      <c r="M385" s="41"/>
      <c r="N385" s="41" t="s">
        <v>44</v>
      </c>
      <c r="O385" s="40">
        <f>IF(N385="5",I385,0)</f>
        <v>0</v>
      </c>
      <c r="Z385" s="40">
        <f>IF(AD385=0,J385,0)</f>
        <v>0</v>
      </c>
      <c r="AA385" s="40">
        <f>IF(AD385=15,J385,0)</f>
        <v>0</v>
      </c>
      <c r="AB385" s="40">
        <f>IF(AD385=21,J385,0)</f>
        <v>0</v>
      </c>
      <c r="AD385" s="40">
        <v>21</v>
      </c>
      <c r="AE385" s="40">
        <f>G385*1</f>
        <v>0</v>
      </c>
      <c r="AF385" s="40">
        <f>G385*(1-1)</f>
        <v>0</v>
      </c>
    </row>
    <row r="386" spans="4:6" ht="12.75">
      <c r="D386" s="44" t="s">
        <v>705</v>
      </c>
      <c r="F386" s="45">
        <v>92.7</v>
      </c>
    </row>
    <row r="387" spans="4:6" ht="12.75">
      <c r="D387" s="44" t="s">
        <v>706</v>
      </c>
      <c r="F387" s="45">
        <v>6.49</v>
      </c>
    </row>
    <row r="388" spans="1:32" ht="12.75">
      <c r="A388" s="10" t="s">
        <v>707</v>
      </c>
      <c r="B388" s="10"/>
      <c r="C388" s="10" t="s">
        <v>708</v>
      </c>
      <c r="D388" s="10" t="s">
        <v>709</v>
      </c>
      <c r="E388" s="10" t="s">
        <v>108</v>
      </c>
      <c r="F388" s="40">
        <v>31.35</v>
      </c>
      <c r="G388" s="40">
        <v>0</v>
      </c>
      <c r="H388" s="40">
        <f>ROUND(F388*AE388,2)</f>
        <v>0</v>
      </c>
      <c r="I388" s="40">
        <f>J388-H388</f>
        <v>0</v>
      </c>
      <c r="J388" s="40">
        <f>ROUND(F388*G388,2)</f>
        <v>0</v>
      </c>
      <c r="K388" s="40">
        <v>0</v>
      </c>
      <c r="L388" s="40">
        <f>F388*K388</f>
        <v>0</v>
      </c>
      <c r="M388" s="41"/>
      <c r="N388" s="41" t="s">
        <v>44</v>
      </c>
      <c r="O388" s="40">
        <f>IF(N388="5",I388,0)</f>
        <v>0</v>
      </c>
      <c r="Z388" s="40">
        <f>IF(AD388=0,J388,0)</f>
        <v>0</v>
      </c>
      <c r="AA388" s="40">
        <f>IF(AD388=15,J388,0)</f>
        <v>0</v>
      </c>
      <c r="AB388" s="40">
        <f>IF(AD388=21,J388,0)</f>
        <v>0</v>
      </c>
      <c r="AD388" s="40">
        <v>21</v>
      </c>
      <c r="AE388" s="40">
        <f>G388*1</f>
        <v>0</v>
      </c>
      <c r="AF388" s="40">
        <f>G388*(1-1)</f>
        <v>0</v>
      </c>
    </row>
    <row r="389" spans="4:6" ht="12.75">
      <c r="D389" s="44" t="s">
        <v>710</v>
      </c>
      <c r="F389" s="45">
        <v>29.3</v>
      </c>
    </row>
    <row r="390" spans="4:6" ht="12.75">
      <c r="D390" s="44" t="s">
        <v>711</v>
      </c>
      <c r="F390" s="45">
        <v>2.05</v>
      </c>
    </row>
    <row r="391" spans="1:32" ht="12.75">
      <c r="A391" s="10" t="s">
        <v>712</v>
      </c>
      <c r="B391" s="10"/>
      <c r="C391" s="10" t="s">
        <v>713</v>
      </c>
      <c r="D391" s="10" t="s">
        <v>714</v>
      </c>
      <c r="E391" s="10" t="s">
        <v>108</v>
      </c>
      <c r="F391" s="40">
        <v>2.35</v>
      </c>
      <c r="G391" s="40">
        <v>0</v>
      </c>
      <c r="H391" s="40">
        <f>ROUND(F391*AE391,2)</f>
        <v>0</v>
      </c>
      <c r="I391" s="40">
        <f>J391-H391</f>
        <v>0</v>
      </c>
      <c r="J391" s="40">
        <f>ROUND(F391*G391,2)</f>
        <v>0</v>
      </c>
      <c r="K391" s="40">
        <v>0</v>
      </c>
      <c r="L391" s="40">
        <f>F391*K391</f>
        <v>0</v>
      </c>
      <c r="M391" s="41"/>
      <c r="N391" s="41" t="s">
        <v>44</v>
      </c>
      <c r="O391" s="40">
        <f>IF(N391="5",I391,0)</f>
        <v>0</v>
      </c>
      <c r="Z391" s="40">
        <f>IF(AD391=0,J391,0)</f>
        <v>0</v>
      </c>
      <c r="AA391" s="40">
        <f>IF(AD391=15,J391,0)</f>
        <v>0</v>
      </c>
      <c r="AB391" s="40">
        <f>IF(AD391=21,J391,0)</f>
        <v>0</v>
      </c>
      <c r="AD391" s="40">
        <v>21</v>
      </c>
      <c r="AE391" s="40">
        <f>G391*1</f>
        <v>0</v>
      </c>
      <c r="AF391" s="40">
        <f>G391*(1-1)</f>
        <v>0</v>
      </c>
    </row>
    <row r="392" spans="4:6" ht="12.75">
      <c r="D392" s="44" t="s">
        <v>715</v>
      </c>
      <c r="F392" s="45">
        <v>2.2</v>
      </c>
    </row>
    <row r="393" spans="4:6" ht="12.75">
      <c r="D393" s="44" t="s">
        <v>716</v>
      </c>
      <c r="F393" s="45">
        <v>0.15</v>
      </c>
    </row>
    <row r="394" spans="1:32" ht="12.75">
      <c r="A394" s="10" t="s">
        <v>717</v>
      </c>
      <c r="B394" s="10"/>
      <c r="C394" s="10" t="s">
        <v>718</v>
      </c>
      <c r="D394" s="10" t="s">
        <v>719</v>
      </c>
      <c r="E394" s="10" t="s">
        <v>108</v>
      </c>
      <c r="F394" s="40">
        <v>13.48</v>
      </c>
      <c r="G394" s="40">
        <v>0</v>
      </c>
      <c r="H394" s="40">
        <f>ROUND(F394*AE394,2)</f>
        <v>0</v>
      </c>
      <c r="I394" s="40">
        <f>J394-H394</f>
        <v>0</v>
      </c>
      <c r="J394" s="40">
        <f>ROUND(F394*G394,2)</f>
        <v>0</v>
      </c>
      <c r="K394" s="40">
        <v>0</v>
      </c>
      <c r="L394" s="40">
        <f>F394*K394</f>
        <v>0</v>
      </c>
      <c r="M394" s="41"/>
      <c r="N394" s="41" t="s">
        <v>44</v>
      </c>
      <c r="O394" s="40">
        <f>IF(N394="5",I394,0)</f>
        <v>0</v>
      </c>
      <c r="Z394" s="40">
        <f>IF(AD394=0,J394,0)</f>
        <v>0</v>
      </c>
      <c r="AA394" s="40">
        <f>IF(AD394=15,J394,0)</f>
        <v>0</v>
      </c>
      <c r="AB394" s="40">
        <f>IF(AD394=21,J394,0)</f>
        <v>0</v>
      </c>
      <c r="AD394" s="40">
        <v>21</v>
      </c>
      <c r="AE394" s="40">
        <f>G394*1</f>
        <v>0</v>
      </c>
      <c r="AF394" s="40">
        <f>G394*(1-1)</f>
        <v>0</v>
      </c>
    </row>
    <row r="395" spans="4:6" ht="12.75">
      <c r="D395" s="44" t="s">
        <v>720</v>
      </c>
      <c r="F395" s="45">
        <v>12.6</v>
      </c>
    </row>
    <row r="396" spans="4:6" ht="12.75">
      <c r="D396" s="44" t="s">
        <v>721</v>
      </c>
      <c r="F396" s="45">
        <v>0.88</v>
      </c>
    </row>
    <row r="397" spans="1:32" ht="12.75">
      <c r="A397" s="10" t="s">
        <v>722</v>
      </c>
      <c r="B397" s="10"/>
      <c r="C397" s="10" t="s">
        <v>687</v>
      </c>
      <c r="D397" s="10" t="s">
        <v>688</v>
      </c>
      <c r="E397" s="10" t="s">
        <v>108</v>
      </c>
      <c r="F397" s="40">
        <v>5.03</v>
      </c>
      <c r="G397" s="40">
        <v>0</v>
      </c>
      <c r="H397" s="40">
        <f>ROUND(F397*AE397,2)</f>
        <v>0</v>
      </c>
      <c r="I397" s="40">
        <f>J397-H397</f>
        <v>0</v>
      </c>
      <c r="J397" s="40">
        <f>ROUND(F397*G397,2)</f>
        <v>0</v>
      </c>
      <c r="K397" s="40">
        <v>0</v>
      </c>
      <c r="L397" s="40">
        <f>F397*K397</f>
        <v>0</v>
      </c>
      <c r="M397" s="41"/>
      <c r="N397" s="41" t="s">
        <v>44</v>
      </c>
      <c r="O397" s="40">
        <f>IF(N397="5",I397,0)</f>
        <v>0</v>
      </c>
      <c r="Z397" s="40">
        <f>IF(AD397=0,J397,0)</f>
        <v>0</v>
      </c>
      <c r="AA397" s="40">
        <f>IF(AD397=15,J397,0)</f>
        <v>0</v>
      </c>
      <c r="AB397" s="40">
        <f>IF(AD397=21,J397,0)</f>
        <v>0</v>
      </c>
      <c r="AD397" s="40">
        <v>21</v>
      </c>
      <c r="AE397" s="40">
        <f>G397*1</f>
        <v>0</v>
      </c>
      <c r="AF397" s="40">
        <f>G397*(1-1)</f>
        <v>0</v>
      </c>
    </row>
    <row r="398" spans="4:6" ht="12.75">
      <c r="D398" s="44" t="s">
        <v>723</v>
      </c>
      <c r="F398" s="45">
        <v>4.7</v>
      </c>
    </row>
    <row r="399" spans="4:6" ht="12.75">
      <c r="D399" s="44" t="s">
        <v>724</v>
      </c>
      <c r="F399" s="45">
        <v>0.33</v>
      </c>
    </row>
    <row r="400" spans="1:32" ht="12.75">
      <c r="A400" s="10" t="s">
        <v>725</v>
      </c>
      <c r="B400" s="10"/>
      <c r="C400" s="10" t="s">
        <v>687</v>
      </c>
      <c r="D400" s="10" t="s">
        <v>688</v>
      </c>
      <c r="E400" s="10" t="s">
        <v>108</v>
      </c>
      <c r="F400" s="40">
        <v>1.07</v>
      </c>
      <c r="G400" s="40">
        <v>0</v>
      </c>
      <c r="H400" s="40">
        <f>ROUND(F400*AE400,2)</f>
        <v>0</v>
      </c>
      <c r="I400" s="40">
        <f>J400-H400</f>
        <v>0</v>
      </c>
      <c r="J400" s="40">
        <f>ROUND(F400*G400,2)</f>
        <v>0</v>
      </c>
      <c r="K400" s="40">
        <v>0</v>
      </c>
      <c r="L400" s="40">
        <f>F400*K400</f>
        <v>0</v>
      </c>
      <c r="M400" s="41"/>
      <c r="N400" s="41" t="s">
        <v>44</v>
      </c>
      <c r="O400" s="40">
        <f>IF(N400="5",I400,0)</f>
        <v>0</v>
      </c>
      <c r="Z400" s="40">
        <f>IF(AD400=0,J400,0)</f>
        <v>0</v>
      </c>
      <c r="AA400" s="40">
        <f>IF(AD400=15,J400,0)</f>
        <v>0</v>
      </c>
      <c r="AB400" s="40">
        <f>IF(AD400=21,J400,0)</f>
        <v>0</v>
      </c>
      <c r="AD400" s="40">
        <v>21</v>
      </c>
      <c r="AE400" s="40">
        <f>G400*1</f>
        <v>0</v>
      </c>
      <c r="AF400" s="40">
        <f>G400*(1-1)</f>
        <v>0</v>
      </c>
    </row>
    <row r="401" spans="4:6" ht="12.75">
      <c r="D401" s="44" t="s">
        <v>47</v>
      </c>
      <c r="F401" s="45">
        <v>1</v>
      </c>
    </row>
    <row r="402" spans="4:6" ht="12.75">
      <c r="D402" s="44" t="s">
        <v>726</v>
      </c>
      <c r="F402" s="45">
        <v>0.07</v>
      </c>
    </row>
    <row r="403" spans="1:32" ht="12.75">
      <c r="A403" s="10" t="s">
        <v>727</v>
      </c>
      <c r="B403" s="10"/>
      <c r="C403" s="10" t="s">
        <v>728</v>
      </c>
      <c r="D403" s="10" t="s">
        <v>729</v>
      </c>
      <c r="E403" s="10" t="s">
        <v>108</v>
      </c>
      <c r="F403" s="40">
        <v>5.03</v>
      </c>
      <c r="G403" s="40">
        <v>0</v>
      </c>
      <c r="H403" s="40">
        <f>ROUND(F403*AE403,2)</f>
        <v>0</v>
      </c>
      <c r="I403" s="40">
        <f>J403-H403</f>
        <v>0</v>
      </c>
      <c r="J403" s="40">
        <f>ROUND(F403*G403,2)</f>
        <v>0</v>
      </c>
      <c r="K403" s="40">
        <v>0</v>
      </c>
      <c r="L403" s="40">
        <f>F403*K403</f>
        <v>0</v>
      </c>
      <c r="M403" s="41"/>
      <c r="N403" s="41" t="s">
        <v>44</v>
      </c>
      <c r="O403" s="40">
        <f>IF(N403="5",I403,0)</f>
        <v>0</v>
      </c>
      <c r="Z403" s="40">
        <f>IF(AD403=0,J403,0)</f>
        <v>0</v>
      </c>
      <c r="AA403" s="40">
        <f>IF(AD403=15,J403,0)</f>
        <v>0</v>
      </c>
      <c r="AB403" s="40">
        <f>IF(AD403=21,J403,0)</f>
        <v>0</v>
      </c>
      <c r="AD403" s="40">
        <v>21</v>
      </c>
      <c r="AE403" s="40">
        <f>G403*1</f>
        <v>0</v>
      </c>
      <c r="AF403" s="40">
        <f>G403*(1-1)</f>
        <v>0</v>
      </c>
    </row>
    <row r="404" spans="4:6" ht="12.75">
      <c r="D404" s="44" t="s">
        <v>723</v>
      </c>
      <c r="F404" s="45">
        <v>4.7</v>
      </c>
    </row>
    <row r="405" spans="4:6" ht="12.75">
      <c r="D405" s="44" t="s">
        <v>724</v>
      </c>
      <c r="F405" s="45">
        <v>0.33</v>
      </c>
    </row>
    <row r="406" spans="1:32" ht="12.75">
      <c r="A406" s="10" t="s">
        <v>730</v>
      </c>
      <c r="B406" s="10"/>
      <c r="C406" s="10" t="s">
        <v>731</v>
      </c>
      <c r="D406" s="10" t="s">
        <v>732</v>
      </c>
      <c r="E406" s="10" t="s">
        <v>131</v>
      </c>
      <c r="F406" s="40">
        <v>12</v>
      </c>
      <c r="G406" s="40">
        <v>0</v>
      </c>
      <c r="H406" s="40">
        <f aca="true" t="shared" si="174" ref="H406:H407">ROUND(F406*AE406,2)</f>
        <v>0</v>
      </c>
      <c r="I406" s="40">
        <f aca="true" t="shared" si="175" ref="I406:I407">J406-H406</f>
        <v>0</v>
      </c>
      <c r="J406" s="40">
        <f aca="true" t="shared" si="176" ref="J406:J407">ROUND(F406*G406,2)</f>
        <v>0</v>
      </c>
      <c r="K406" s="40">
        <v>0</v>
      </c>
      <c r="L406" s="40">
        <f aca="true" t="shared" si="177" ref="L406:L407">F406*K406</f>
        <v>0</v>
      </c>
      <c r="M406" s="41"/>
      <c r="N406" s="41" t="s">
        <v>47</v>
      </c>
      <c r="O406" s="40">
        <f aca="true" t="shared" si="178" ref="O406:O407">IF(N406="5",I406,0)</f>
        <v>0</v>
      </c>
      <c r="Z406" s="40">
        <f aca="true" t="shared" si="179" ref="Z406:Z407">IF(AD406=0,J406,0)</f>
        <v>0</v>
      </c>
      <c r="AA406" s="40">
        <f aca="true" t="shared" si="180" ref="AA406:AA407">IF(AD406=15,J406,0)</f>
        <v>0</v>
      </c>
      <c r="AB406" s="40">
        <f aca="true" t="shared" si="181" ref="AB406:AB407">IF(AD406=21,J406,0)</f>
        <v>0</v>
      </c>
      <c r="AD406" s="40">
        <v>21</v>
      </c>
      <c r="AE406" s="40">
        <f>G406*0.558855885588559</f>
        <v>0</v>
      </c>
      <c r="AF406" s="40">
        <f>G406*(1-0.558855885588559)</f>
        <v>0</v>
      </c>
    </row>
    <row r="407" spans="1:32" ht="12.75">
      <c r="A407" s="10" t="s">
        <v>733</v>
      </c>
      <c r="B407" s="10"/>
      <c r="C407" s="10" t="s">
        <v>734</v>
      </c>
      <c r="D407" s="10" t="s">
        <v>735</v>
      </c>
      <c r="E407" s="10" t="s">
        <v>143</v>
      </c>
      <c r="F407" s="40">
        <v>21</v>
      </c>
      <c r="G407" s="40">
        <v>0</v>
      </c>
      <c r="H407" s="40">
        <f t="shared" si="174"/>
        <v>0</v>
      </c>
      <c r="I407" s="40">
        <f t="shared" si="175"/>
        <v>0</v>
      </c>
      <c r="J407" s="40">
        <f t="shared" si="176"/>
        <v>0</v>
      </c>
      <c r="K407" s="40">
        <v>0</v>
      </c>
      <c r="L407" s="40">
        <f t="shared" si="177"/>
        <v>0</v>
      </c>
      <c r="M407" s="41"/>
      <c r="N407" s="41" t="s">
        <v>47</v>
      </c>
      <c r="O407" s="40">
        <f t="shared" si="178"/>
        <v>0</v>
      </c>
      <c r="Z407" s="40">
        <f t="shared" si="179"/>
        <v>0</v>
      </c>
      <c r="AA407" s="40">
        <f t="shared" si="180"/>
        <v>0</v>
      </c>
      <c r="AB407" s="40">
        <f t="shared" si="181"/>
        <v>0</v>
      </c>
      <c r="AD407" s="40">
        <v>21</v>
      </c>
      <c r="AE407" s="40">
        <f>G407*0</f>
        <v>0</v>
      </c>
      <c r="AF407" s="40">
        <f>G407*(1-0)</f>
        <v>0</v>
      </c>
    </row>
    <row r="408" spans="4:6" ht="12.75">
      <c r="D408" s="44" t="s">
        <v>736</v>
      </c>
      <c r="F408" s="45">
        <v>7.9</v>
      </c>
    </row>
    <row r="409" spans="4:6" ht="12.75">
      <c r="D409" s="44" t="s">
        <v>737</v>
      </c>
      <c r="F409" s="45">
        <v>5.6</v>
      </c>
    </row>
    <row r="410" spans="4:6" ht="12.75">
      <c r="D410" s="44" t="s">
        <v>738</v>
      </c>
      <c r="F410" s="45">
        <v>7.5</v>
      </c>
    </row>
    <row r="411" spans="4:6" ht="12.75">
      <c r="D411" s="44" t="s">
        <v>555</v>
      </c>
      <c r="F411" s="45">
        <v>0.03</v>
      </c>
    </row>
    <row r="412" spans="1:32" ht="12.75">
      <c r="A412" s="10" t="s">
        <v>739</v>
      </c>
      <c r="B412" s="10"/>
      <c r="C412" s="10" t="s">
        <v>740</v>
      </c>
      <c r="D412" s="10" t="s">
        <v>741</v>
      </c>
      <c r="E412" s="10" t="s">
        <v>71</v>
      </c>
      <c r="F412" s="40">
        <v>0.68</v>
      </c>
      <c r="G412" s="40">
        <v>0</v>
      </c>
      <c r="H412" s="40">
        <f>ROUND(F412*AE412,2)</f>
        <v>0</v>
      </c>
      <c r="I412" s="40">
        <f>J412-H412</f>
        <v>0</v>
      </c>
      <c r="J412" s="40">
        <f>ROUND(F412*G412,2)</f>
        <v>0</v>
      </c>
      <c r="K412" s="40">
        <v>0.03</v>
      </c>
      <c r="L412" s="40">
        <f>F412*K412</f>
        <v>0.0204</v>
      </c>
      <c r="M412" s="41"/>
      <c r="N412" s="41" t="s">
        <v>47</v>
      </c>
      <c r="O412" s="40">
        <f>IF(N412="5",I412,0)</f>
        <v>0</v>
      </c>
      <c r="Z412" s="40">
        <f>IF(AD412=0,J412,0)</f>
        <v>0</v>
      </c>
      <c r="AA412" s="40">
        <f>IF(AD412=15,J412,0)</f>
        <v>0</v>
      </c>
      <c r="AB412" s="40">
        <f>IF(AD412=21,J412,0)</f>
        <v>0</v>
      </c>
      <c r="AD412" s="40">
        <v>21</v>
      </c>
      <c r="AE412" s="40">
        <f>G412*0</f>
        <v>0</v>
      </c>
      <c r="AF412" s="40">
        <f>G412*(1-0)</f>
        <v>0</v>
      </c>
    </row>
    <row r="413" spans="4:6" ht="12.75">
      <c r="D413" s="44" t="s">
        <v>742</v>
      </c>
      <c r="F413" s="45">
        <v>0.32</v>
      </c>
    </row>
    <row r="414" spans="4:6" ht="12.75">
      <c r="D414" s="44" t="s">
        <v>743</v>
      </c>
      <c r="F414" s="45">
        <v>0.36</v>
      </c>
    </row>
    <row r="415" spans="1:32" ht="12.75">
      <c r="A415" s="10" t="s">
        <v>744</v>
      </c>
      <c r="B415" s="10"/>
      <c r="C415" s="10" t="s">
        <v>745</v>
      </c>
      <c r="D415" s="10" t="s">
        <v>746</v>
      </c>
      <c r="E415" s="10" t="s">
        <v>71</v>
      </c>
      <c r="F415" s="40">
        <v>66.6</v>
      </c>
      <c r="G415" s="40">
        <v>0</v>
      </c>
      <c r="H415" s="40">
        <f>ROUND(F415*AE415,2)</f>
        <v>0</v>
      </c>
      <c r="I415" s="40">
        <f>J415-H415</f>
        <v>0</v>
      </c>
      <c r="J415" s="40">
        <f>ROUND(F415*G415,2)</f>
        <v>0</v>
      </c>
      <c r="K415" s="40">
        <v>0.01</v>
      </c>
      <c r="L415" s="40">
        <f>F415*K415</f>
        <v>0.6659999999999999</v>
      </c>
      <c r="M415" s="41"/>
      <c r="N415" s="41" t="s">
        <v>47</v>
      </c>
      <c r="O415" s="40">
        <f>IF(N415="5",I415,0)</f>
        <v>0</v>
      </c>
      <c r="Z415" s="40">
        <f>IF(AD415=0,J415,0)</f>
        <v>0</v>
      </c>
      <c r="AA415" s="40">
        <f>IF(AD415=15,J415,0)</f>
        <v>0</v>
      </c>
      <c r="AB415" s="40">
        <f>IF(AD415=21,J415,0)</f>
        <v>0</v>
      </c>
      <c r="AD415" s="40">
        <v>21</v>
      </c>
      <c r="AE415" s="40">
        <f>G415*0</f>
        <v>0</v>
      </c>
      <c r="AF415" s="40">
        <f>G415*(1-0)</f>
        <v>0</v>
      </c>
    </row>
    <row r="416" spans="4:6" ht="12.75">
      <c r="D416" s="44" t="s">
        <v>747</v>
      </c>
      <c r="F416" s="45">
        <v>7.56</v>
      </c>
    </row>
    <row r="417" spans="4:6" ht="12.75">
      <c r="D417" s="44" t="s">
        <v>748</v>
      </c>
      <c r="F417" s="45">
        <v>3.6</v>
      </c>
    </row>
    <row r="418" spans="4:6" ht="12.75">
      <c r="D418" s="44" t="s">
        <v>749</v>
      </c>
      <c r="F418" s="45">
        <v>55.44</v>
      </c>
    </row>
    <row r="419" spans="1:32" ht="12.75">
      <c r="A419" s="10" t="s">
        <v>750</v>
      </c>
      <c r="B419" s="10"/>
      <c r="C419" s="10" t="s">
        <v>751</v>
      </c>
      <c r="D419" s="10" t="s">
        <v>752</v>
      </c>
      <c r="E419" s="10" t="s">
        <v>108</v>
      </c>
      <c r="F419" s="40">
        <v>218.5</v>
      </c>
      <c r="G419" s="40">
        <v>0</v>
      </c>
      <c r="H419" s="40">
        <f>ROUND(F419*AE419,2)</f>
        <v>0</v>
      </c>
      <c r="I419" s="40">
        <f>J419-H419</f>
        <v>0</v>
      </c>
      <c r="J419" s="40">
        <f>ROUND(F419*G419,2)</f>
        <v>0</v>
      </c>
      <c r="K419" s="40">
        <v>0.001</v>
      </c>
      <c r="L419" s="40">
        <f>F419*K419</f>
        <v>0.2185</v>
      </c>
      <c r="M419" s="41" t="s">
        <v>72</v>
      </c>
      <c r="N419" s="41" t="s">
        <v>47</v>
      </c>
      <c r="O419" s="40">
        <f>IF(N419="5",I419,0)</f>
        <v>0</v>
      </c>
      <c r="Z419" s="40">
        <f>IF(AD419=0,J419,0)</f>
        <v>0</v>
      </c>
      <c r="AA419" s="40">
        <f>IF(AD419=15,J419,0)</f>
        <v>0</v>
      </c>
      <c r="AB419" s="40">
        <f>IF(AD419=21,J419,0)</f>
        <v>0</v>
      </c>
      <c r="AD419" s="40">
        <v>21</v>
      </c>
      <c r="AE419" s="40">
        <f>G419*0.289617486338798</f>
        <v>0</v>
      </c>
      <c r="AF419" s="40">
        <f>G419*(1-0.289617486338798)</f>
        <v>0</v>
      </c>
    </row>
    <row r="420" spans="4:6" ht="12.75">
      <c r="D420" s="44" t="s">
        <v>753</v>
      </c>
      <c r="F420" s="45">
        <v>218.5</v>
      </c>
    </row>
    <row r="421" spans="1:32" ht="12.75">
      <c r="A421" s="10" t="s">
        <v>754</v>
      </c>
      <c r="B421" s="10"/>
      <c r="C421" s="10" t="s">
        <v>755</v>
      </c>
      <c r="D421" s="10" t="s">
        <v>756</v>
      </c>
      <c r="E421" s="10" t="s">
        <v>50</v>
      </c>
      <c r="F421" s="40">
        <v>2</v>
      </c>
      <c r="G421" s="40">
        <v>0</v>
      </c>
      <c r="H421" s="40">
        <f aca="true" t="shared" si="182" ref="H421:H422">ROUND(F421*AE421,2)</f>
        <v>0</v>
      </c>
      <c r="I421" s="40">
        <f aca="true" t="shared" si="183" ref="I421:I422">J421-H421</f>
        <v>0</v>
      </c>
      <c r="J421" s="40">
        <f aca="true" t="shared" si="184" ref="J421:J422">ROUND(F421*G421,2)</f>
        <v>0</v>
      </c>
      <c r="K421" s="40">
        <v>0</v>
      </c>
      <c r="L421" s="40">
        <f aca="true" t="shared" si="185" ref="L421:L422">F421*K421</f>
        <v>0</v>
      </c>
      <c r="M421" s="41"/>
      <c r="N421" s="41" t="s">
        <v>47</v>
      </c>
      <c r="O421" s="40">
        <f aca="true" t="shared" si="186" ref="O421:O422">IF(N421="5",I421,0)</f>
        <v>0</v>
      </c>
      <c r="Z421" s="40">
        <f aca="true" t="shared" si="187" ref="Z421:Z422">IF(AD421=0,J421,0)</f>
        <v>0</v>
      </c>
      <c r="AA421" s="40">
        <f aca="true" t="shared" si="188" ref="AA421:AA422">IF(AD421=15,J421,0)</f>
        <v>0</v>
      </c>
      <c r="AB421" s="40">
        <f aca="true" t="shared" si="189" ref="AB421:AB422">IF(AD421=21,J421,0)</f>
        <v>0</v>
      </c>
      <c r="AD421" s="40">
        <v>21</v>
      </c>
      <c r="AE421" s="40">
        <f>G421*0.289017341040462</f>
        <v>0</v>
      </c>
      <c r="AF421" s="40">
        <f>G421*(1-0.289017341040462)</f>
        <v>0</v>
      </c>
    </row>
    <row r="422" spans="1:32" ht="12.75">
      <c r="A422" s="10" t="s">
        <v>757</v>
      </c>
      <c r="B422" s="10"/>
      <c r="C422" s="10" t="s">
        <v>734</v>
      </c>
      <c r="D422" s="10" t="s">
        <v>758</v>
      </c>
      <c r="E422" s="10" t="s">
        <v>143</v>
      </c>
      <c r="F422" s="40">
        <v>19.8</v>
      </c>
      <c r="G422" s="40">
        <v>0</v>
      </c>
      <c r="H422" s="40">
        <f t="shared" si="182"/>
        <v>0</v>
      </c>
      <c r="I422" s="40">
        <f t="shared" si="183"/>
        <v>0</v>
      </c>
      <c r="J422" s="40">
        <f t="shared" si="184"/>
        <v>0</v>
      </c>
      <c r="K422" s="40">
        <v>0</v>
      </c>
      <c r="L422" s="40">
        <f t="shared" si="185"/>
        <v>0</v>
      </c>
      <c r="M422" s="41"/>
      <c r="N422" s="41" t="s">
        <v>47</v>
      </c>
      <c r="O422" s="40">
        <f t="shared" si="186"/>
        <v>0</v>
      </c>
      <c r="Z422" s="40">
        <f t="shared" si="187"/>
        <v>0</v>
      </c>
      <c r="AA422" s="40">
        <f t="shared" si="188"/>
        <v>0</v>
      </c>
      <c r="AB422" s="40">
        <f t="shared" si="189"/>
        <v>0</v>
      </c>
      <c r="AD422" s="40">
        <v>21</v>
      </c>
      <c r="AE422" s="40">
        <f>G422*0.399425545283188</f>
        <v>0</v>
      </c>
      <c r="AF422" s="40">
        <f>G422*(1-0.399425545283188)</f>
        <v>0</v>
      </c>
    </row>
    <row r="423" spans="4:6" ht="12.75">
      <c r="D423" s="44" t="s">
        <v>759</v>
      </c>
      <c r="F423" s="45">
        <v>19.8</v>
      </c>
    </row>
    <row r="424" spans="1:32" ht="12.75">
      <c r="A424" s="10" t="s">
        <v>760</v>
      </c>
      <c r="B424" s="10"/>
      <c r="C424" s="10" t="s">
        <v>627</v>
      </c>
      <c r="D424" s="10" t="s">
        <v>628</v>
      </c>
      <c r="E424" s="10" t="s">
        <v>113</v>
      </c>
      <c r="F424" s="40">
        <v>1.71</v>
      </c>
      <c r="G424" s="40">
        <v>0</v>
      </c>
      <c r="H424" s="40">
        <f>ROUND(F424*AE424,2)</f>
        <v>0</v>
      </c>
      <c r="I424" s="40">
        <f>J424-H424</f>
        <v>0</v>
      </c>
      <c r="J424" s="40">
        <f>ROUND(F424*G424,2)</f>
        <v>0</v>
      </c>
      <c r="K424" s="40">
        <v>0</v>
      </c>
      <c r="L424" s="40">
        <f>F424*K424</f>
        <v>0</v>
      </c>
      <c r="M424" s="41" t="s">
        <v>72</v>
      </c>
      <c r="N424" s="41" t="s">
        <v>60</v>
      </c>
      <c r="O424" s="40">
        <f>IF(N424="5",I424,0)</f>
        <v>0</v>
      </c>
      <c r="Z424" s="40">
        <f>IF(AD424=0,J424,0)</f>
        <v>0</v>
      </c>
      <c r="AA424" s="40">
        <f>IF(AD424=15,J424,0)</f>
        <v>0</v>
      </c>
      <c r="AB424" s="40">
        <f>IF(AD424=21,J424,0)</f>
        <v>0</v>
      </c>
      <c r="AD424" s="40">
        <v>21</v>
      </c>
      <c r="AE424" s="40">
        <f>G424*0</f>
        <v>0</v>
      </c>
      <c r="AF424" s="40">
        <f>G424*(1-0)</f>
        <v>0</v>
      </c>
    </row>
    <row r="425" spans="1:37" ht="12.75">
      <c r="A425" s="42"/>
      <c r="B425" s="43"/>
      <c r="C425" s="43" t="s">
        <v>761</v>
      </c>
      <c r="D425" s="43" t="s">
        <v>762</v>
      </c>
      <c r="E425" s="43"/>
      <c r="F425" s="43"/>
      <c r="G425" s="43"/>
      <c r="H425" s="39">
        <f>SUM(H426:H443)</f>
        <v>0</v>
      </c>
      <c r="I425" s="39">
        <f>SUM(I426:I443)</f>
        <v>0</v>
      </c>
      <c r="J425" s="39">
        <f>H425+I425</f>
        <v>0</v>
      </c>
      <c r="K425" s="34"/>
      <c r="L425" s="39">
        <f>SUM(L426:L443)</f>
        <v>0.19071199999999996</v>
      </c>
      <c r="M425" s="34"/>
      <c r="P425" s="39">
        <f>IF(Q425="PR",J425,SUM(O426:O443))</f>
        <v>0</v>
      </c>
      <c r="Q425" s="34" t="s">
        <v>317</v>
      </c>
      <c r="R425" s="39">
        <f>IF(Q425="HS",H425,0)</f>
        <v>0</v>
      </c>
      <c r="S425" s="39">
        <f>IF(Q425="HS",I425-P425,0)</f>
        <v>0</v>
      </c>
      <c r="T425" s="39">
        <f>IF(Q425="PS",H425,0)</f>
        <v>0</v>
      </c>
      <c r="U425" s="39">
        <f>IF(Q425="PS",I425-P425,0)</f>
        <v>0</v>
      </c>
      <c r="V425" s="39">
        <f>IF(Q425="MP",H425,0)</f>
        <v>0</v>
      </c>
      <c r="W425" s="39">
        <f>IF(Q425="MP",I425-P425,0)</f>
        <v>0</v>
      </c>
      <c r="X425" s="39">
        <f>IF(Q425="OM",H425,0)</f>
        <v>0</v>
      </c>
      <c r="Y425" s="34"/>
      <c r="AI425" s="39">
        <f>SUM(Z426:Z443)</f>
        <v>0</v>
      </c>
      <c r="AJ425" s="39">
        <f>SUM(AA426:AA443)</f>
        <v>0</v>
      </c>
      <c r="AK425" s="39">
        <f>SUM(AB426:AB443)</f>
        <v>0</v>
      </c>
    </row>
    <row r="426" spans="1:32" ht="12.75">
      <c r="A426" s="10" t="s">
        <v>763</v>
      </c>
      <c r="B426" s="10"/>
      <c r="C426" s="10" t="s">
        <v>764</v>
      </c>
      <c r="D426" s="10" t="s">
        <v>765</v>
      </c>
      <c r="E426" s="10" t="s">
        <v>71</v>
      </c>
      <c r="F426" s="40">
        <v>5.66</v>
      </c>
      <c r="G426" s="40">
        <v>0</v>
      </c>
      <c r="H426" s="40">
        <f>ROUND(F426*AE426,2)</f>
        <v>0</v>
      </c>
      <c r="I426" s="40">
        <f>J426-H426</f>
        <v>0</v>
      </c>
      <c r="J426" s="40">
        <f>ROUND(F426*G426,2)</f>
        <v>0</v>
      </c>
      <c r="K426" s="40">
        <v>0</v>
      </c>
      <c r="L426" s="40">
        <f>F426*K426</f>
        <v>0</v>
      </c>
      <c r="M426" s="41" t="s">
        <v>72</v>
      </c>
      <c r="N426" s="41" t="s">
        <v>47</v>
      </c>
      <c r="O426" s="40">
        <f>IF(N426="5",I426,0)</f>
        <v>0</v>
      </c>
      <c r="Z426" s="40">
        <f>IF(AD426=0,J426,0)</f>
        <v>0</v>
      </c>
      <c r="AA426" s="40">
        <f>IF(AD426=15,J426,0)</f>
        <v>0</v>
      </c>
      <c r="AB426" s="40">
        <f>IF(AD426=21,J426,0)</f>
        <v>0</v>
      </c>
      <c r="AD426" s="40">
        <v>21</v>
      </c>
      <c r="AE426" s="40">
        <f>G426*0</f>
        <v>0</v>
      </c>
      <c r="AF426" s="40">
        <f>G426*(1-0)</f>
        <v>0</v>
      </c>
    </row>
    <row r="427" spans="4:6" ht="12.75">
      <c r="D427" s="44" t="s">
        <v>314</v>
      </c>
      <c r="F427" s="45">
        <v>5.66</v>
      </c>
    </row>
    <row r="428" spans="1:32" ht="12.75">
      <c r="A428" s="10" t="s">
        <v>766</v>
      </c>
      <c r="B428" s="10"/>
      <c r="C428" s="10" t="s">
        <v>767</v>
      </c>
      <c r="D428" s="10" t="s">
        <v>768</v>
      </c>
      <c r="E428" s="10" t="s">
        <v>71</v>
      </c>
      <c r="F428" s="40">
        <v>5.66</v>
      </c>
      <c r="G428" s="40">
        <v>0</v>
      </c>
      <c r="H428" s="40">
        <f>ROUND(F428*AE428,2)</f>
        <v>0</v>
      </c>
      <c r="I428" s="40">
        <f>J428-H428</f>
        <v>0</v>
      </c>
      <c r="J428" s="40">
        <f>ROUND(F428*G428,2)</f>
        <v>0</v>
      </c>
      <c r="K428" s="40">
        <v>0.0016</v>
      </c>
      <c r="L428" s="40">
        <f>F428*K428</f>
        <v>0.009056</v>
      </c>
      <c r="M428" s="41" t="s">
        <v>72</v>
      </c>
      <c r="N428" s="41" t="s">
        <v>47</v>
      </c>
      <c r="O428" s="40">
        <f>IF(N428="5",I428,0)</f>
        <v>0</v>
      </c>
      <c r="Z428" s="40">
        <f>IF(AD428=0,J428,0)</f>
        <v>0</v>
      </c>
      <c r="AA428" s="40">
        <f>IF(AD428=15,J428,0)</f>
        <v>0</v>
      </c>
      <c r="AB428" s="40">
        <f>IF(AD428=21,J428,0)</f>
        <v>0</v>
      </c>
      <c r="AD428" s="40">
        <v>21</v>
      </c>
      <c r="AE428" s="40">
        <f>G428*0.081521115117</f>
        <v>0</v>
      </c>
      <c r="AF428" s="40">
        <f>G428*(1-0.081521115117)</f>
        <v>0</v>
      </c>
    </row>
    <row r="429" spans="4:6" ht="12.75">
      <c r="D429" s="44" t="s">
        <v>769</v>
      </c>
      <c r="F429" s="45">
        <v>1.79</v>
      </c>
    </row>
    <row r="430" spans="4:6" ht="12.75">
      <c r="D430" s="44" t="s">
        <v>770</v>
      </c>
      <c r="F430" s="45">
        <v>1.49</v>
      </c>
    </row>
    <row r="431" spans="4:6" ht="12.75">
      <c r="D431" s="44" t="s">
        <v>771</v>
      </c>
      <c r="F431" s="45">
        <v>2.38</v>
      </c>
    </row>
    <row r="432" spans="1:32" ht="12.75">
      <c r="A432" s="10" t="s">
        <v>772</v>
      </c>
      <c r="B432" s="10"/>
      <c r="C432" s="10" t="s">
        <v>773</v>
      </c>
      <c r="D432" s="10" t="s">
        <v>774</v>
      </c>
      <c r="E432" s="10" t="s">
        <v>143</v>
      </c>
      <c r="F432" s="40">
        <v>5.95</v>
      </c>
      <c r="G432" s="40">
        <v>0</v>
      </c>
      <c r="H432" s="40">
        <f>ROUND(F432*AE432,2)</f>
        <v>0</v>
      </c>
      <c r="I432" s="40">
        <f>J432-H432</f>
        <v>0</v>
      </c>
      <c r="J432" s="40">
        <f>ROUND(F432*G432,2)</f>
        <v>0</v>
      </c>
      <c r="K432" s="40">
        <v>0</v>
      </c>
      <c r="L432" s="40">
        <f>F432*K432</f>
        <v>0</v>
      </c>
      <c r="M432" s="41" t="s">
        <v>72</v>
      </c>
      <c r="N432" s="41" t="s">
        <v>47</v>
      </c>
      <c r="O432" s="40">
        <f>IF(N432="5",I432,0)</f>
        <v>0</v>
      </c>
      <c r="Z432" s="40">
        <f>IF(AD432=0,J432,0)</f>
        <v>0</v>
      </c>
      <c r="AA432" s="40">
        <f>IF(AD432=15,J432,0)</f>
        <v>0</v>
      </c>
      <c r="AB432" s="40">
        <f>IF(AD432=21,J432,0)</f>
        <v>0</v>
      </c>
      <c r="AD432" s="40">
        <v>21</v>
      </c>
      <c r="AE432" s="40">
        <f>G432*0.806310381010964</f>
        <v>0</v>
      </c>
      <c r="AF432" s="40">
        <f>G432*(1-0.806310381010964)</f>
        <v>0</v>
      </c>
    </row>
    <row r="433" spans="4:6" ht="12.75">
      <c r="D433" s="44" t="s">
        <v>775</v>
      </c>
      <c r="F433" s="45">
        <v>5.95</v>
      </c>
    </row>
    <row r="434" spans="1:32" ht="12.75">
      <c r="A434" s="10" t="s">
        <v>776</v>
      </c>
      <c r="B434" s="10"/>
      <c r="C434" s="10" t="s">
        <v>777</v>
      </c>
      <c r="D434" s="10" t="s">
        <v>778</v>
      </c>
      <c r="E434" s="10" t="s">
        <v>71</v>
      </c>
      <c r="F434" s="40">
        <v>6.97</v>
      </c>
      <c r="G434" s="40">
        <v>0</v>
      </c>
      <c r="H434" s="40">
        <f>ROUND(F434*AE434,2)</f>
        <v>0</v>
      </c>
      <c r="I434" s="40">
        <f>J434-H434</f>
        <v>0</v>
      </c>
      <c r="J434" s="40">
        <f>ROUND(F434*G434,2)</f>
        <v>0</v>
      </c>
      <c r="K434" s="40">
        <v>0.0192</v>
      </c>
      <c r="L434" s="40">
        <f>F434*K434</f>
        <v>0.13382399999999997</v>
      </c>
      <c r="M434" s="41" t="s">
        <v>72</v>
      </c>
      <c r="N434" s="41" t="s">
        <v>44</v>
      </c>
      <c r="O434" s="40">
        <f>IF(N434="5",I434,0)</f>
        <v>0</v>
      </c>
      <c r="Z434" s="40">
        <f>IF(AD434=0,J434,0)</f>
        <v>0</v>
      </c>
      <c r="AA434" s="40">
        <f>IF(AD434=15,J434,0)</f>
        <v>0</v>
      </c>
      <c r="AB434" s="40">
        <f>IF(AD434=21,J434,0)</f>
        <v>0</v>
      </c>
      <c r="AD434" s="40">
        <v>21</v>
      </c>
      <c r="AE434" s="40">
        <f>G434*1</f>
        <v>0</v>
      </c>
      <c r="AF434" s="40">
        <f>G434*(1-1)</f>
        <v>0</v>
      </c>
    </row>
    <row r="435" spans="4:6" ht="12.75">
      <c r="D435" s="44" t="s">
        <v>779</v>
      </c>
      <c r="F435" s="45">
        <v>6.34</v>
      </c>
    </row>
    <row r="436" spans="4:6" ht="12.75">
      <c r="D436" s="44" t="s">
        <v>780</v>
      </c>
      <c r="F436" s="45">
        <v>0.63</v>
      </c>
    </row>
    <row r="437" spans="1:32" ht="12.75">
      <c r="A437" s="10" t="s">
        <v>781</v>
      </c>
      <c r="B437" s="10"/>
      <c r="C437" s="10" t="s">
        <v>782</v>
      </c>
      <c r="D437" s="10" t="s">
        <v>783</v>
      </c>
      <c r="E437" s="10" t="s">
        <v>71</v>
      </c>
      <c r="F437" s="40">
        <v>5.66</v>
      </c>
      <c r="G437" s="40">
        <v>0</v>
      </c>
      <c r="H437" s="40">
        <f>ROUND(F437*AE437,2)</f>
        <v>0</v>
      </c>
      <c r="I437" s="40">
        <f>J437-H437</f>
        <v>0</v>
      </c>
      <c r="J437" s="40">
        <f>ROUND(F437*G437,2)</f>
        <v>0</v>
      </c>
      <c r="K437" s="40">
        <v>0.0012</v>
      </c>
      <c r="L437" s="40">
        <f>F437*K437</f>
        <v>0.006791999999999999</v>
      </c>
      <c r="M437" s="41" t="s">
        <v>72</v>
      </c>
      <c r="N437" s="41" t="s">
        <v>47</v>
      </c>
      <c r="O437" s="40">
        <f>IF(N437="5",I437,0)</f>
        <v>0</v>
      </c>
      <c r="Z437" s="40">
        <f>IF(AD437=0,J437,0)</f>
        <v>0</v>
      </c>
      <c r="AA437" s="40">
        <f>IF(AD437=15,J437,0)</f>
        <v>0</v>
      </c>
      <c r="AB437" s="40">
        <f>IF(AD437=21,J437,0)</f>
        <v>0</v>
      </c>
      <c r="AD437" s="40">
        <v>21</v>
      </c>
      <c r="AE437" s="40">
        <f>G437*1</f>
        <v>0</v>
      </c>
      <c r="AF437" s="40">
        <f>G437*(1-1)</f>
        <v>0</v>
      </c>
    </row>
    <row r="438" spans="4:6" ht="12.75">
      <c r="D438" s="44" t="s">
        <v>314</v>
      </c>
      <c r="F438" s="45">
        <v>5.66</v>
      </c>
    </row>
    <row r="439" spans="1:32" ht="12.75">
      <c r="A439" s="10" t="s">
        <v>784</v>
      </c>
      <c r="B439" s="10"/>
      <c r="C439" s="10" t="s">
        <v>785</v>
      </c>
      <c r="D439" s="10" t="s">
        <v>786</v>
      </c>
      <c r="E439" s="10" t="s">
        <v>71</v>
      </c>
      <c r="F439" s="40">
        <v>5.66</v>
      </c>
      <c r="G439" s="40">
        <v>0</v>
      </c>
      <c r="H439" s="40">
        <f>ROUND(F439*AE439,2)</f>
        <v>0</v>
      </c>
      <c r="I439" s="40">
        <f>J439-H439</f>
        <v>0</v>
      </c>
      <c r="J439" s="40">
        <f>ROUND(F439*G439,2)</f>
        <v>0</v>
      </c>
      <c r="K439" s="40">
        <v>0</v>
      </c>
      <c r="L439" s="40">
        <f>F439*K439</f>
        <v>0</v>
      </c>
      <c r="M439" s="41" t="s">
        <v>72</v>
      </c>
      <c r="N439" s="41" t="s">
        <v>47</v>
      </c>
      <c r="O439" s="40">
        <f>IF(N439="5",I439,0)</f>
        <v>0</v>
      </c>
      <c r="Z439" s="40">
        <f>IF(AD439=0,J439,0)</f>
        <v>0</v>
      </c>
      <c r="AA439" s="40">
        <f>IF(AD439=15,J439,0)</f>
        <v>0</v>
      </c>
      <c r="AB439" s="40">
        <f>IF(AD439=21,J439,0)</f>
        <v>0</v>
      </c>
      <c r="AD439" s="40">
        <v>21</v>
      </c>
      <c r="AE439" s="40">
        <f>G439*0</f>
        <v>0</v>
      </c>
      <c r="AF439" s="40">
        <f>G439*(1-0)</f>
        <v>0</v>
      </c>
    </row>
    <row r="440" spans="4:6" ht="12.75">
      <c r="D440" s="44" t="s">
        <v>314</v>
      </c>
      <c r="F440" s="45">
        <v>5.66</v>
      </c>
    </row>
    <row r="441" spans="1:32" ht="12.75">
      <c r="A441" s="10" t="s">
        <v>787</v>
      </c>
      <c r="B441" s="10"/>
      <c r="C441" s="10" t="s">
        <v>788</v>
      </c>
      <c r="D441" s="10" t="s">
        <v>789</v>
      </c>
      <c r="E441" s="10" t="s">
        <v>143</v>
      </c>
      <c r="F441" s="40">
        <v>6.75</v>
      </c>
      <c r="G441" s="40">
        <v>0</v>
      </c>
      <c r="H441" s="40">
        <f>ROUND(F441*AE441,2)</f>
        <v>0</v>
      </c>
      <c r="I441" s="40">
        <f>J441-H441</f>
        <v>0</v>
      </c>
      <c r="J441" s="40">
        <f>ROUND(F441*G441,2)</f>
        <v>0</v>
      </c>
      <c r="K441" s="40">
        <v>0.00608</v>
      </c>
      <c r="L441" s="40">
        <f>F441*K441</f>
        <v>0.04104</v>
      </c>
      <c r="M441" s="41" t="s">
        <v>72</v>
      </c>
      <c r="N441" s="41" t="s">
        <v>47</v>
      </c>
      <c r="O441" s="40">
        <f>IF(N441="5",I441,0)</f>
        <v>0</v>
      </c>
      <c r="Z441" s="40">
        <f>IF(AD441=0,J441,0)</f>
        <v>0</v>
      </c>
      <c r="AA441" s="40">
        <f>IF(AD441=15,J441,0)</f>
        <v>0</v>
      </c>
      <c r="AB441" s="40">
        <f>IF(AD441=21,J441,0)</f>
        <v>0</v>
      </c>
      <c r="AD441" s="40">
        <v>21</v>
      </c>
      <c r="AE441" s="40">
        <f>G441*0.0508338356439622</f>
        <v>0</v>
      </c>
      <c r="AF441" s="40">
        <f>G441*(1-0.0508338356439622)</f>
        <v>0</v>
      </c>
    </row>
    <row r="442" spans="4:6" ht="12.75">
      <c r="D442" s="44" t="s">
        <v>790</v>
      </c>
      <c r="F442" s="45">
        <v>6.75</v>
      </c>
    </row>
    <row r="443" spans="1:32" ht="12.75">
      <c r="A443" s="10" t="s">
        <v>791</v>
      </c>
      <c r="B443" s="10"/>
      <c r="C443" s="10" t="s">
        <v>792</v>
      </c>
      <c r="D443" s="10" t="s">
        <v>793</v>
      </c>
      <c r="E443" s="10" t="s">
        <v>113</v>
      </c>
      <c r="F443" s="40">
        <v>0.19</v>
      </c>
      <c r="G443" s="40">
        <v>0</v>
      </c>
      <c r="H443" s="40">
        <f>ROUND(F443*AE443,2)</f>
        <v>0</v>
      </c>
      <c r="I443" s="40">
        <f>J443-H443</f>
        <v>0</v>
      </c>
      <c r="J443" s="40">
        <f>ROUND(F443*G443,2)</f>
        <v>0</v>
      </c>
      <c r="K443" s="40">
        <v>0</v>
      </c>
      <c r="L443" s="40">
        <f>F443*K443</f>
        <v>0</v>
      </c>
      <c r="M443" s="41" t="s">
        <v>72</v>
      </c>
      <c r="N443" s="41" t="s">
        <v>60</v>
      </c>
      <c r="O443" s="40">
        <f>IF(N443="5",I443,0)</f>
        <v>0</v>
      </c>
      <c r="Z443" s="40">
        <f>IF(AD443=0,J443,0)</f>
        <v>0</v>
      </c>
      <c r="AA443" s="40">
        <f>IF(AD443=15,J443,0)</f>
        <v>0</v>
      </c>
      <c r="AB443" s="40">
        <f>IF(AD443=21,J443,0)</f>
        <v>0</v>
      </c>
      <c r="AD443" s="40">
        <v>21</v>
      </c>
      <c r="AE443" s="40">
        <f>G443*0</f>
        <v>0</v>
      </c>
      <c r="AF443" s="40">
        <f>G443*(1-0)</f>
        <v>0</v>
      </c>
    </row>
    <row r="444" spans="1:37" ht="12.75">
      <c r="A444" s="42"/>
      <c r="B444" s="43"/>
      <c r="C444" s="43" t="s">
        <v>794</v>
      </c>
      <c r="D444" s="43" t="s">
        <v>795</v>
      </c>
      <c r="E444" s="43"/>
      <c r="F444" s="43"/>
      <c r="G444" s="43"/>
      <c r="H444" s="39">
        <f>SUM(H445:H450)</f>
        <v>0</v>
      </c>
      <c r="I444" s="39">
        <f>SUM(I445:I450)</f>
        <v>0</v>
      </c>
      <c r="J444" s="39">
        <f>H444+I444</f>
        <v>0</v>
      </c>
      <c r="K444" s="34"/>
      <c r="L444" s="39">
        <f>SUM(L445:L450)</f>
        <v>0.2103</v>
      </c>
      <c r="M444" s="34"/>
      <c r="P444" s="39">
        <f>IF(Q444="PR",J444,SUM(O445:O450))</f>
        <v>0</v>
      </c>
      <c r="Q444" s="34" t="s">
        <v>317</v>
      </c>
      <c r="R444" s="39">
        <f>IF(Q444="HS",H444,0)</f>
        <v>0</v>
      </c>
      <c r="S444" s="39">
        <f>IF(Q444="HS",I444-P444,0)</f>
        <v>0</v>
      </c>
      <c r="T444" s="39">
        <f>IF(Q444="PS",H444,0)</f>
        <v>0</v>
      </c>
      <c r="U444" s="39">
        <f>IF(Q444="PS",I444-P444,0)</f>
        <v>0</v>
      </c>
      <c r="V444" s="39">
        <f>IF(Q444="MP",H444,0)</f>
        <v>0</v>
      </c>
      <c r="W444" s="39">
        <f>IF(Q444="MP",I444-P444,0)</f>
        <v>0</v>
      </c>
      <c r="X444" s="39">
        <f>IF(Q444="OM",H444,0)</f>
        <v>0</v>
      </c>
      <c r="Y444" s="34"/>
      <c r="AI444" s="39">
        <f>SUM(Z445:Z450)</f>
        <v>0</v>
      </c>
      <c r="AJ444" s="39">
        <f>SUM(AA445:AA450)</f>
        <v>0</v>
      </c>
      <c r="AK444" s="39">
        <f>SUM(AB445:AB450)</f>
        <v>0</v>
      </c>
    </row>
    <row r="445" spans="1:32" ht="12.75">
      <c r="A445" s="10" t="s">
        <v>796</v>
      </c>
      <c r="B445" s="10"/>
      <c r="C445" s="10" t="s">
        <v>797</v>
      </c>
      <c r="D445" s="10" t="s">
        <v>798</v>
      </c>
      <c r="E445" s="10" t="s">
        <v>143</v>
      </c>
      <c r="F445" s="40">
        <v>20.4</v>
      </c>
      <c r="G445" s="40">
        <v>0</v>
      </c>
      <c r="H445" s="40">
        <f>ROUND(F445*AE445,2)</f>
        <v>0</v>
      </c>
      <c r="I445" s="40">
        <f>J445-H445</f>
        <v>0</v>
      </c>
      <c r="J445" s="40">
        <f>ROUND(F445*G445,2)</f>
        <v>0</v>
      </c>
      <c r="K445" s="40">
        <v>0.00635</v>
      </c>
      <c r="L445" s="40">
        <f>F445*K445</f>
        <v>0.12954</v>
      </c>
      <c r="M445" s="41" t="s">
        <v>72</v>
      </c>
      <c r="N445" s="41" t="s">
        <v>54</v>
      </c>
      <c r="O445" s="40">
        <f>IF(N445="5",I445,0)</f>
        <v>0</v>
      </c>
      <c r="Z445" s="40">
        <f>IF(AD445=0,J445,0)</f>
        <v>0</v>
      </c>
      <c r="AA445" s="40">
        <f>IF(AD445=15,J445,0)</f>
        <v>0</v>
      </c>
      <c r="AB445" s="40">
        <f>IF(AD445=21,J445,0)</f>
        <v>0</v>
      </c>
      <c r="AD445" s="40">
        <v>21</v>
      </c>
      <c r="AE445" s="40">
        <f>G445*0.488994223078063</f>
        <v>0</v>
      </c>
      <c r="AF445" s="40">
        <f>G445*(1-0.488994223078063)</f>
        <v>0</v>
      </c>
    </row>
    <row r="446" spans="4:6" ht="12.75">
      <c r="D446" s="44" t="s">
        <v>799</v>
      </c>
      <c r="F446" s="45">
        <v>20.4</v>
      </c>
    </row>
    <row r="447" spans="1:32" ht="12.75">
      <c r="A447" s="10" t="s">
        <v>800</v>
      </c>
      <c r="B447" s="10"/>
      <c r="C447" s="10" t="s">
        <v>137</v>
      </c>
      <c r="D447" s="10" t="s">
        <v>801</v>
      </c>
      <c r="E447" s="10" t="s">
        <v>71</v>
      </c>
      <c r="F447" s="40">
        <v>6.73</v>
      </c>
      <c r="G447" s="40">
        <v>0</v>
      </c>
      <c r="H447" s="40">
        <f>ROUND(F447*AE447,2)</f>
        <v>0</v>
      </c>
      <c r="I447" s="40">
        <f>J447-H447</f>
        <v>0</v>
      </c>
      <c r="J447" s="40">
        <f>ROUND(F447*G447,2)</f>
        <v>0</v>
      </c>
      <c r="K447" s="40">
        <v>0.012</v>
      </c>
      <c r="L447" s="40">
        <f>F447*K447</f>
        <v>0.08076000000000001</v>
      </c>
      <c r="M447" s="41"/>
      <c r="N447" s="41" t="s">
        <v>44</v>
      </c>
      <c r="O447" s="40">
        <f>IF(N447="5",I447,0)</f>
        <v>0</v>
      </c>
      <c r="Z447" s="40">
        <f>IF(AD447=0,J447,0)</f>
        <v>0</v>
      </c>
      <c r="AA447" s="40">
        <f>IF(AD447=15,J447,0)</f>
        <v>0</v>
      </c>
      <c r="AB447" s="40">
        <f>IF(AD447=21,J447,0)</f>
        <v>0</v>
      </c>
      <c r="AD447" s="40">
        <v>21</v>
      </c>
      <c r="AE447" s="40">
        <f>G447*1</f>
        <v>0</v>
      </c>
      <c r="AF447" s="40">
        <f>G447*(1-1)</f>
        <v>0</v>
      </c>
    </row>
    <row r="448" spans="4:6" ht="12.75">
      <c r="D448" s="44" t="s">
        <v>802</v>
      </c>
      <c r="F448" s="45">
        <v>6.12</v>
      </c>
    </row>
    <row r="449" spans="4:6" ht="12.75">
      <c r="D449" s="44" t="s">
        <v>803</v>
      </c>
      <c r="F449" s="45">
        <v>0.61</v>
      </c>
    </row>
    <row r="450" spans="1:32" ht="12.75">
      <c r="A450" s="10" t="s">
        <v>804</v>
      </c>
      <c r="B450" s="10"/>
      <c r="C450" s="10" t="s">
        <v>805</v>
      </c>
      <c r="D450" s="10" t="s">
        <v>806</v>
      </c>
      <c r="E450" s="10" t="s">
        <v>113</v>
      </c>
      <c r="F450" s="40">
        <v>0.21</v>
      </c>
      <c r="G450" s="40">
        <v>0</v>
      </c>
      <c r="H450" s="40">
        <f>ROUND(F450*AE450,2)</f>
        <v>0</v>
      </c>
      <c r="I450" s="40">
        <f>J450-H450</f>
        <v>0</v>
      </c>
      <c r="J450" s="40">
        <f>ROUND(F450*G450,2)</f>
        <v>0</v>
      </c>
      <c r="K450" s="40">
        <v>0</v>
      </c>
      <c r="L450" s="40">
        <f>F450*K450</f>
        <v>0</v>
      </c>
      <c r="M450" s="41" t="s">
        <v>72</v>
      </c>
      <c r="N450" s="41" t="s">
        <v>60</v>
      </c>
      <c r="O450" s="40">
        <f>IF(N450="5",I450,0)</f>
        <v>0</v>
      </c>
      <c r="Z450" s="40">
        <f>IF(AD450=0,J450,0)</f>
        <v>0</v>
      </c>
      <c r="AA450" s="40">
        <f>IF(AD450=15,J450,0)</f>
        <v>0</v>
      </c>
      <c r="AB450" s="40">
        <f>IF(AD450=21,J450,0)</f>
        <v>0</v>
      </c>
      <c r="AD450" s="40">
        <v>21</v>
      </c>
      <c r="AE450" s="40">
        <f>G450*0</f>
        <v>0</v>
      </c>
      <c r="AF450" s="40">
        <f>G450*(1-0)</f>
        <v>0</v>
      </c>
    </row>
    <row r="451" spans="1:37" ht="12.75">
      <c r="A451" s="42"/>
      <c r="B451" s="43"/>
      <c r="C451" s="43" t="s">
        <v>807</v>
      </c>
      <c r="D451" s="43" t="s">
        <v>808</v>
      </c>
      <c r="E451" s="43"/>
      <c r="F451" s="43"/>
      <c r="G451" s="43"/>
      <c r="H451" s="39">
        <f>SUM(H452:H452)</f>
        <v>0</v>
      </c>
      <c r="I451" s="39">
        <f>SUM(I452:I452)</f>
        <v>0</v>
      </c>
      <c r="J451" s="39">
        <f>H451+I451</f>
        <v>0</v>
      </c>
      <c r="K451" s="34"/>
      <c r="L451" s="39">
        <f>SUM(L452:L452)</f>
        <v>0.0334972</v>
      </c>
      <c r="M451" s="34"/>
      <c r="P451" s="39">
        <f>IF(Q451="PR",J451,SUM(O452:O452))</f>
        <v>0</v>
      </c>
      <c r="Q451" s="34" t="s">
        <v>317</v>
      </c>
      <c r="R451" s="39">
        <f>IF(Q451="HS",H451,0)</f>
        <v>0</v>
      </c>
      <c r="S451" s="39">
        <f>IF(Q451="HS",I451-P451,0)</f>
        <v>0</v>
      </c>
      <c r="T451" s="39">
        <f>IF(Q451="PS",H451,0)</f>
        <v>0</v>
      </c>
      <c r="U451" s="39">
        <f>IF(Q451="PS",I451-P451,0)</f>
        <v>0</v>
      </c>
      <c r="V451" s="39">
        <f>IF(Q451="MP",H451,0)</f>
        <v>0</v>
      </c>
      <c r="W451" s="39">
        <f>IF(Q451="MP",I451-P451,0)</f>
        <v>0</v>
      </c>
      <c r="X451" s="39">
        <f>IF(Q451="OM",H451,0)</f>
        <v>0</v>
      </c>
      <c r="Y451" s="34"/>
      <c r="AI451" s="39">
        <f>SUM(Z452:Z452)</f>
        <v>0</v>
      </c>
      <c r="AJ451" s="39">
        <f>SUM(AA452:AA452)</f>
        <v>0</v>
      </c>
      <c r="AK451" s="39">
        <f>SUM(AB452:AB452)</f>
        <v>0</v>
      </c>
    </row>
    <row r="452" spans="1:32" ht="12.75">
      <c r="A452" s="10" t="s">
        <v>809</v>
      </c>
      <c r="B452" s="10"/>
      <c r="C452" s="10" t="s">
        <v>810</v>
      </c>
      <c r="D452" s="10" t="s">
        <v>811</v>
      </c>
      <c r="E452" s="10" t="s">
        <v>71</v>
      </c>
      <c r="F452" s="40">
        <v>76.13</v>
      </c>
      <c r="G452" s="40">
        <v>0</v>
      </c>
      <c r="H452" s="40">
        <f>ROUND(F452*AE452,2)</f>
        <v>0</v>
      </c>
      <c r="I452" s="40">
        <f>J452-H452</f>
        <v>0</v>
      </c>
      <c r="J452" s="40">
        <f>ROUND(F452*G452,2)</f>
        <v>0</v>
      </c>
      <c r="K452" s="40">
        <v>0.00044</v>
      </c>
      <c r="L452" s="40">
        <f>F452*K452</f>
        <v>0.0334972</v>
      </c>
      <c r="M452" s="41"/>
      <c r="N452" s="41" t="s">
        <v>47</v>
      </c>
      <c r="O452" s="40">
        <f>IF(N452="5",I452,0)</f>
        <v>0</v>
      </c>
      <c r="Z452" s="40">
        <f>IF(AD452=0,J452,0)</f>
        <v>0</v>
      </c>
      <c r="AA452" s="40">
        <f>IF(AD452=15,J452,0)</f>
        <v>0</v>
      </c>
      <c r="AB452" s="40">
        <f>IF(AD452=21,J452,0)</f>
        <v>0</v>
      </c>
      <c r="AD452" s="40">
        <v>21</v>
      </c>
      <c r="AE452" s="40">
        <f>G452*0.446624875079495</f>
        <v>0</v>
      </c>
      <c r="AF452" s="40">
        <f>G452*(1-0.446624875079495)</f>
        <v>0</v>
      </c>
    </row>
    <row r="453" spans="4:6" ht="12.75">
      <c r="D453" s="44" t="s">
        <v>812</v>
      </c>
      <c r="F453" s="45">
        <v>17.38</v>
      </c>
    </row>
    <row r="454" spans="4:6" ht="12.75">
      <c r="D454" s="44" t="s">
        <v>813</v>
      </c>
      <c r="F454" s="45">
        <v>3.46</v>
      </c>
    </row>
    <row r="455" spans="4:6" ht="12.75">
      <c r="D455" s="44" t="s">
        <v>814</v>
      </c>
      <c r="F455" s="45">
        <v>1.08</v>
      </c>
    </row>
    <row r="456" spans="4:6" ht="12.75">
      <c r="D456" s="44" t="s">
        <v>815</v>
      </c>
      <c r="F456" s="45">
        <v>0.17</v>
      </c>
    </row>
    <row r="457" spans="4:6" ht="12.75">
      <c r="D457" s="44" t="s">
        <v>816</v>
      </c>
      <c r="F457" s="45">
        <v>1.68</v>
      </c>
    </row>
    <row r="458" spans="4:6" ht="12.75">
      <c r="D458" s="44" t="s">
        <v>817</v>
      </c>
      <c r="F458" s="45">
        <v>0.8</v>
      </c>
    </row>
    <row r="459" spans="4:6" ht="12.75">
      <c r="D459" s="44" t="s">
        <v>818</v>
      </c>
      <c r="F459" s="45">
        <v>47.52</v>
      </c>
    </row>
    <row r="460" spans="4:6" ht="12.75">
      <c r="D460" s="44" t="s">
        <v>819</v>
      </c>
      <c r="F460" s="45">
        <v>2.88</v>
      </c>
    </row>
    <row r="461" spans="4:6" ht="12.75">
      <c r="D461" s="44" t="s">
        <v>820</v>
      </c>
      <c r="F461" s="45">
        <v>1.16</v>
      </c>
    </row>
    <row r="462" spans="1:37" ht="12.75">
      <c r="A462" s="42"/>
      <c r="B462" s="43"/>
      <c r="C462" s="43" t="s">
        <v>821</v>
      </c>
      <c r="D462" s="43" t="s">
        <v>822</v>
      </c>
      <c r="E462" s="43"/>
      <c r="F462" s="43"/>
      <c r="G462" s="43"/>
      <c r="H462" s="39">
        <f>SUM(H463:H463)</f>
        <v>0</v>
      </c>
      <c r="I462" s="39">
        <f>SUM(I463:I463)</f>
        <v>0</v>
      </c>
      <c r="J462" s="39">
        <f>H462+I462</f>
        <v>0</v>
      </c>
      <c r="K462" s="34"/>
      <c r="L462" s="39">
        <f>SUM(L463:L463)</f>
        <v>0.077</v>
      </c>
      <c r="M462" s="34"/>
      <c r="P462" s="39">
        <f>IF(Q462="PR",J462,SUM(O463:O463))</f>
        <v>0</v>
      </c>
      <c r="Q462" s="34" t="s">
        <v>317</v>
      </c>
      <c r="R462" s="39">
        <f>IF(Q462="HS",H462,0)</f>
        <v>0</v>
      </c>
      <c r="S462" s="39">
        <f>IF(Q462="HS",I462-P462,0)</f>
        <v>0</v>
      </c>
      <c r="T462" s="39">
        <f>IF(Q462="PS",H462,0)</f>
        <v>0</v>
      </c>
      <c r="U462" s="39">
        <f>IF(Q462="PS",I462-P462,0)</f>
        <v>0</v>
      </c>
      <c r="V462" s="39">
        <f>IF(Q462="MP",H462,0)</f>
        <v>0</v>
      </c>
      <c r="W462" s="39">
        <f>IF(Q462="MP",I462-P462,0)</f>
        <v>0</v>
      </c>
      <c r="X462" s="39">
        <f>IF(Q462="OM",H462,0)</f>
        <v>0</v>
      </c>
      <c r="Y462" s="34"/>
      <c r="AI462" s="39">
        <f>SUM(Z463:Z463)</f>
        <v>0</v>
      </c>
      <c r="AJ462" s="39">
        <f>SUM(AA463:AA463)</f>
        <v>0</v>
      </c>
      <c r="AK462" s="39">
        <f>SUM(AB463:AB463)</f>
        <v>0</v>
      </c>
    </row>
    <row r="463" spans="1:32" ht="12.75">
      <c r="A463" s="10" t="s">
        <v>823</v>
      </c>
      <c r="B463" s="10"/>
      <c r="C463" s="10" t="s">
        <v>824</v>
      </c>
      <c r="D463" s="10" t="s">
        <v>825</v>
      </c>
      <c r="E463" s="10" t="s">
        <v>71</v>
      </c>
      <c r="F463" s="40">
        <v>350</v>
      </c>
      <c r="G463" s="40">
        <v>0</v>
      </c>
      <c r="H463" s="40">
        <f>ROUND(F463*AE463,2)</f>
        <v>0</v>
      </c>
      <c r="I463" s="40">
        <f>J463-H463</f>
        <v>0</v>
      </c>
      <c r="J463" s="40">
        <f>ROUND(F463*G463,2)</f>
        <v>0</v>
      </c>
      <c r="K463" s="40">
        <v>0.00022</v>
      </c>
      <c r="L463" s="40">
        <f>F463*K463</f>
        <v>0.077</v>
      </c>
      <c r="M463" s="41"/>
      <c r="N463" s="41" t="s">
        <v>47</v>
      </c>
      <c r="O463" s="40">
        <f>IF(N463="5",I463,0)</f>
        <v>0</v>
      </c>
      <c r="Z463" s="40">
        <f>IF(AD463=0,J463,0)</f>
        <v>0</v>
      </c>
      <c r="AA463" s="40">
        <f>IF(AD463=15,J463,0)</f>
        <v>0</v>
      </c>
      <c r="AB463" s="40">
        <f>IF(AD463=21,J463,0)</f>
        <v>0</v>
      </c>
      <c r="AD463" s="40">
        <v>21</v>
      </c>
      <c r="AE463" s="40">
        <f>G463*0.187971882322312</f>
        <v>0</v>
      </c>
      <c r="AF463" s="40">
        <f>G463*(1-0.187971882322312)</f>
        <v>0</v>
      </c>
    </row>
    <row r="464" spans="4:6" ht="12.75">
      <c r="D464" s="44" t="s">
        <v>826</v>
      </c>
      <c r="F464" s="45">
        <v>350</v>
      </c>
    </row>
    <row r="465" spans="1:37" ht="12.75">
      <c r="A465" s="42"/>
      <c r="B465" s="43"/>
      <c r="C465" s="43" t="s">
        <v>439</v>
      </c>
      <c r="D465" s="43" t="s">
        <v>827</v>
      </c>
      <c r="E465" s="43"/>
      <c r="F465" s="43"/>
      <c r="G465" s="43"/>
      <c r="H465" s="39">
        <f>SUM(H466:H469)</f>
        <v>0</v>
      </c>
      <c r="I465" s="39">
        <f>SUM(I466:I469)</f>
        <v>0</v>
      </c>
      <c r="J465" s="39">
        <f>H465+I465</f>
        <v>0</v>
      </c>
      <c r="K465" s="34"/>
      <c r="L465" s="39">
        <f>SUM(L466:L469)</f>
        <v>0</v>
      </c>
      <c r="M465" s="34"/>
      <c r="P465" s="39">
        <f>IF(Q465="PR",J465,SUM(O466:O469))</f>
        <v>0</v>
      </c>
      <c r="Q465" s="34" t="s">
        <v>46</v>
      </c>
      <c r="R465" s="39">
        <f>IF(Q465="HS",H465,0)</f>
        <v>0</v>
      </c>
      <c r="S465" s="39">
        <f>IF(Q465="HS",I465-P465,0)</f>
        <v>0</v>
      </c>
      <c r="T465" s="39">
        <f>IF(Q465="PS",H465,0)</f>
        <v>0</v>
      </c>
      <c r="U465" s="39">
        <f>IF(Q465="PS",I465-P465,0)</f>
        <v>0</v>
      </c>
      <c r="V465" s="39">
        <f>IF(Q465="MP",H465,0)</f>
        <v>0</v>
      </c>
      <c r="W465" s="39">
        <f>IF(Q465="MP",I465-P465,0)</f>
        <v>0</v>
      </c>
      <c r="X465" s="39">
        <f>IF(Q465="OM",H465,0)</f>
        <v>0</v>
      </c>
      <c r="Y465" s="34"/>
      <c r="AI465" s="39">
        <f>SUM(Z466:Z469)</f>
        <v>0</v>
      </c>
      <c r="AJ465" s="39">
        <f>SUM(AA466:AA469)</f>
        <v>0</v>
      </c>
      <c r="AK465" s="39">
        <f>SUM(AB466:AB469)</f>
        <v>0</v>
      </c>
    </row>
    <row r="466" spans="1:32" ht="12.75">
      <c r="A466" s="10" t="s">
        <v>828</v>
      </c>
      <c r="B466" s="10"/>
      <c r="C466" s="10" t="s">
        <v>829</v>
      </c>
      <c r="D466" s="10" t="s">
        <v>624</v>
      </c>
      <c r="E466" s="10" t="s">
        <v>625</v>
      </c>
      <c r="F466" s="40">
        <v>30</v>
      </c>
      <c r="G466" s="40">
        <v>0</v>
      </c>
      <c r="H466" s="40">
        <f aca="true" t="shared" si="190" ref="H466:H469">ROUND(F466*AE466,2)</f>
        <v>0</v>
      </c>
      <c r="I466" s="40">
        <f aca="true" t="shared" si="191" ref="I466:I469">J466-H466</f>
        <v>0</v>
      </c>
      <c r="J466" s="40">
        <f aca="true" t="shared" si="192" ref="J466:J469">ROUND(F466*G466,2)</f>
        <v>0</v>
      </c>
      <c r="K466" s="40">
        <v>0</v>
      </c>
      <c r="L466" s="40">
        <f aca="true" t="shared" si="193" ref="L466:L469">F466*K466</f>
        <v>0</v>
      </c>
      <c r="M466" s="41" t="s">
        <v>72</v>
      </c>
      <c r="N466" s="41" t="s">
        <v>47</v>
      </c>
      <c r="O466" s="40">
        <f aca="true" t="shared" si="194" ref="O466:O469">IF(N466="5",I466,0)</f>
        <v>0</v>
      </c>
      <c r="Z466" s="40">
        <f aca="true" t="shared" si="195" ref="Z466:Z469">IF(AD466=0,J466,0)</f>
        <v>0</v>
      </c>
      <c r="AA466" s="40">
        <f aca="true" t="shared" si="196" ref="AA466:AA469">IF(AD466=15,J466,0)</f>
        <v>0</v>
      </c>
      <c r="AB466" s="40">
        <f aca="true" t="shared" si="197" ref="AB466:AB469">IF(AD466=21,J466,0)</f>
        <v>0</v>
      </c>
      <c r="AD466" s="40">
        <v>21</v>
      </c>
      <c r="AE466" s="40">
        <f aca="true" t="shared" si="198" ref="AE466:AE469">G466*0</f>
        <v>0</v>
      </c>
      <c r="AF466" s="40">
        <f aca="true" t="shared" si="199" ref="AF466:AF469">G466*(1-0)</f>
        <v>0</v>
      </c>
    </row>
    <row r="467" spans="1:32" ht="12.75">
      <c r="A467" s="10" t="s">
        <v>830</v>
      </c>
      <c r="B467" s="10"/>
      <c r="C467" s="10" t="s">
        <v>623</v>
      </c>
      <c r="D467" s="10" t="s">
        <v>624</v>
      </c>
      <c r="E467" s="10" t="s">
        <v>625</v>
      </c>
      <c r="F467" s="40">
        <v>30</v>
      </c>
      <c r="G467" s="40">
        <v>0</v>
      </c>
      <c r="H467" s="40">
        <f t="shared" si="190"/>
        <v>0</v>
      </c>
      <c r="I467" s="40">
        <f t="shared" si="191"/>
        <v>0</v>
      </c>
      <c r="J467" s="40">
        <f t="shared" si="192"/>
        <v>0</v>
      </c>
      <c r="K467" s="40">
        <v>0</v>
      </c>
      <c r="L467" s="40">
        <f t="shared" si="193"/>
        <v>0</v>
      </c>
      <c r="M467" s="41" t="s">
        <v>72</v>
      </c>
      <c r="N467" s="41" t="s">
        <v>47</v>
      </c>
      <c r="O467" s="40">
        <f t="shared" si="194"/>
        <v>0</v>
      </c>
      <c r="Z467" s="40">
        <f t="shared" si="195"/>
        <v>0</v>
      </c>
      <c r="AA467" s="40">
        <f t="shared" si="196"/>
        <v>0</v>
      </c>
      <c r="AB467" s="40">
        <f t="shared" si="197"/>
        <v>0</v>
      </c>
      <c r="AD467" s="40">
        <v>21</v>
      </c>
      <c r="AE467" s="40">
        <f t="shared" si="198"/>
        <v>0</v>
      </c>
      <c r="AF467" s="40">
        <f t="shared" si="199"/>
        <v>0</v>
      </c>
    </row>
    <row r="468" spans="1:32" ht="12.75">
      <c r="A468" s="10" t="s">
        <v>831</v>
      </c>
      <c r="B468" s="10"/>
      <c r="C468" s="10" t="s">
        <v>832</v>
      </c>
      <c r="D468" s="10" t="s">
        <v>624</v>
      </c>
      <c r="E468" s="10" t="s">
        <v>625</v>
      </c>
      <c r="F468" s="40">
        <v>30</v>
      </c>
      <c r="G468" s="40">
        <v>0</v>
      </c>
      <c r="H468" s="40">
        <f t="shared" si="190"/>
        <v>0</v>
      </c>
      <c r="I468" s="40">
        <f t="shared" si="191"/>
        <v>0</v>
      </c>
      <c r="J468" s="40">
        <f t="shared" si="192"/>
        <v>0</v>
      </c>
      <c r="K468" s="40">
        <v>0</v>
      </c>
      <c r="L468" s="40">
        <f t="shared" si="193"/>
        <v>0</v>
      </c>
      <c r="M468" s="41" t="s">
        <v>72</v>
      </c>
      <c r="N468" s="41" t="s">
        <v>47</v>
      </c>
      <c r="O468" s="40">
        <f t="shared" si="194"/>
        <v>0</v>
      </c>
      <c r="Z468" s="40">
        <f t="shared" si="195"/>
        <v>0</v>
      </c>
      <c r="AA468" s="40">
        <f t="shared" si="196"/>
        <v>0</v>
      </c>
      <c r="AB468" s="40">
        <f t="shared" si="197"/>
        <v>0</v>
      </c>
      <c r="AD468" s="40">
        <v>21</v>
      </c>
      <c r="AE468" s="40">
        <f t="shared" si="198"/>
        <v>0</v>
      </c>
      <c r="AF468" s="40">
        <f t="shared" si="199"/>
        <v>0</v>
      </c>
    </row>
    <row r="469" spans="1:32" ht="12.75">
      <c r="A469" s="10" t="s">
        <v>833</v>
      </c>
      <c r="B469" s="10"/>
      <c r="C469" s="10" t="s">
        <v>834</v>
      </c>
      <c r="D469" s="10" t="s">
        <v>835</v>
      </c>
      <c r="E469" s="10" t="s">
        <v>625</v>
      </c>
      <c r="F469" s="40">
        <v>50</v>
      </c>
      <c r="G469" s="40">
        <v>0</v>
      </c>
      <c r="H469" s="40">
        <f t="shared" si="190"/>
        <v>0</v>
      </c>
      <c r="I469" s="40">
        <f t="shared" si="191"/>
        <v>0</v>
      </c>
      <c r="J469" s="40">
        <f t="shared" si="192"/>
        <v>0</v>
      </c>
      <c r="K469" s="40">
        <v>0</v>
      </c>
      <c r="L469" s="40">
        <f t="shared" si="193"/>
        <v>0</v>
      </c>
      <c r="M469" s="41" t="s">
        <v>72</v>
      </c>
      <c r="N469" s="41" t="s">
        <v>47</v>
      </c>
      <c r="O469" s="40">
        <f t="shared" si="194"/>
        <v>0</v>
      </c>
      <c r="Z469" s="40">
        <f t="shared" si="195"/>
        <v>0</v>
      </c>
      <c r="AA469" s="40">
        <f t="shared" si="196"/>
        <v>0</v>
      </c>
      <c r="AB469" s="40">
        <f t="shared" si="197"/>
        <v>0</v>
      </c>
      <c r="AD469" s="40">
        <v>21</v>
      </c>
      <c r="AE469" s="40">
        <f t="shared" si="198"/>
        <v>0</v>
      </c>
      <c r="AF469" s="40">
        <f t="shared" si="199"/>
        <v>0</v>
      </c>
    </row>
    <row r="470" spans="1:37" ht="12.75">
      <c r="A470" s="42"/>
      <c r="B470" s="43"/>
      <c r="C470" s="43" t="s">
        <v>443</v>
      </c>
      <c r="D470" s="43" t="s">
        <v>836</v>
      </c>
      <c r="E470" s="43"/>
      <c r="F470" s="43"/>
      <c r="G470" s="43"/>
      <c r="H470" s="39">
        <f>SUM(H471:H474)</f>
        <v>0</v>
      </c>
      <c r="I470" s="39">
        <f>SUM(I471:I474)</f>
        <v>0</v>
      </c>
      <c r="J470" s="39">
        <f>H470+I470</f>
        <v>0</v>
      </c>
      <c r="K470" s="34"/>
      <c r="L470" s="39">
        <f>SUM(L471:L474)</f>
        <v>1.660271</v>
      </c>
      <c r="M470" s="34"/>
      <c r="P470" s="39">
        <f>IF(Q470="PR",J470,SUM(O471:O474))</f>
        <v>0</v>
      </c>
      <c r="Q470" s="34" t="s">
        <v>46</v>
      </c>
      <c r="R470" s="39">
        <f>IF(Q470="HS",H470,0)</f>
        <v>0</v>
      </c>
      <c r="S470" s="39">
        <f>IF(Q470="HS",I470-P470,0)</f>
        <v>0</v>
      </c>
      <c r="T470" s="39">
        <f>IF(Q470="PS",H470,0)</f>
        <v>0</v>
      </c>
      <c r="U470" s="39">
        <f>IF(Q470="PS",I470-P470,0)</f>
        <v>0</v>
      </c>
      <c r="V470" s="39">
        <f>IF(Q470="MP",H470,0)</f>
        <v>0</v>
      </c>
      <c r="W470" s="39">
        <f>IF(Q470="MP",I470-P470,0)</f>
        <v>0</v>
      </c>
      <c r="X470" s="39">
        <f>IF(Q470="OM",H470,0)</f>
        <v>0</v>
      </c>
      <c r="Y470" s="34"/>
      <c r="AI470" s="39">
        <f>SUM(Z471:Z474)</f>
        <v>0</v>
      </c>
      <c r="AJ470" s="39">
        <f>SUM(AA471:AA474)</f>
        <v>0</v>
      </c>
      <c r="AK470" s="39">
        <f>SUM(AB471:AB474)</f>
        <v>0</v>
      </c>
    </row>
    <row r="471" spans="1:32" ht="12.75">
      <c r="A471" s="10" t="s">
        <v>837</v>
      </c>
      <c r="B471" s="10"/>
      <c r="C471" s="10" t="s">
        <v>838</v>
      </c>
      <c r="D471" s="10" t="s">
        <v>839</v>
      </c>
      <c r="E471" s="10" t="s">
        <v>143</v>
      </c>
      <c r="F471" s="40">
        <v>9.5</v>
      </c>
      <c r="G471" s="40">
        <v>0</v>
      </c>
      <c r="H471" s="40">
        <f>ROUND(F471*AE471,2)</f>
        <v>0</v>
      </c>
      <c r="I471" s="40">
        <f>J471-H471</f>
        <v>0</v>
      </c>
      <c r="J471" s="40">
        <f>ROUND(F471*G471,2)</f>
        <v>0</v>
      </c>
      <c r="K471" s="40">
        <v>0</v>
      </c>
      <c r="L471" s="40">
        <f>F471*K471</f>
        <v>0</v>
      </c>
      <c r="M471" s="41" t="s">
        <v>72</v>
      </c>
      <c r="N471" s="41" t="s">
        <v>47</v>
      </c>
      <c r="O471" s="40">
        <f>IF(N471="5",I471,0)</f>
        <v>0</v>
      </c>
      <c r="Z471" s="40">
        <f>IF(AD471=0,J471,0)</f>
        <v>0</v>
      </c>
      <c r="AA471" s="40">
        <f>IF(AD471=15,J471,0)</f>
        <v>0</v>
      </c>
      <c r="AB471" s="40">
        <f>IF(AD471=21,J471,0)</f>
        <v>0</v>
      </c>
      <c r="AD471" s="40">
        <v>21</v>
      </c>
      <c r="AE471" s="40">
        <f>G471*0.68564087924636</f>
        <v>0</v>
      </c>
      <c r="AF471" s="40">
        <f>G471*(1-0.68564087924636)</f>
        <v>0</v>
      </c>
    </row>
    <row r="472" spans="4:6" ht="12.75">
      <c r="D472" s="44" t="s">
        <v>840</v>
      </c>
      <c r="F472" s="45">
        <v>3.7</v>
      </c>
    </row>
    <row r="473" spans="4:6" ht="12.75">
      <c r="D473" s="44" t="s">
        <v>841</v>
      </c>
      <c r="F473" s="45">
        <v>5.8</v>
      </c>
    </row>
    <row r="474" spans="1:32" ht="12.75">
      <c r="A474" s="10" t="s">
        <v>842</v>
      </c>
      <c r="B474" s="10"/>
      <c r="C474" s="10" t="s">
        <v>843</v>
      </c>
      <c r="D474" s="10" t="s">
        <v>844</v>
      </c>
      <c r="E474" s="10" t="s">
        <v>143</v>
      </c>
      <c r="F474" s="40">
        <v>12.7</v>
      </c>
      <c r="G474" s="40">
        <v>0</v>
      </c>
      <c r="H474" s="40">
        <f>ROUND(F474*AE474,2)</f>
        <v>0</v>
      </c>
      <c r="I474" s="40">
        <f>J474-H474</f>
        <v>0</v>
      </c>
      <c r="J474" s="40">
        <f>ROUND(F474*G474,2)</f>
        <v>0</v>
      </c>
      <c r="K474" s="40">
        <v>0.13073</v>
      </c>
      <c r="L474" s="40">
        <f>F474*K474</f>
        <v>1.660271</v>
      </c>
      <c r="M474" s="41" t="s">
        <v>72</v>
      </c>
      <c r="N474" s="41" t="s">
        <v>47</v>
      </c>
      <c r="O474" s="40">
        <f>IF(N474="5",I474,0)</f>
        <v>0</v>
      </c>
      <c r="Z474" s="40">
        <f>IF(AD474=0,J474,0)</f>
        <v>0</v>
      </c>
      <c r="AA474" s="40">
        <f>IF(AD474=15,J474,0)</f>
        <v>0</v>
      </c>
      <c r="AB474" s="40">
        <f>IF(AD474=21,J474,0)</f>
        <v>0</v>
      </c>
      <c r="AD474" s="40">
        <v>21</v>
      </c>
      <c r="AE474" s="40">
        <f>G474*0.815559101298029</f>
        <v>0</v>
      </c>
      <c r="AF474" s="40">
        <f>G474*(1-0.815559101298029)</f>
        <v>0</v>
      </c>
    </row>
    <row r="475" spans="4:6" ht="12.75">
      <c r="D475" s="44" t="s">
        <v>845</v>
      </c>
      <c r="F475" s="45">
        <v>12.7</v>
      </c>
    </row>
    <row r="476" spans="1:37" ht="12.75">
      <c r="A476" s="42"/>
      <c r="B476" s="43"/>
      <c r="C476" s="43" t="s">
        <v>455</v>
      </c>
      <c r="D476" s="43" t="s">
        <v>846</v>
      </c>
      <c r="E476" s="43"/>
      <c r="F476" s="43"/>
      <c r="G476" s="43"/>
      <c r="H476" s="39">
        <f>SUM(H477:H491)</f>
        <v>0</v>
      </c>
      <c r="I476" s="39">
        <f>SUM(I477:I491)</f>
        <v>0</v>
      </c>
      <c r="J476" s="39">
        <f>H476+I476</f>
        <v>0</v>
      </c>
      <c r="K476" s="34"/>
      <c r="L476" s="39">
        <f>SUM(L477:L491)</f>
        <v>122.96215790000001</v>
      </c>
      <c r="M476" s="34"/>
      <c r="P476" s="39">
        <f>IF(Q476="PR",J476,SUM(O477:O491))</f>
        <v>0</v>
      </c>
      <c r="Q476" s="34" t="s">
        <v>46</v>
      </c>
      <c r="R476" s="39">
        <f>IF(Q476="HS",H476,0)</f>
        <v>0</v>
      </c>
      <c r="S476" s="39">
        <f>IF(Q476="HS",I476-P476,0)</f>
        <v>0</v>
      </c>
      <c r="T476" s="39">
        <f>IF(Q476="PS",H476,0)</f>
        <v>0</v>
      </c>
      <c r="U476" s="39">
        <f>IF(Q476="PS",I476-P476,0)</f>
        <v>0</v>
      </c>
      <c r="V476" s="39">
        <f>IF(Q476="MP",H476,0)</f>
        <v>0</v>
      </c>
      <c r="W476" s="39">
        <f>IF(Q476="MP",I476-P476,0)</f>
        <v>0</v>
      </c>
      <c r="X476" s="39">
        <f>IF(Q476="OM",H476,0)</f>
        <v>0</v>
      </c>
      <c r="Y476" s="34"/>
      <c r="AI476" s="39">
        <f>SUM(Z477:Z491)</f>
        <v>0</v>
      </c>
      <c r="AJ476" s="39">
        <f>SUM(AA477:AA491)</f>
        <v>0</v>
      </c>
      <c r="AK476" s="39">
        <f>SUM(AB477:AB491)</f>
        <v>0</v>
      </c>
    </row>
    <row r="477" spans="1:32" ht="12.75">
      <c r="A477" s="10" t="s">
        <v>847</v>
      </c>
      <c r="B477" s="10"/>
      <c r="C477" s="10" t="s">
        <v>848</v>
      </c>
      <c r="D477" s="10" t="s">
        <v>849</v>
      </c>
      <c r="E477" s="10" t="s">
        <v>71</v>
      </c>
      <c r="F477" s="40">
        <v>3215.83</v>
      </c>
      <c r="G477" s="40">
        <v>0</v>
      </c>
      <c r="H477" s="40">
        <f>ROUND(F477*AE477,2)</f>
        <v>0</v>
      </c>
      <c r="I477" s="40">
        <f>J477-H477</f>
        <v>0</v>
      </c>
      <c r="J477" s="40">
        <f>ROUND(F477*G477,2)</f>
        <v>0</v>
      </c>
      <c r="K477" s="40">
        <v>0.03338</v>
      </c>
      <c r="L477" s="40">
        <f>F477*K477</f>
        <v>107.3444054</v>
      </c>
      <c r="M477" s="41" t="s">
        <v>72</v>
      </c>
      <c r="N477" s="41" t="s">
        <v>47</v>
      </c>
      <c r="O477" s="40">
        <f>IF(N477="5",I477,0)</f>
        <v>0</v>
      </c>
      <c r="Z477" s="40">
        <f>IF(AD477=0,J477,0)</f>
        <v>0</v>
      </c>
      <c r="AA477" s="40">
        <f>IF(AD477=15,J477,0)</f>
        <v>0</v>
      </c>
      <c r="AB477" s="40">
        <f>IF(AD477=21,J477,0)</f>
        <v>0</v>
      </c>
      <c r="AD477" s="40">
        <v>21</v>
      </c>
      <c r="AE477" s="40">
        <f>G477*0.000158679784195493</f>
        <v>0</v>
      </c>
      <c r="AF477" s="40">
        <f>G477*(1-0.000158679784195493)</f>
        <v>0</v>
      </c>
    </row>
    <row r="478" spans="4:6" ht="12.75">
      <c r="D478" s="44" t="s">
        <v>850</v>
      </c>
      <c r="F478" s="45">
        <v>3215.83</v>
      </c>
    </row>
    <row r="479" spans="1:32" ht="12.75">
      <c r="A479" s="10" t="s">
        <v>851</v>
      </c>
      <c r="B479" s="10"/>
      <c r="C479" s="10" t="s">
        <v>852</v>
      </c>
      <c r="D479" s="10" t="s">
        <v>853</v>
      </c>
      <c r="E479" s="10" t="s">
        <v>71</v>
      </c>
      <c r="F479" s="40">
        <v>16079.15</v>
      </c>
      <c r="G479" s="40">
        <v>0</v>
      </c>
      <c r="H479" s="40">
        <f>ROUND(F479*AE479,2)</f>
        <v>0</v>
      </c>
      <c r="I479" s="40">
        <f>J479-H479</f>
        <v>0</v>
      </c>
      <c r="J479" s="40">
        <f>ROUND(F479*G479,2)</f>
        <v>0</v>
      </c>
      <c r="K479" s="40">
        <v>0.00095</v>
      </c>
      <c r="L479" s="40">
        <f>F479*K479</f>
        <v>15.2751925</v>
      </c>
      <c r="M479" s="41" t="s">
        <v>72</v>
      </c>
      <c r="N479" s="41" t="s">
        <v>47</v>
      </c>
      <c r="O479" s="40">
        <f>IF(N479="5",I479,0)</f>
        <v>0</v>
      </c>
      <c r="Z479" s="40">
        <f>IF(AD479=0,J479,0)</f>
        <v>0</v>
      </c>
      <c r="AA479" s="40">
        <f>IF(AD479=15,J479,0)</f>
        <v>0</v>
      </c>
      <c r="AB479" s="40">
        <f>IF(AD479=21,J479,0)</f>
        <v>0</v>
      </c>
      <c r="AD479" s="40">
        <v>21</v>
      </c>
      <c r="AE479" s="40">
        <f>G479*0.942705422023477</f>
        <v>0</v>
      </c>
      <c r="AF479" s="40">
        <f>G479*(1-0.942705422023477)</f>
        <v>0</v>
      </c>
    </row>
    <row r="480" spans="4:6" ht="12.75">
      <c r="D480" s="44" t="s">
        <v>854</v>
      </c>
      <c r="F480" s="45">
        <v>16079.15</v>
      </c>
    </row>
    <row r="481" spans="1:32" ht="12.75">
      <c r="A481" s="10" t="s">
        <v>855</v>
      </c>
      <c r="B481" s="10"/>
      <c r="C481" s="10" t="s">
        <v>856</v>
      </c>
      <c r="D481" s="10" t="s">
        <v>857</v>
      </c>
      <c r="E481" s="10" t="s">
        <v>71</v>
      </c>
      <c r="F481" s="40">
        <v>3215.83</v>
      </c>
      <c r="G481" s="40">
        <v>0</v>
      </c>
      <c r="H481" s="40">
        <f>ROUND(F481*AE481,2)</f>
        <v>0</v>
      </c>
      <c r="I481" s="40">
        <f>J481-H481</f>
        <v>0</v>
      </c>
      <c r="J481" s="40">
        <f>ROUND(F481*G481,2)</f>
        <v>0</v>
      </c>
      <c r="K481" s="40">
        <v>0</v>
      </c>
      <c r="L481" s="40">
        <f>F481*K481</f>
        <v>0</v>
      </c>
      <c r="M481" s="41" t="s">
        <v>72</v>
      </c>
      <c r="N481" s="41" t="s">
        <v>47</v>
      </c>
      <c r="O481" s="40">
        <f>IF(N481="5",I481,0)</f>
        <v>0</v>
      </c>
      <c r="Z481" s="40">
        <f>IF(AD481=0,J481,0)</f>
        <v>0</v>
      </c>
      <c r="AA481" s="40">
        <f>IF(AD481=15,J481,0)</f>
        <v>0</v>
      </c>
      <c r="AB481" s="40">
        <f>IF(AD481=21,J481,0)</f>
        <v>0</v>
      </c>
      <c r="AD481" s="40">
        <v>21</v>
      </c>
      <c r="AE481" s="40">
        <f>G481*0</f>
        <v>0</v>
      </c>
      <c r="AF481" s="40">
        <f>G481*(1-0)</f>
        <v>0</v>
      </c>
    </row>
    <row r="482" spans="4:6" ht="12.75">
      <c r="D482" s="44" t="s">
        <v>850</v>
      </c>
      <c r="F482" s="45">
        <v>3215.83</v>
      </c>
    </row>
    <row r="483" spans="1:32" ht="12.75">
      <c r="A483" s="10" t="s">
        <v>858</v>
      </c>
      <c r="B483" s="10"/>
      <c r="C483" s="10" t="s">
        <v>859</v>
      </c>
      <c r="D483" s="10" t="s">
        <v>860</v>
      </c>
      <c r="E483" s="10" t="s">
        <v>71</v>
      </c>
      <c r="F483" s="40">
        <v>3215.83</v>
      </c>
      <c r="G483" s="40">
        <v>0</v>
      </c>
      <c r="H483" s="40">
        <f>ROUND(F483*AE483,2)</f>
        <v>0</v>
      </c>
      <c r="I483" s="40">
        <f>J483-H483</f>
        <v>0</v>
      </c>
      <c r="J483" s="40">
        <f>ROUND(F483*G483,2)</f>
        <v>0</v>
      </c>
      <c r="K483" s="40">
        <v>0</v>
      </c>
      <c r="L483" s="40">
        <f>F483*K483</f>
        <v>0</v>
      </c>
      <c r="M483" s="41" t="s">
        <v>72</v>
      </c>
      <c r="N483" s="41" t="s">
        <v>47</v>
      </c>
      <c r="O483" s="40">
        <f>IF(N483="5",I483,0)</f>
        <v>0</v>
      </c>
      <c r="Z483" s="40">
        <f>IF(AD483=0,J483,0)</f>
        <v>0</v>
      </c>
      <c r="AA483" s="40">
        <f>IF(AD483=15,J483,0)</f>
        <v>0</v>
      </c>
      <c r="AB483" s="40">
        <f>IF(AD483=21,J483,0)</f>
        <v>0</v>
      </c>
      <c r="AD483" s="40">
        <v>21</v>
      </c>
      <c r="AE483" s="40">
        <f>G483*0</f>
        <v>0</v>
      </c>
      <c r="AF483" s="40">
        <f>G483*(1-0)</f>
        <v>0</v>
      </c>
    </row>
    <row r="484" spans="4:6" ht="12.75">
      <c r="D484" s="44" t="s">
        <v>850</v>
      </c>
      <c r="F484" s="45">
        <v>3215.83</v>
      </c>
    </row>
    <row r="485" spans="1:32" ht="12.75">
      <c r="A485" s="10" t="s">
        <v>861</v>
      </c>
      <c r="B485" s="10"/>
      <c r="C485" s="10" t="s">
        <v>862</v>
      </c>
      <c r="D485" s="10" t="s">
        <v>863</v>
      </c>
      <c r="E485" s="10" t="s">
        <v>71</v>
      </c>
      <c r="F485" s="40">
        <v>16079.15</v>
      </c>
      <c r="G485" s="40">
        <v>0</v>
      </c>
      <c r="H485" s="40">
        <f>ROUND(F485*AE485,2)</f>
        <v>0</v>
      </c>
      <c r="I485" s="40">
        <f>J485-H485</f>
        <v>0</v>
      </c>
      <c r="J485" s="40">
        <f>ROUND(F485*G485,2)</f>
        <v>0</v>
      </c>
      <c r="K485" s="40">
        <v>0</v>
      </c>
      <c r="L485" s="40">
        <f>F485*K485</f>
        <v>0</v>
      </c>
      <c r="M485" s="41" t="s">
        <v>72</v>
      </c>
      <c r="N485" s="41" t="s">
        <v>47</v>
      </c>
      <c r="O485" s="40">
        <f>IF(N485="5",I485,0)</f>
        <v>0</v>
      </c>
      <c r="Z485" s="40">
        <f>IF(AD485=0,J485,0)</f>
        <v>0</v>
      </c>
      <c r="AA485" s="40">
        <f>IF(AD485=15,J485,0)</f>
        <v>0</v>
      </c>
      <c r="AB485" s="40">
        <f>IF(AD485=21,J485,0)</f>
        <v>0</v>
      </c>
      <c r="AD485" s="40">
        <v>21</v>
      </c>
      <c r="AE485" s="40">
        <f>G485*0</f>
        <v>0</v>
      </c>
      <c r="AF485" s="40">
        <f>G485*(1-0)</f>
        <v>0</v>
      </c>
    </row>
    <row r="486" spans="4:6" ht="12.75">
      <c r="D486" s="44" t="s">
        <v>854</v>
      </c>
      <c r="F486" s="45">
        <v>16079.15</v>
      </c>
    </row>
    <row r="487" spans="1:32" ht="12.75">
      <c r="A487" s="10" t="s">
        <v>864</v>
      </c>
      <c r="B487" s="10"/>
      <c r="C487" s="10" t="s">
        <v>865</v>
      </c>
      <c r="D487" s="10" t="s">
        <v>866</v>
      </c>
      <c r="E487" s="10" t="s">
        <v>143</v>
      </c>
      <c r="F487" s="40">
        <v>8</v>
      </c>
      <c r="G487" s="40">
        <v>0</v>
      </c>
      <c r="H487" s="40">
        <f>ROUND(F487*AE487,2)</f>
        <v>0</v>
      </c>
      <c r="I487" s="40">
        <f>J487-H487</f>
        <v>0</v>
      </c>
      <c r="J487" s="40">
        <f>ROUND(F487*G487,2)</f>
        <v>0</v>
      </c>
      <c r="K487" s="40">
        <v>0.04282</v>
      </c>
      <c r="L487" s="40">
        <f>F487*K487</f>
        <v>0.34256</v>
      </c>
      <c r="M487" s="41" t="s">
        <v>72</v>
      </c>
      <c r="N487" s="41" t="s">
        <v>47</v>
      </c>
      <c r="O487" s="40">
        <f>IF(N487="5",I487,0)</f>
        <v>0</v>
      </c>
      <c r="Z487" s="40">
        <f>IF(AD487=0,J487,0)</f>
        <v>0</v>
      </c>
      <c r="AA487" s="40">
        <f>IF(AD487=15,J487,0)</f>
        <v>0</v>
      </c>
      <c r="AB487" s="40">
        <f>IF(AD487=21,J487,0)</f>
        <v>0</v>
      </c>
      <c r="AD487" s="40">
        <v>21</v>
      </c>
      <c r="AE487" s="40">
        <f>G487*0.408059762867521</f>
        <v>0</v>
      </c>
      <c r="AF487" s="40">
        <f>G487*(1-0.408059762867521)</f>
        <v>0</v>
      </c>
    </row>
    <row r="488" spans="4:6" ht="12.75">
      <c r="D488" s="44" t="s">
        <v>75</v>
      </c>
      <c r="F488" s="45">
        <v>8</v>
      </c>
    </row>
    <row r="489" spans="1:32" ht="12.75">
      <c r="A489" s="10" t="s">
        <v>867</v>
      </c>
      <c r="B489" s="10"/>
      <c r="C489" s="10" t="s">
        <v>868</v>
      </c>
      <c r="D489" s="10" t="s">
        <v>869</v>
      </c>
      <c r="E489" s="10" t="s">
        <v>143</v>
      </c>
      <c r="F489" s="40">
        <v>8</v>
      </c>
      <c r="G489" s="40">
        <v>0</v>
      </c>
      <c r="H489" s="40">
        <f>ROUND(F489*AE489,2)</f>
        <v>0</v>
      </c>
      <c r="I489" s="40">
        <f>J489-H489</f>
        <v>0</v>
      </c>
      <c r="J489" s="40">
        <f>ROUND(F489*G489,2)</f>
        <v>0</v>
      </c>
      <c r="K489" s="40">
        <v>0</v>
      </c>
      <c r="L489" s="40">
        <f>F489*K489</f>
        <v>0</v>
      </c>
      <c r="M489" s="41" t="s">
        <v>72</v>
      </c>
      <c r="N489" s="41" t="s">
        <v>47</v>
      </c>
      <c r="O489" s="40">
        <f>IF(N489="5",I489,0)</f>
        <v>0</v>
      </c>
      <c r="Z489" s="40">
        <f>IF(AD489=0,J489,0)</f>
        <v>0</v>
      </c>
      <c r="AA489" s="40">
        <f>IF(AD489=15,J489,0)</f>
        <v>0</v>
      </c>
      <c r="AB489" s="40">
        <f>IF(AD489=21,J489,0)</f>
        <v>0</v>
      </c>
      <c r="AD489" s="40">
        <v>21</v>
      </c>
      <c r="AE489" s="40">
        <f>G489*0</f>
        <v>0</v>
      </c>
      <c r="AF489" s="40">
        <f>G489*(1-0)</f>
        <v>0</v>
      </c>
    </row>
    <row r="490" spans="4:6" ht="12.75">
      <c r="D490" s="44" t="s">
        <v>75</v>
      </c>
      <c r="F490" s="45">
        <v>8</v>
      </c>
    </row>
    <row r="491" spans="1:32" ht="12.75">
      <c r="A491" s="10" t="s">
        <v>870</v>
      </c>
      <c r="B491" s="10"/>
      <c r="C491" s="10" t="s">
        <v>871</v>
      </c>
      <c r="D491" s="10" t="s">
        <v>872</v>
      </c>
      <c r="E491" s="10" t="s">
        <v>113</v>
      </c>
      <c r="F491" s="40">
        <v>122.96215</v>
      </c>
      <c r="G491" s="40">
        <v>0</v>
      </c>
      <c r="H491" s="40">
        <f>ROUND(F491*AE491,2)</f>
        <v>0</v>
      </c>
      <c r="I491" s="40">
        <f>J491-H491</f>
        <v>0</v>
      </c>
      <c r="J491" s="40">
        <f>ROUND(F491*G491,2)</f>
        <v>0</v>
      </c>
      <c r="K491" s="40">
        <v>0</v>
      </c>
      <c r="L491" s="40">
        <f>F491*K491</f>
        <v>0</v>
      </c>
      <c r="M491" s="41" t="s">
        <v>72</v>
      </c>
      <c r="N491" s="41" t="s">
        <v>60</v>
      </c>
      <c r="O491" s="40">
        <f>IF(N491="5",I491,0)</f>
        <v>0</v>
      </c>
      <c r="Z491" s="40">
        <f>IF(AD491=0,J491,0)</f>
        <v>0</v>
      </c>
      <c r="AA491" s="40">
        <f>IF(AD491=15,J491,0)</f>
        <v>0</v>
      </c>
      <c r="AB491" s="40">
        <f>IF(AD491=21,J491,0)</f>
        <v>0</v>
      </c>
      <c r="AD491" s="40">
        <v>21</v>
      </c>
      <c r="AE491" s="40">
        <f>G491*0</f>
        <v>0</v>
      </c>
      <c r="AF491" s="40">
        <f>G491*(1-0)</f>
        <v>0</v>
      </c>
    </row>
    <row r="492" spans="1:37" ht="12.75">
      <c r="A492" s="42"/>
      <c r="B492" s="43"/>
      <c r="C492" s="43" t="s">
        <v>462</v>
      </c>
      <c r="D492" s="43" t="s">
        <v>873</v>
      </c>
      <c r="E492" s="43"/>
      <c r="F492" s="43"/>
      <c r="G492" s="43"/>
      <c r="H492" s="39">
        <f>SUM(H493:H529)</f>
        <v>0</v>
      </c>
      <c r="I492" s="39">
        <f>SUM(I493:I529)</f>
        <v>0</v>
      </c>
      <c r="J492" s="39">
        <f>H492+I492</f>
        <v>0</v>
      </c>
      <c r="K492" s="34"/>
      <c r="L492" s="39">
        <f>SUM(L493:L529)</f>
        <v>43.54497999999999</v>
      </c>
      <c r="M492" s="34"/>
      <c r="P492" s="39">
        <f>IF(Q492="PR",J492,SUM(O493:O529))</f>
        <v>0</v>
      </c>
      <c r="Q492" s="34" t="s">
        <v>46</v>
      </c>
      <c r="R492" s="39">
        <f>IF(Q492="HS",H492,0)</f>
        <v>0</v>
      </c>
      <c r="S492" s="39">
        <f>IF(Q492="HS",I492-P492,0)</f>
        <v>0</v>
      </c>
      <c r="T492" s="39">
        <f>IF(Q492="PS",H492,0)</f>
        <v>0</v>
      </c>
      <c r="U492" s="39">
        <f>IF(Q492="PS",I492-P492,0)</f>
        <v>0</v>
      </c>
      <c r="V492" s="39">
        <f>IF(Q492="MP",H492,0)</f>
        <v>0</v>
      </c>
      <c r="W492" s="39">
        <f>IF(Q492="MP",I492-P492,0)</f>
        <v>0</v>
      </c>
      <c r="X492" s="39">
        <f>IF(Q492="OM",H492,0)</f>
        <v>0</v>
      </c>
      <c r="Y492" s="34"/>
      <c r="AI492" s="39">
        <f>SUM(Z493:Z529)</f>
        <v>0</v>
      </c>
      <c r="AJ492" s="39">
        <f>SUM(AA493:AA529)</f>
        <v>0</v>
      </c>
      <c r="AK492" s="39">
        <f>SUM(AB493:AB529)</f>
        <v>0</v>
      </c>
    </row>
    <row r="493" spans="1:32" ht="12.75">
      <c r="A493" s="10" t="s">
        <v>874</v>
      </c>
      <c r="B493" s="10"/>
      <c r="C493" s="10" t="s">
        <v>875</v>
      </c>
      <c r="D493" s="10" t="s">
        <v>876</v>
      </c>
      <c r="E493" s="10" t="s">
        <v>83</v>
      </c>
      <c r="F493" s="40">
        <v>4.98</v>
      </c>
      <c r="G493" s="40">
        <v>0</v>
      </c>
      <c r="H493" s="40">
        <f>ROUND(F493*AE493,2)</f>
        <v>0</v>
      </c>
      <c r="I493" s="40">
        <f>J493-H493</f>
        <v>0</v>
      </c>
      <c r="J493" s="40">
        <f>ROUND(F493*G493,2)</f>
        <v>0</v>
      </c>
      <c r="K493" s="40">
        <v>2.4</v>
      </c>
      <c r="L493" s="40">
        <f>F493*K493</f>
        <v>11.952</v>
      </c>
      <c r="M493" s="41" t="s">
        <v>72</v>
      </c>
      <c r="N493" s="41" t="s">
        <v>47</v>
      </c>
      <c r="O493" s="40">
        <f>IF(N493="5",I493,0)</f>
        <v>0</v>
      </c>
      <c r="Z493" s="40">
        <f>IF(AD493=0,J493,0)</f>
        <v>0</v>
      </c>
      <c r="AA493" s="40">
        <f>IF(AD493=15,J493,0)</f>
        <v>0</v>
      </c>
      <c r="AB493" s="40">
        <f>IF(AD493=21,J493,0)</f>
        <v>0</v>
      </c>
      <c r="AD493" s="40">
        <v>21</v>
      </c>
      <c r="AE493" s="40">
        <f>G493*0.0551487180980389</f>
        <v>0</v>
      </c>
      <c r="AF493" s="40">
        <f>G493*(1-0.0551487180980389)</f>
        <v>0</v>
      </c>
    </row>
    <row r="494" spans="4:6" ht="12.75">
      <c r="D494" s="44" t="s">
        <v>306</v>
      </c>
      <c r="F494" s="45">
        <v>4.98</v>
      </c>
    </row>
    <row r="495" spans="1:32" ht="12.75">
      <c r="A495" s="10" t="s">
        <v>877</v>
      </c>
      <c r="B495" s="10"/>
      <c r="C495" s="10" t="s">
        <v>878</v>
      </c>
      <c r="D495" s="10" t="s">
        <v>879</v>
      </c>
      <c r="E495" s="10" t="s">
        <v>83</v>
      </c>
      <c r="F495" s="40">
        <v>7.47</v>
      </c>
      <c r="G495" s="40">
        <v>0</v>
      </c>
      <c r="H495" s="40">
        <f>ROUND(F495*AE495,2)</f>
        <v>0</v>
      </c>
      <c r="I495" s="40">
        <f>J495-H495</f>
        <v>0</v>
      </c>
      <c r="J495" s="40">
        <f>ROUND(F495*G495,2)</f>
        <v>0</v>
      </c>
      <c r="K495" s="40">
        <v>1.4</v>
      </c>
      <c r="L495" s="40">
        <f>F495*K495</f>
        <v>10.457999999999998</v>
      </c>
      <c r="M495" s="41" t="s">
        <v>72</v>
      </c>
      <c r="N495" s="41" t="s">
        <v>54</v>
      </c>
      <c r="O495" s="40">
        <f>IF(N495="5",I495,0)</f>
        <v>0</v>
      </c>
      <c r="Z495" s="40">
        <f>IF(AD495=0,J495,0)</f>
        <v>0</v>
      </c>
      <c r="AA495" s="40">
        <f>IF(AD495=15,J495,0)</f>
        <v>0</v>
      </c>
      <c r="AB495" s="40">
        <f>IF(AD495=21,J495,0)</f>
        <v>0</v>
      </c>
      <c r="AD495" s="40">
        <v>21</v>
      </c>
      <c r="AE495" s="40">
        <f>G495*0</f>
        <v>0</v>
      </c>
      <c r="AF495" s="40">
        <f>G495*(1-0)</f>
        <v>0</v>
      </c>
    </row>
    <row r="496" spans="4:6" ht="12.75">
      <c r="D496" s="44" t="s">
        <v>880</v>
      </c>
      <c r="F496" s="45">
        <v>7.47</v>
      </c>
    </row>
    <row r="497" spans="1:32" ht="12.75">
      <c r="A497" s="10" t="s">
        <v>881</v>
      </c>
      <c r="B497" s="10"/>
      <c r="C497" s="10" t="s">
        <v>882</v>
      </c>
      <c r="D497" s="10" t="s">
        <v>883</v>
      </c>
      <c r="E497" s="10" t="s">
        <v>71</v>
      </c>
      <c r="F497" s="40">
        <v>49.8</v>
      </c>
      <c r="G497" s="40">
        <v>0</v>
      </c>
      <c r="H497" s="40">
        <f>ROUND(F497*AE497,2)</f>
        <v>0</v>
      </c>
      <c r="I497" s="40">
        <f>J497-H497</f>
        <v>0</v>
      </c>
      <c r="J497" s="40">
        <f>ROUND(F497*G497,2)</f>
        <v>0</v>
      </c>
      <c r="K497" s="40">
        <v>0.014</v>
      </c>
      <c r="L497" s="40">
        <f>F497*K497</f>
        <v>0.6971999999999999</v>
      </c>
      <c r="M497" s="41" t="s">
        <v>72</v>
      </c>
      <c r="N497" s="41" t="s">
        <v>47</v>
      </c>
      <c r="O497" s="40">
        <f>IF(N497="5",I497,0)</f>
        <v>0</v>
      </c>
      <c r="Z497" s="40">
        <f>IF(AD497=0,J497,0)</f>
        <v>0</v>
      </c>
      <c r="AA497" s="40">
        <f>IF(AD497=15,J497,0)</f>
        <v>0</v>
      </c>
      <c r="AB497" s="40">
        <f>IF(AD497=21,J497,0)</f>
        <v>0</v>
      </c>
      <c r="AD497" s="40">
        <v>21</v>
      </c>
      <c r="AE497" s="40">
        <f>G497*0</f>
        <v>0</v>
      </c>
      <c r="AF497" s="40">
        <f>G497*(1-0)</f>
        <v>0</v>
      </c>
    </row>
    <row r="498" spans="4:6" ht="12.75">
      <c r="D498" s="44" t="s">
        <v>383</v>
      </c>
      <c r="F498" s="45">
        <v>49.8</v>
      </c>
    </row>
    <row r="499" spans="1:32" ht="12.75">
      <c r="A499" s="10" t="s">
        <v>884</v>
      </c>
      <c r="B499" s="10"/>
      <c r="C499" s="10" t="s">
        <v>885</v>
      </c>
      <c r="D499" s="10" t="s">
        <v>886</v>
      </c>
      <c r="E499" s="10" t="s">
        <v>71</v>
      </c>
      <c r="F499" s="40">
        <v>49.8</v>
      </c>
      <c r="G499" s="40">
        <v>0</v>
      </c>
      <c r="H499" s="40">
        <f aca="true" t="shared" si="200" ref="H499:H500">ROUND(F499*AE499,2)</f>
        <v>0</v>
      </c>
      <c r="I499" s="40">
        <f aca="true" t="shared" si="201" ref="I499:I500">J499-H499</f>
        <v>0</v>
      </c>
      <c r="J499" s="40">
        <f aca="true" t="shared" si="202" ref="J499:J500">ROUND(F499*G499,2)</f>
        <v>0</v>
      </c>
      <c r="K499" s="40">
        <v>0.0105</v>
      </c>
      <c r="L499" s="40">
        <f aca="true" t="shared" si="203" ref="L499:L500">F499*K499</f>
        <v>0.5229</v>
      </c>
      <c r="M499" s="41" t="s">
        <v>72</v>
      </c>
      <c r="N499" s="41" t="s">
        <v>47</v>
      </c>
      <c r="O499" s="40">
        <f aca="true" t="shared" si="204" ref="O499:O500">IF(N499="5",I499,0)</f>
        <v>0</v>
      </c>
      <c r="Z499" s="40">
        <f aca="true" t="shared" si="205" ref="Z499:Z500">IF(AD499=0,J499,0)</f>
        <v>0</v>
      </c>
      <c r="AA499" s="40">
        <f aca="true" t="shared" si="206" ref="AA499:AA500">IF(AD499=15,J499,0)</f>
        <v>0</v>
      </c>
      <c r="AB499" s="40">
        <f aca="true" t="shared" si="207" ref="AB499:AB500">IF(AD499=21,J499,0)</f>
        <v>0</v>
      </c>
      <c r="AD499" s="40">
        <v>21</v>
      </c>
      <c r="AE499" s="40">
        <f aca="true" t="shared" si="208" ref="AE499:AE500">G499*0</f>
        <v>0</v>
      </c>
      <c r="AF499" s="40">
        <f aca="true" t="shared" si="209" ref="AF499:AF500">G499*(1-0)</f>
        <v>0</v>
      </c>
    </row>
    <row r="500" spans="1:32" ht="12.75">
      <c r="A500" s="10" t="s">
        <v>887</v>
      </c>
      <c r="B500" s="10"/>
      <c r="C500" s="10" t="s">
        <v>888</v>
      </c>
      <c r="D500" s="10" t="s">
        <v>889</v>
      </c>
      <c r="E500" s="10" t="s">
        <v>71</v>
      </c>
      <c r="F500" s="40">
        <v>49.8</v>
      </c>
      <c r="G500" s="40">
        <v>0</v>
      </c>
      <c r="H500" s="40">
        <f t="shared" si="200"/>
        <v>0</v>
      </c>
      <c r="I500" s="40">
        <f t="shared" si="201"/>
        <v>0</v>
      </c>
      <c r="J500" s="40">
        <f t="shared" si="202"/>
        <v>0</v>
      </c>
      <c r="K500" s="40">
        <v>0.0011</v>
      </c>
      <c r="L500" s="40">
        <f t="shared" si="203"/>
        <v>0.05478</v>
      </c>
      <c r="M500" s="41" t="s">
        <v>72</v>
      </c>
      <c r="N500" s="41" t="s">
        <v>47</v>
      </c>
      <c r="O500" s="40">
        <f t="shared" si="204"/>
        <v>0</v>
      </c>
      <c r="Z500" s="40">
        <f t="shared" si="205"/>
        <v>0</v>
      </c>
      <c r="AA500" s="40">
        <f t="shared" si="206"/>
        <v>0</v>
      </c>
      <c r="AB500" s="40">
        <f t="shared" si="207"/>
        <v>0</v>
      </c>
      <c r="AD500" s="40">
        <v>21</v>
      </c>
      <c r="AE500" s="40">
        <f t="shared" si="208"/>
        <v>0</v>
      </c>
      <c r="AF500" s="40">
        <f t="shared" si="209"/>
        <v>0</v>
      </c>
    </row>
    <row r="501" spans="4:6" ht="12.75">
      <c r="D501" s="44" t="s">
        <v>383</v>
      </c>
      <c r="F501" s="45">
        <v>49.8</v>
      </c>
    </row>
    <row r="502" spans="1:32" ht="12.75">
      <c r="A502" s="10" t="s">
        <v>890</v>
      </c>
      <c r="B502" s="10"/>
      <c r="C502" s="10" t="s">
        <v>891</v>
      </c>
      <c r="D502" s="10" t="s">
        <v>892</v>
      </c>
      <c r="E502" s="10" t="s">
        <v>71</v>
      </c>
      <c r="F502" s="40">
        <v>3.2</v>
      </c>
      <c r="G502" s="40">
        <v>0</v>
      </c>
      <c r="H502" s="40">
        <f aca="true" t="shared" si="210" ref="H502:H503">ROUND(F502*AE502,2)</f>
        <v>0</v>
      </c>
      <c r="I502" s="40">
        <f aca="true" t="shared" si="211" ref="I502:I503">J502-H502</f>
        <v>0</v>
      </c>
      <c r="J502" s="40">
        <f aca="true" t="shared" si="212" ref="J502:J503">ROUND(F502*G502,2)</f>
        <v>0</v>
      </c>
      <c r="K502" s="40">
        <v>0.264</v>
      </c>
      <c r="L502" s="40">
        <f aca="true" t="shared" si="213" ref="L502:L503">F502*K502</f>
        <v>0.8448000000000001</v>
      </c>
      <c r="M502" s="41" t="s">
        <v>72</v>
      </c>
      <c r="N502" s="41" t="s">
        <v>47</v>
      </c>
      <c r="O502" s="40">
        <f aca="true" t="shared" si="214" ref="O502:O503">IF(N502="5",I502,0)</f>
        <v>0</v>
      </c>
      <c r="Z502" s="40">
        <f aca="true" t="shared" si="215" ref="Z502:Z503">IF(AD502=0,J502,0)</f>
        <v>0</v>
      </c>
      <c r="AA502" s="40">
        <f aca="true" t="shared" si="216" ref="AA502:AA503">IF(AD502=15,J502,0)</f>
        <v>0</v>
      </c>
      <c r="AB502" s="40">
        <f aca="true" t="shared" si="217" ref="AB502:AB503">IF(AD502=21,J502,0)</f>
        <v>0</v>
      </c>
      <c r="AD502" s="40">
        <v>21</v>
      </c>
      <c r="AE502" s="40">
        <f>G502*0.00127920405081283</f>
        <v>0</v>
      </c>
      <c r="AF502" s="40">
        <f>G502*(1-0.00127920405081283)</f>
        <v>0</v>
      </c>
    </row>
    <row r="503" spans="1:32" ht="12.75">
      <c r="A503" s="10" t="s">
        <v>893</v>
      </c>
      <c r="B503" s="10"/>
      <c r="C503" s="10" t="s">
        <v>894</v>
      </c>
      <c r="D503" s="10" t="s">
        <v>895</v>
      </c>
      <c r="E503" s="10" t="s">
        <v>71</v>
      </c>
      <c r="F503" s="40">
        <v>39.8</v>
      </c>
      <c r="G503" s="40">
        <v>0</v>
      </c>
      <c r="H503" s="40">
        <f t="shared" si="210"/>
        <v>0</v>
      </c>
      <c r="I503" s="40">
        <f t="shared" si="211"/>
        <v>0</v>
      </c>
      <c r="J503" s="40">
        <f t="shared" si="212"/>
        <v>0</v>
      </c>
      <c r="K503" s="40">
        <v>0.02</v>
      </c>
      <c r="L503" s="40">
        <f t="shared" si="213"/>
        <v>0.7959999999999999</v>
      </c>
      <c r="M503" s="41"/>
      <c r="N503" s="41" t="s">
        <v>54</v>
      </c>
      <c r="O503" s="40">
        <f t="shared" si="214"/>
        <v>0</v>
      </c>
      <c r="Z503" s="40">
        <f t="shared" si="215"/>
        <v>0</v>
      </c>
      <c r="AA503" s="40">
        <f t="shared" si="216"/>
        <v>0</v>
      </c>
      <c r="AB503" s="40">
        <f t="shared" si="217"/>
        <v>0</v>
      </c>
      <c r="AD503" s="40">
        <v>21</v>
      </c>
      <c r="AE503" s="40">
        <f>G503*0</f>
        <v>0</v>
      </c>
      <c r="AF503" s="40">
        <f>G503*(1-0)</f>
        <v>0</v>
      </c>
    </row>
    <row r="504" spans="4:6" ht="12.75">
      <c r="D504" s="44" t="s">
        <v>163</v>
      </c>
      <c r="F504" s="45">
        <v>39.8</v>
      </c>
    </row>
    <row r="505" spans="1:32" ht="12.75">
      <c r="A505" s="10" t="s">
        <v>896</v>
      </c>
      <c r="B505" s="10"/>
      <c r="C505" s="10" t="s">
        <v>897</v>
      </c>
      <c r="D505" s="10" t="s">
        <v>898</v>
      </c>
      <c r="E505" s="10" t="s">
        <v>83</v>
      </c>
      <c r="F505" s="40">
        <v>2.74</v>
      </c>
      <c r="G505" s="40">
        <v>0</v>
      </c>
      <c r="H505" s="40">
        <f>ROUND(F505*AE505,2)</f>
        <v>0</v>
      </c>
      <c r="I505" s="40">
        <f>J505-H505</f>
        <v>0</v>
      </c>
      <c r="J505" s="40">
        <f>ROUND(F505*G505,2)</f>
        <v>0</v>
      </c>
      <c r="K505" s="40">
        <v>2.2</v>
      </c>
      <c r="L505" s="40">
        <f>F505*K505</f>
        <v>6.028000000000001</v>
      </c>
      <c r="M505" s="41" t="s">
        <v>72</v>
      </c>
      <c r="N505" s="41" t="s">
        <v>47</v>
      </c>
      <c r="O505" s="40">
        <f>IF(N505="5",I505,0)</f>
        <v>0</v>
      </c>
      <c r="Z505" s="40">
        <f>IF(AD505=0,J505,0)</f>
        <v>0</v>
      </c>
      <c r="AA505" s="40">
        <f>IF(AD505=15,J505,0)</f>
        <v>0</v>
      </c>
      <c r="AB505" s="40">
        <f>IF(AD505=21,J505,0)</f>
        <v>0</v>
      </c>
      <c r="AD505" s="40">
        <v>21</v>
      </c>
      <c r="AE505" s="40">
        <f>G505*0.0167252594045106</f>
        <v>0</v>
      </c>
      <c r="AF505" s="40">
        <f>G505*(1-0.0167252594045106)</f>
        <v>0</v>
      </c>
    </row>
    <row r="506" spans="4:6" ht="12.75">
      <c r="D506" s="44" t="s">
        <v>899</v>
      </c>
      <c r="F506" s="45">
        <v>1.42</v>
      </c>
    </row>
    <row r="507" spans="4:6" ht="12.75">
      <c r="D507" s="44" t="s">
        <v>900</v>
      </c>
      <c r="F507" s="45">
        <v>0.45</v>
      </c>
    </row>
    <row r="508" spans="4:6" ht="12.75">
      <c r="D508" s="44" t="s">
        <v>901</v>
      </c>
      <c r="F508" s="45">
        <v>0.87</v>
      </c>
    </row>
    <row r="509" spans="1:32" ht="12.75">
      <c r="A509" s="10" t="s">
        <v>902</v>
      </c>
      <c r="B509" s="10"/>
      <c r="C509" s="10" t="s">
        <v>903</v>
      </c>
      <c r="D509" s="10" t="s">
        <v>904</v>
      </c>
      <c r="E509" s="10" t="s">
        <v>71</v>
      </c>
      <c r="F509" s="40">
        <v>51.15</v>
      </c>
      <c r="G509" s="40">
        <v>0</v>
      </c>
      <c r="H509" s="40">
        <f>ROUND(F509*AE509,2)</f>
        <v>0</v>
      </c>
      <c r="I509" s="40">
        <f>J509-H509</f>
        <v>0</v>
      </c>
      <c r="J509" s="40">
        <f>ROUND(F509*G509,2)</f>
        <v>0</v>
      </c>
      <c r="K509" s="40">
        <v>0.054</v>
      </c>
      <c r="L509" s="40">
        <f>F509*K509</f>
        <v>2.7620999999999998</v>
      </c>
      <c r="M509" s="41" t="s">
        <v>72</v>
      </c>
      <c r="N509" s="41" t="s">
        <v>47</v>
      </c>
      <c r="O509" s="40">
        <f>IF(N509="5",I509,0)</f>
        <v>0</v>
      </c>
      <c r="Z509" s="40">
        <f>IF(AD509=0,J509,0)</f>
        <v>0</v>
      </c>
      <c r="AA509" s="40">
        <f>IF(AD509=15,J509,0)</f>
        <v>0</v>
      </c>
      <c r="AB509" s="40">
        <f>IF(AD509=21,J509,0)</f>
        <v>0</v>
      </c>
      <c r="AD509" s="40">
        <v>21</v>
      </c>
      <c r="AE509" s="40">
        <f>G509*0.149251603706344</f>
        <v>0</v>
      </c>
      <c r="AF509" s="40">
        <f>G509*(1-0.149251603706344)</f>
        <v>0</v>
      </c>
    </row>
    <row r="510" spans="4:6" ht="12.75">
      <c r="D510" s="44" t="s">
        <v>905</v>
      </c>
      <c r="F510" s="45">
        <v>46.2</v>
      </c>
    </row>
    <row r="511" spans="4:6" ht="12.75">
      <c r="D511" s="44" t="s">
        <v>906</v>
      </c>
      <c r="F511" s="45">
        <v>4.95</v>
      </c>
    </row>
    <row r="512" spans="1:32" ht="12.75">
      <c r="A512" s="10" t="s">
        <v>907</v>
      </c>
      <c r="B512" s="10"/>
      <c r="C512" s="10" t="s">
        <v>908</v>
      </c>
      <c r="D512" s="10" t="s">
        <v>909</v>
      </c>
      <c r="E512" s="10" t="s">
        <v>71</v>
      </c>
      <c r="F512" s="40">
        <v>4.62</v>
      </c>
      <c r="G512" s="40">
        <v>0</v>
      </c>
      <c r="H512" s="40">
        <f>ROUND(F512*AE512,2)</f>
        <v>0</v>
      </c>
      <c r="I512" s="40">
        <f>J512-H512</f>
        <v>0</v>
      </c>
      <c r="J512" s="40">
        <f>ROUND(F512*G512,2)</f>
        <v>0</v>
      </c>
      <c r="K512" s="40">
        <v>0.067</v>
      </c>
      <c r="L512" s="40">
        <f>F512*K512</f>
        <v>0.30954000000000004</v>
      </c>
      <c r="M512" s="41" t="s">
        <v>72</v>
      </c>
      <c r="N512" s="41" t="s">
        <v>47</v>
      </c>
      <c r="O512" s="40">
        <f>IF(N512="5",I512,0)</f>
        <v>0</v>
      </c>
      <c r="Z512" s="40">
        <f>IF(AD512=0,J512,0)</f>
        <v>0</v>
      </c>
      <c r="AA512" s="40">
        <f>IF(AD512=15,J512,0)</f>
        <v>0</v>
      </c>
      <c r="AB512" s="40">
        <f>IF(AD512=21,J512,0)</f>
        <v>0</v>
      </c>
      <c r="AD512" s="40">
        <v>21</v>
      </c>
      <c r="AE512" s="40">
        <f>G512*0.142731829573935</f>
        <v>0</v>
      </c>
      <c r="AF512" s="40">
        <f>G512*(1-0.142731829573935)</f>
        <v>0</v>
      </c>
    </row>
    <row r="513" spans="4:6" ht="12.75">
      <c r="D513" s="44" t="s">
        <v>910</v>
      </c>
      <c r="F513" s="45">
        <v>4.62</v>
      </c>
    </row>
    <row r="514" spans="1:32" ht="12.75">
      <c r="A514" s="10" t="s">
        <v>911</v>
      </c>
      <c r="B514" s="10"/>
      <c r="C514" s="10" t="s">
        <v>912</v>
      </c>
      <c r="D514" s="10" t="s">
        <v>913</v>
      </c>
      <c r="E514" s="10" t="s">
        <v>71</v>
      </c>
      <c r="F514" s="40">
        <v>12.24</v>
      </c>
      <c r="G514" s="40">
        <v>0</v>
      </c>
      <c r="H514" s="40">
        <f>ROUND(F514*AE514,2)</f>
        <v>0</v>
      </c>
      <c r="I514" s="40">
        <f>J514-H514</f>
        <v>0</v>
      </c>
      <c r="J514" s="40">
        <f>ROUND(F514*G514,2)</f>
        <v>0</v>
      </c>
      <c r="K514" s="40">
        <v>0.065</v>
      </c>
      <c r="L514" s="40">
        <f>F514*K514</f>
        <v>0.7956000000000001</v>
      </c>
      <c r="M514" s="41" t="s">
        <v>72</v>
      </c>
      <c r="N514" s="41" t="s">
        <v>47</v>
      </c>
      <c r="O514" s="40">
        <f>IF(N514="5",I514,0)</f>
        <v>0</v>
      </c>
      <c r="Z514" s="40">
        <f>IF(AD514=0,J514,0)</f>
        <v>0</v>
      </c>
      <c r="AA514" s="40">
        <f>IF(AD514=15,J514,0)</f>
        <v>0</v>
      </c>
      <c r="AB514" s="40">
        <f>IF(AD514=21,J514,0)</f>
        <v>0</v>
      </c>
      <c r="AD514" s="40">
        <v>21</v>
      </c>
      <c r="AE514" s="40">
        <f>G514*0.227579842457401</f>
        <v>0</v>
      </c>
      <c r="AF514" s="40">
        <f>G514*(1-0.227579842457401)</f>
        <v>0</v>
      </c>
    </row>
    <row r="515" spans="4:6" ht="12.75">
      <c r="D515" s="44" t="s">
        <v>914</v>
      </c>
      <c r="F515" s="45">
        <v>8.64</v>
      </c>
    </row>
    <row r="516" spans="4:6" ht="12.75">
      <c r="D516" s="44" t="s">
        <v>915</v>
      </c>
      <c r="F516" s="45">
        <v>3.6</v>
      </c>
    </row>
    <row r="517" spans="1:32" ht="12.75">
      <c r="A517" s="10" t="s">
        <v>916</v>
      </c>
      <c r="B517" s="10"/>
      <c r="C517" s="10" t="s">
        <v>917</v>
      </c>
      <c r="D517" s="10" t="s">
        <v>918</v>
      </c>
      <c r="E517" s="10" t="s">
        <v>71</v>
      </c>
      <c r="F517" s="40">
        <v>55.44</v>
      </c>
      <c r="G517" s="40">
        <v>0</v>
      </c>
      <c r="H517" s="40">
        <f>ROUND(F517*AE517,2)</f>
        <v>0</v>
      </c>
      <c r="I517" s="40">
        <f>J517-H517</f>
        <v>0</v>
      </c>
      <c r="J517" s="40">
        <f>ROUND(F517*G517,2)</f>
        <v>0</v>
      </c>
      <c r="K517" s="40">
        <v>0.034</v>
      </c>
      <c r="L517" s="40">
        <f>F517*K517</f>
        <v>1.88496</v>
      </c>
      <c r="M517" s="41" t="s">
        <v>72</v>
      </c>
      <c r="N517" s="41" t="s">
        <v>47</v>
      </c>
      <c r="O517" s="40">
        <f>IF(N517="5",I517,0)</f>
        <v>0</v>
      </c>
      <c r="Z517" s="40">
        <f>IF(AD517=0,J517,0)</f>
        <v>0</v>
      </c>
      <c r="AA517" s="40">
        <f>IF(AD517=15,J517,0)</f>
        <v>0</v>
      </c>
      <c r="AB517" s="40">
        <f>IF(AD517=21,J517,0)</f>
        <v>0</v>
      </c>
      <c r="AD517" s="40">
        <v>21</v>
      </c>
      <c r="AE517" s="40">
        <f>G517*0.167367535744323</f>
        <v>0</v>
      </c>
      <c r="AF517" s="40">
        <f>G517*(1-0.167367535744323)</f>
        <v>0</v>
      </c>
    </row>
    <row r="518" spans="4:6" ht="12.75">
      <c r="D518" s="44" t="s">
        <v>749</v>
      </c>
      <c r="F518" s="45">
        <v>55.44</v>
      </c>
    </row>
    <row r="519" spans="1:32" ht="12.75">
      <c r="A519" s="10" t="s">
        <v>919</v>
      </c>
      <c r="B519" s="10"/>
      <c r="C519" s="10" t="s">
        <v>920</v>
      </c>
      <c r="D519" s="10" t="s">
        <v>921</v>
      </c>
      <c r="E519" s="10" t="s">
        <v>71</v>
      </c>
      <c r="F519" s="40">
        <v>5.66</v>
      </c>
      <c r="G519" s="40">
        <v>0</v>
      </c>
      <c r="H519" s="40">
        <f>ROUND(F519*AE519,2)</f>
        <v>0</v>
      </c>
      <c r="I519" s="40">
        <f>J519-H519</f>
        <v>0</v>
      </c>
      <c r="J519" s="40">
        <f>ROUND(F519*G519,2)</f>
        <v>0</v>
      </c>
      <c r="K519" s="40">
        <v>0.065</v>
      </c>
      <c r="L519" s="40">
        <f>F519*K519</f>
        <v>0.3679</v>
      </c>
      <c r="M519" s="41" t="s">
        <v>72</v>
      </c>
      <c r="N519" s="41" t="s">
        <v>54</v>
      </c>
      <c r="O519" s="40">
        <f>IF(N519="5",I519,0)</f>
        <v>0</v>
      </c>
      <c r="Z519" s="40">
        <f>IF(AD519=0,J519,0)</f>
        <v>0</v>
      </c>
      <c r="AA519" s="40">
        <f>IF(AD519=15,J519,0)</f>
        <v>0</v>
      </c>
      <c r="AB519" s="40">
        <f>IF(AD519=21,J519,0)</f>
        <v>0</v>
      </c>
      <c r="AD519" s="40">
        <v>21</v>
      </c>
      <c r="AE519" s="40">
        <f>G519*0</f>
        <v>0</v>
      </c>
      <c r="AF519" s="40">
        <f>G519*(1-0)</f>
        <v>0</v>
      </c>
    </row>
    <row r="520" spans="4:6" ht="12.75">
      <c r="D520" s="44" t="s">
        <v>314</v>
      </c>
      <c r="F520" s="45">
        <v>5.66</v>
      </c>
    </row>
    <row r="521" spans="1:32" ht="12.75">
      <c r="A521" s="10" t="s">
        <v>922</v>
      </c>
      <c r="B521" s="10"/>
      <c r="C521" s="10" t="s">
        <v>923</v>
      </c>
      <c r="D521" s="10" t="s">
        <v>924</v>
      </c>
      <c r="E521" s="10" t="s">
        <v>143</v>
      </c>
      <c r="F521" s="40">
        <v>12.7</v>
      </c>
      <c r="G521" s="40">
        <v>0</v>
      </c>
      <c r="H521" s="40">
        <f>ROUND(F521*AE521,2)</f>
        <v>0</v>
      </c>
      <c r="I521" s="40">
        <f>J521-H521</f>
        <v>0</v>
      </c>
      <c r="J521" s="40">
        <f>ROUND(F521*G521,2)</f>
        <v>0</v>
      </c>
      <c r="K521" s="40">
        <v>0</v>
      </c>
      <c r="L521" s="40">
        <f>F521*K521</f>
        <v>0</v>
      </c>
      <c r="M521" s="41" t="s">
        <v>72</v>
      </c>
      <c r="N521" s="41" t="s">
        <v>51</v>
      </c>
      <c r="O521" s="40">
        <f>IF(N521="5",I521,0)</f>
        <v>0</v>
      </c>
      <c r="Z521" s="40">
        <f>IF(AD521=0,J521,0)</f>
        <v>0</v>
      </c>
      <c r="AA521" s="40">
        <f>IF(AD521=15,J521,0)</f>
        <v>0</v>
      </c>
      <c r="AB521" s="40">
        <f>IF(AD521=21,J521,0)</f>
        <v>0</v>
      </c>
      <c r="AD521" s="40">
        <v>21</v>
      </c>
      <c r="AE521" s="40">
        <f>G521*0</f>
        <v>0</v>
      </c>
      <c r="AF521" s="40">
        <f>G521*(1-0)</f>
        <v>0</v>
      </c>
    </row>
    <row r="522" spans="4:6" ht="12.75">
      <c r="D522" s="44" t="s">
        <v>845</v>
      </c>
      <c r="F522" s="45">
        <v>12.7</v>
      </c>
    </row>
    <row r="523" spans="1:32" ht="12.75">
      <c r="A523" s="10" t="s">
        <v>925</v>
      </c>
      <c r="B523" s="10"/>
      <c r="C523" s="10" t="s">
        <v>926</v>
      </c>
      <c r="D523" s="10" t="s">
        <v>927</v>
      </c>
      <c r="E523" s="10" t="s">
        <v>131</v>
      </c>
      <c r="F523" s="40">
        <v>6</v>
      </c>
      <c r="G523" s="40">
        <v>0</v>
      </c>
      <c r="H523" s="40">
        <f aca="true" t="shared" si="218" ref="H523:H526">ROUND(F523*AE523,2)</f>
        <v>0</v>
      </c>
      <c r="I523" s="40">
        <f aca="true" t="shared" si="219" ref="I523:I526">J523-H523</f>
        <v>0</v>
      </c>
      <c r="J523" s="40">
        <f aca="true" t="shared" si="220" ref="J523:J526">ROUND(F523*G523,2)</f>
        <v>0</v>
      </c>
      <c r="K523" s="40">
        <v>0.018</v>
      </c>
      <c r="L523" s="40">
        <f aca="true" t="shared" si="221" ref="L523:L526">F523*K523</f>
        <v>0.10799999999999998</v>
      </c>
      <c r="M523" s="41" t="s">
        <v>72</v>
      </c>
      <c r="N523" s="41" t="s">
        <v>47</v>
      </c>
      <c r="O523" s="40">
        <f aca="true" t="shared" si="222" ref="O523:O526">IF(N523="5",I523,0)</f>
        <v>0</v>
      </c>
      <c r="Z523" s="40">
        <f aca="true" t="shared" si="223" ref="Z523:Z526">IF(AD523=0,J523,0)</f>
        <v>0</v>
      </c>
      <c r="AA523" s="40">
        <f aca="true" t="shared" si="224" ref="AA523:AA526">IF(AD523=15,J523,0)</f>
        <v>0</v>
      </c>
      <c r="AB523" s="40">
        <f aca="true" t="shared" si="225" ref="AB523:AB526">IF(AD523=21,J523,0)</f>
        <v>0</v>
      </c>
      <c r="AD523" s="40">
        <v>21</v>
      </c>
      <c r="AE523" s="40">
        <f>G523*0.04306592039801</f>
        <v>0</v>
      </c>
      <c r="AF523" s="40">
        <f>G523*(1-0.04306592039801)</f>
        <v>0</v>
      </c>
    </row>
    <row r="524" spans="1:32" ht="12.75">
      <c r="A524" s="10" t="s">
        <v>928</v>
      </c>
      <c r="B524" s="10"/>
      <c r="C524" s="10" t="s">
        <v>929</v>
      </c>
      <c r="D524" s="10" t="s">
        <v>930</v>
      </c>
      <c r="E524" s="10" t="s">
        <v>143</v>
      </c>
      <c r="F524" s="40">
        <v>2.1</v>
      </c>
      <c r="G524" s="40">
        <v>0</v>
      </c>
      <c r="H524" s="40">
        <f t="shared" si="218"/>
        <v>0</v>
      </c>
      <c r="I524" s="40">
        <f t="shared" si="219"/>
        <v>0</v>
      </c>
      <c r="J524" s="40">
        <f t="shared" si="220"/>
        <v>0</v>
      </c>
      <c r="K524" s="40">
        <v>0.012</v>
      </c>
      <c r="L524" s="40">
        <f t="shared" si="221"/>
        <v>0.0252</v>
      </c>
      <c r="M524" s="41" t="s">
        <v>72</v>
      </c>
      <c r="N524" s="41" t="s">
        <v>47</v>
      </c>
      <c r="O524" s="40">
        <f t="shared" si="222"/>
        <v>0</v>
      </c>
      <c r="Z524" s="40">
        <f t="shared" si="223"/>
        <v>0</v>
      </c>
      <c r="AA524" s="40">
        <f t="shared" si="224"/>
        <v>0</v>
      </c>
      <c r="AB524" s="40">
        <f t="shared" si="225"/>
        <v>0</v>
      </c>
      <c r="AD524" s="40">
        <v>21</v>
      </c>
      <c r="AE524" s="40">
        <f>G524*0</f>
        <v>0</v>
      </c>
      <c r="AF524" s="40">
        <f>G524*(1-0)</f>
        <v>0</v>
      </c>
    </row>
    <row r="525" spans="1:32" ht="12.75">
      <c r="A525" s="10" t="s">
        <v>931</v>
      </c>
      <c r="B525" s="10"/>
      <c r="C525" s="10" t="s">
        <v>932</v>
      </c>
      <c r="D525" s="10" t="s">
        <v>933</v>
      </c>
      <c r="E525" s="10" t="s">
        <v>50</v>
      </c>
      <c r="F525" s="40">
        <v>10</v>
      </c>
      <c r="G525" s="40">
        <v>0</v>
      </c>
      <c r="H525" s="40">
        <f t="shared" si="218"/>
        <v>0</v>
      </c>
      <c r="I525" s="40">
        <f t="shared" si="219"/>
        <v>0</v>
      </c>
      <c r="J525" s="40">
        <f t="shared" si="220"/>
        <v>0</v>
      </c>
      <c r="K525" s="40">
        <v>0.066</v>
      </c>
      <c r="L525" s="40">
        <f t="shared" si="221"/>
        <v>0.66</v>
      </c>
      <c r="M525" s="41"/>
      <c r="N525" s="41" t="s">
        <v>47</v>
      </c>
      <c r="O525" s="40">
        <f t="shared" si="222"/>
        <v>0</v>
      </c>
      <c r="Z525" s="40">
        <f t="shared" si="223"/>
        <v>0</v>
      </c>
      <c r="AA525" s="40">
        <f t="shared" si="224"/>
        <v>0</v>
      </c>
      <c r="AB525" s="40">
        <f t="shared" si="225"/>
        <v>0</v>
      </c>
      <c r="AD525" s="40">
        <v>21</v>
      </c>
      <c r="AE525" s="40">
        <f>G525*0.546919738076071</f>
        <v>0</v>
      </c>
      <c r="AF525" s="40">
        <f>G525*(1-0.546919738076071)</f>
        <v>0</v>
      </c>
    </row>
    <row r="526" spans="1:32" ht="12.75">
      <c r="A526" s="10" t="s">
        <v>934</v>
      </c>
      <c r="B526" s="10"/>
      <c r="C526" s="10" t="s">
        <v>935</v>
      </c>
      <c r="D526" s="10" t="s">
        <v>936</v>
      </c>
      <c r="E526" s="10" t="s">
        <v>131</v>
      </c>
      <c r="F526" s="40">
        <v>136</v>
      </c>
      <c r="G526" s="40">
        <v>0</v>
      </c>
      <c r="H526" s="40">
        <f t="shared" si="218"/>
        <v>0</v>
      </c>
      <c r="I526" s="40">
        <f t="shared" si="219"/>
        <v>0</v>
      </c>
      <c r="J526" s="40">
        <f t="shared" si="220"/>
        <v>0</v>
      </c>
      <c r="K526" s="40">
        <v>0.037</v>
      </c>
      <c r="L526" s="40">
        <f t="shared" si="221"/>
        <v>5.032</v>
      </c>
      <c r="M526" s="41"/>
      <c r="N526" s="41" t="s">
        <v>47</v>
      </c>
      <c r="O526" s="40">
        <f t="shared" si="222"/>
        <v>0</v>
      </c>
      <c r="Z526" s="40">
        <f t="shared" si="223"/>
        <v>0</v>
      </c>
      <c r="AA526" s="40">
        <f t="shared" si="224"/>
        <v>0</v>
      </c>
      <c r="AB526" s="40">
        <f t="shared" si="225"/>
        <v>0</v>
      </c>
      <c r="AD526" s="40">
        <v>21</v>
      </c>
      <c r="AE526" s="40">
        <f>G526*0</f>
        <v>0</v>
      </c>
      <c r="AF526" s="40">
        <f>G526*(1-0)</f>
        <v>0</v>
      </c>
    </row>
    <row r="527" spans="4:6" ht="12.75">
      <c r="D527" s="44" t="s">
        <v>937</v>
      </c>
      <c r="F527" s="45">
        <v>136</v>
      </c>
    </row>
    <row r="528" spans="1:32" ht="12.75">
      <c r="A528" s="10" t="s">
        <v>938</v>
      </c>
      <c r="B528" s="10"/>
      <c r="C528" s="10" t="s">
        <v>939</v>
      </c>
      <c r="D528" s="10" t="s">
        <v>940</v>
      </c>
      <c r="E528" s="10" t="s">
        <v>50</v>
      </c>
      <c r="F528" s="40">
        <v>72</v>
      </c>
      <c r="G528" s="40">
        <v>0</v>
      </c>
      <c r="H528" s="40">
        <f aca="true" t="shared" si="226" ref="H528:H529">ROUND(F528*AE528,2)</f>
        <v>0</v>
      </c>
      <c r="I528" s="40">
        <f aca="true" t="shared" si="227" ref="I528:I529">J528-H528</f>
        <v>0</v>
      </c>
      <c r="J528" s="40">
        <f aca="true" t="shared" si="228" ref="J528:J529">ROUND(F528*G528,2)</f>
        <v>0</v>
      </c>
      <c r="K528" s="40">
        <v>0.003</v>
      </c>
      <c r="L528" s="40">
        <f aca="true" t="shared" si="229" ref="L528:L529">F528*K528</f>
        <v>0.216</v>
      </c>
      <c r="M528" s="41"/>
      <c r="N528" s="41" t="s">
        <v>47</v>
      </c>
      <c r="O528" s="40">
        <f aca="true" t="shared" si="230" ref="O528:O529">IF(N528="5",I528,0)</f>
        <v>0</v>
      </c>
      <c r="Z528" s="40">
        <f aca="true" t="shared" si="231" ref="Z528:Z529">IF(AD528=0,J528,0)</f>
        <v>0</v>
      </c>
      <c r="AA528" s="40">
        <f aca="true" t="shared" si="232" ref="AA528:AA529">IF(AD528=15,J528,0)</f>
        <v>0</v>
      </c>
      <c r="AB528" s="40">
        <f aca="true" t="shared" si="233" ref="AB528:AB529">IF(AD528=21,J528,0)</f>
        <v>0</v>
      </c>
      <c r="AD528" s="40">
        <v>21</v>
      </c>
      <c r="AE528" s="40">
        <f aca="true" t="shared" si="234" ref="AE528:AE529">G528*0</f>
        <v>0</v>
      </c>
      <c r="AF528" s="40">
        <f aca="true" t="shared" si="235" ref="AF528:AF529">G528*(1-0)</f>
        <v>0</v>
      </c>
    </row>
    <row r="529" spans="1:32" ht="12.75">
      <c r="A529" s="10" t="s">
        <v>941</v>
      </c>
      <c r="B529" s="10"/>
      <c r="C529" s="10" t="s">
        <v>942</v>
      </c>
      <c r="D529" s="10" t="s">
        <v>943</v>
      </c>
      <c r="E529" s="10" t="s">
        <v>131</v>
      </c>
      <c r="F529" s="40">
        <v>5</v>
      </c>
      <c r="G529" s="40">
        <v>0</v>
      </c>
      <c r="H529" s="40">
        <f t="shared" si="226"/>
        <v>0</v>
      </c>
      <c r="I529" s="40">
        <f t="shared" si="227"/>
        <v>0</v>
      </c>
      <c r="J529" s="40">
        <f t="shared" si="228"/>
        <v>0</v>
      </c>
      <c r="K529" s="40">
        <v>0.006</v>
      </c>
      <c r="L529" s="40">
        <f t="shared" si="229"/>
        <v>0.03</v>
      </c>
      <c r="M529" s="41"/>
      <c r="N529" s="41" t="s">
        <v>47</v>
      </c>
      <c r="O529" s="40">
        <f t="shared" si="230"/>
        <v>0</v>
      </c>
      <c r="Z529" s="40">
        <f t="shared" si="231"/>
        <v>0</v>
      </c>
      <c r="AA529" s="40">
        <f t="shared" si="232"/>
        <v>0</v>
      </c>
      <c r="AB529" s="40">
        <f t="shared" si="233"/>
        <v>0</v>
      </c>
      <c r="AD529" s="40">
        <v>21</v>
      </c>
      <c r="AE529" s="40">
        <f t="shared" si="234"/>
        <v>0</v>
      </c>
      <c r="AF529" s="40">
        <f t="shared" si="235"/>
        <v>0</v>
      </c>
    </row>
    <row r="530" spans="1:37" ht="12.75">
      <c r="A530" s="42"/>
      <c r="B530" s="43"/>
      <c r="C530" s="43" t="s">
        <v>944</v>
      </c>
      <c r="D530" s="43" t="s">
        <v>945</v>
      </c>
      <c r="E530" s="43"/>
      <c r="F530" s="43"/>
      <c r="G530" s="43"/>
      <c r="H530" s="39">
        <f>SUM(H531:H531)</f>
        <v>0</v>
      </c>
      <c r="I530" s="39">
        <f>SUM(I531:I531)</f>
        <v>0</v>
      </c>
      <c r="J530" s="39">
        <f>H530+I530</f>
        <v>0</v>
      </c>
      <c r="K530" s="34"/>
      <c r="L530" s="39">
        <f>SUM(L531:L531)</f>
        <v>0</v>
      </c>
      <c r="M530" s="34"/>
      <c r="P530" s="39">
        <f>IF(Q530="PR",J530,SUM(O531:O531))</f>
        <v>0</v>
      </c>
      <c r="Q530" s="34" t="s">
        <v>946</v>
      </c>
      <c r="R530" s="39">
        <f>IF(Q530="HS",H530,0)</f>
        <v>0</v>
      </c>
      <c r="S530" s="39">
        <f>IF(Q530="HS",I530-P530,0)</f>
        <v>0</v>
      </c>
      <c r="T530" s="39">
        <f>IF(Q530="PS",H530,0)</f>
        <v>0</v>
      </c>
      <c r="U530" s="39">
        <f>IF(Q530="PS",I530-P530,0)</f>
        <v>0</v>
      </c>
      <c r="V530" s="39">
        <f>IF(Q530="MP",H530,0)</f>
        <v>0</v>
      </c>
      <c r="W530" s="39">
        <f>IF(Q530="MP",I530-P530,0)</f>
        <v>0</v>
      </c>
      <c r="X530" s="39">
        <f>IF(Q530="OM",H530,0)</f>
        <v>0</v>
      </c>
      <c r="Y530" s="34"/>
      <c r="AI530" s="39">
        <f>SUM(Z531:Z531)</f>
        <v>0</v>
      </c>
      <c r="AJ530" s="39">
        <f>SUM(AA531:AA531)</f>
        <v>0</v>
      </c>
      <c r="AK530" s="39">
        <f>SUM(AB531:AB531)</f>
        <v>0</v>
      </c>
    </row>
    <row r="531" spans="1:32" ht="12.75">
      <c r="A531" s="10" t="s">
        <v>947</v>
      </c>
      <c r="B531" s="10"/>
      <c r="C531" s="10" t="s">
        <v>948</v>
      </c>
      <c r="D531" s="10" t="s">
        <v>949</v>
      </c>
      <c r="E531" s="10" t="s">
        <v>113</v>
      </c>
      <c r="F531" s="40">
        <v>166.73</v>
      </c>
      <c r="G531" s="40">
        <v>0</v>
      </c>
      <c r="H531" s="40">
        <f>ROUND(F531*AE531,2)</f>
        <v>0</v>
      </c>
      <c r="I531" s="40">
        <f>J531-H531</f>
        <v>0</v>
      </c>
      <c r="J531" s="40">
        <f>ROUND(F531*G531,2)</f>
        <v>0</v>
      </c>
      <c r="K531" s="40">
        <v>0</v>
      </c>
      <c r="L531" s="40">
        <f>F531*K531</f>
        <v>0</v>
      </c>
      <c r="M531" s="41" t="s">
        <v>72</v>
      </c>
      <c r="N531" s="41" t="s">
        <v>60</v>
      </c>
      <c r="O531" s="40">
        <f>IF(N531="5",I531,0)</f>
        <v>0</v>
      </c>
      <c r="Z531" s="40">
        <f>IF(AD531=0,J531,0)</f>
        <v>0</v>
      </c>
      <c r="AA531" s="40">
        <f>IF(AD531=15,J531,0)</f>
        <v>0</v>
      </c>
      <c r="AB531" s="40">
        <f>IF(AD531=21,J531,0)</f>
        <v>0</v>
      </c>
      <c r="AD531" s="40">
        <v>21</v>
      </c>
      <c r="AE531" s="40">
        <f>G531*0</f>
        <v>0</v>
      </c>
      <c r="AF531" s="40">
        <f>G531*(1-0)</f>
        <v>0</v>
      </c>
    </row>
    <row r="532" spans="4:6" ht="12.75">
      <c r="D532" s="44" t="s">
        <v>950</v>
      </c>
      <c r="F532" s="45">
        <v>166.73</v>
      </c>
    </row>
    <row r="533" spans="1:37" ht="12.75">
      <c r="A533" s="42"/>
      <c r="B533" s="43"/>
      <c r="C533" s="43" t="s">
        <v>951</v>
      </c>
      <c r="D533" s="43" t="s">
        <v>952</v>
      </c>
      <c r="E533" s="43"/>
      <c r="F533" s="43"/>
      <c r="G533" s="43"/>
      <c r="H533" s="39">
        <f>SUM(H534:H536)</f>
        <v>0</v>
      </c>
      <c r="I533" s="39">
        <f>SUM(I534:I536)</f>
        <v>0</v>
      </c>
      <c r="J533" s="39">
        <f>H533+I533</f>
        <v>0</v>
      </c>
      <c r="K533" s="34"/>
      <c r="L533" s="39">
        <f>SUM(L534:L536)</f>
        <v>0</v>
      </c>
      <c r="M533" s="34"/>
      <c r="P533" s="39">
        <f>IF(Q533="PR",J533,SUM(O534:O536))</f>
        <v>0</v>
      </c>
      <c r="Q533" s="34" t="s">
        <v>953</v>
      </c>
      <c r="R533" s="39">
        <f>IF(Q533="HS",H533,0)</f>
        <v>0</v>
      </c>
      <c r="S533" s="39">
        <f>IF(Q533="HS",I533-P533,0)</f>
        <v>0</v>
      </c>
      <c r="T533" s="39">
        <f>IF(Q533="PS",H533,0)</f>
        <v>0</v>
      </c>
      <c r="U533" s="39">
        <f>IF(Q533="PS",I533-P533,0)</f>
        <v>0</v>
      </c>
      <c r="V533" s="39">
        <f>IF(Q533="MP",H533,0)</f>
        <v>0</v>
      </c>
      <c r="W533" s="39">
        <f>IF(Q533="MP",I533-P533,0)</f>
        <v>0</v>
      </c>
      <c r="X533" s="39">
        <f>IF(Q533="OM",H533,0)</f>
        <v>0</v>
      </c>
      <c r="Y533" s="34"/>
      <c r="AI533" s="39">
        <f>SUM(Z534:Z536)</f>
        <v>0</v>
      </c>
      <c r="AJ533" s="39">
        <f>SUM(AA534:AA536)</f>
        <v>0</v>
      </c>
      <c r="AK533" s="39">
        <f>SUM(AB534:AB536)</f>
        <v>0</v>
      </c>
    </row>
    <row r="534" spans="1:32" ht="12.75">
      <c r="A534" s="10" t="s">
        <v>954</v>
      </c>
      <c r="B534" s="10"/>
      <c r="C534" s="10" t="s">
        <v>955</v>
      </c>
      <c r="D534" s="10" t="s">
        <v>956</v>
      </c>
      <c r="E534" s="10" t="s">
        <v>50</v>
      </c>
      <c r="F534" s="40">
        <v>1</v>
      </c>
      <c r="G534" s="40">
        <v>0</v>
      </c>
      <c r="H534" s="40">
        <f aca="true" t="shared" si="236" ref="H534:H536">ROUND(F534*AE534,2)</f>
        <v>0</v>
      </c>
      <c r="I534" s="40">
        <f aca="true" t="shared" si="237" ref="I534:I536">J534-H534</f>
        <v>0</v>
      </c>
      <c r="J534" s="40">
        <f aca="true" t="shared" si="238" ref="J534:J536">ROUND(F534*G534,2)</f>
        <v>0</v>
      </c>
      <c r="K534" s="40">
        <v>0</v>
      </c>
      <c r="L534" s="40">
        <f aca="true" t="shared" si="239" ref="L534:L536">F534*K534</f>
        <v>0</v>
      </c>
      <c r="M534" s="41"/>
      <c r="N534" s="41" t="s">
        <v>51</v>
      </c>
      <c r="O534" s="40">
        <f aca="true" t="shared" si="240" ref="O534:O536">IF(N534="5",I534,0)</f>
        <v>0</v>
      </c>
      <c r="Z534" s="40">
        <f aca="true" t="shared" si="241" ref="Z534:Z536">IF(AD534=0,J534,0)</f>
        <v>0</v>
      </c>
      <c r="AA534" s="40">
        <f aca="true" t="shared" si="242" ref="AA534:AA536">IF(AD534=15,J534,0)</f>
        <v>0</v>
      </c>
      <c r="AB534" s="40">
        <f aca="true" t="shared" si="243" ref="AB534:AB536">IF(AD534=21,J534,0)</f>
        <v>0</v>
      </c>
      <c r="AD534" s="40">
        <v>21</v>
      </c>
      <c r="AE534" s="40">
        <f aca="true" t="shared" si="244" ref="AE534:AE536">G534*0</f>
        <v>0</v>
      </c>
      <c r="AF534" s="40">
        <f aca="true" t="shared" si="245" ref="AF534:AF536">G534*(1-0)</f>
        <v>0</v>
      </c>
    </row>
    <row r="535" spans="1:32" ht="12.75">
      <c r="A535" s="10" t="s">
        <v>957</v>
      </c>
      <c r="B535" s="10"/>
      <c r="C535" s="10" t="s">
        <v>955</v>
      </c>
      <c r="D535" s="10" t="s">
        <v>958</v>
      </c>
      <c r="E535" s="10" t="s">
        <v>50</v>
      </c>
      <c r="F535" s="40">
        <v>1</v>
      </c>
      <c r="G535" s="40">
        <v>0</v>
      </c>
      <c r="H535" s="40">
        <f t="shared" si="236"/>
        <v>0</v>
      </c>
      <c r="I535" s="40">
        <f t="shared" si="237"/>
        <v>0</v>
      </c>
      <c r="J535" s="40">
        <f t="shared" si="238"/>
        <v>0</v>
      </c>
      <c r="K535" s="40">
        <v>0</v>
      </c>
      <c r="L535" s="40">
        <f t="shared" si="239"/>
        <v>0</v>
      </c>
      <c r="M535" s="41"/>
      <c r="N535" s="41" t="s">
        <v>51</v>
      </c>
      <c r="O535" s="40">
        <f t="shared" si="240"/>
        <v>0</v>
      </c>
      <c r="Z535" s="40">
        <f t="shared" si="241"/>
        <v>0</v>
      </c>
      <c r="AA535" s="40">
        <f t="shared" si="242"/>
        <v>0</v>
      </c>
      <c r="AB535" s="40">
        <f t="shared" si="243"/>
        <v>0</v>
      </c>
      <c r="AD535" s="40">
        <v>21</v>
      </c>
      <c r="AE535" s="40">
        <f t="shared" si="244"/>
        <v>0</v>
      </c>
      <c r="AF535" s="40">
        <f t="shared" si="245"/>
        <v>0</v>
      </c>
    </row>
    <row r="536" spans="1:32" ht="12.75">
      <c r="A536" s="10" t="s">
        <v>959</v>
      </c>
      <c r="B536" s="10"/>
      <c r="C536" s="10" t="s">
        <v>960</v>
      </c>
      <c r="D536" s="10" t="s">
        <v>961</v>
      </c>
      <c r="E536" s="10" t="s">
        <v>131</v>
      </c>
      <c r="F536" s="40">
        <v>1</v>
      </c>
      <c r="G536" s="40">
        <v>0</v>
      </c>
      <c r="H536" s="40">
        <f t="shared" si="236"/>
        <v>0</v>
      </c>
      <c r="I536" s="40">
        <f t="shared" si="237"/>
        <v>0</v>
      </c>
      <c r="J536" s="40">
        <f t="shared" si="238"/>
        <v>0</v>
      </c>
      <c r="K536" s="40">
        <v>0</v>
      </c>
      <c r="L536" s="40">
        <f t="shared" si="239"/>
        <v>0</v>
      </c>
      <c r="M536" s="41"/>
      <c r="N536" s="41" t="s">
        <v>51</v>
      </c>
      <c r="O536" s="40">
        <f t="shared" si="240"/>
        <v>0</v>
      </c>
      <c r="Z536" s="40">
        <f t="shared" si="241"/>
        <v>0</v>
      </c>
      <c r="AA536" s="40">
        <f t="shared" si="242"/>
        <v>0</v>
      </c>
      <c r="AB536" s="40">
        <f t="shared" si="243"/>
        <v>0</v>
      </c>
      <c r="AD536" s="40">
        <v>21</v>
      </c>
      <c r="AE536" s="40">
        <f t="shared" si="244"/>
        <v>0</v>
      </c>
      <c r="AF536" s="40">
        <f t="shared" si="245"/>
        <v>0</v>
      </c>
    </row>
    <row r="537" spans="1:37" ht="12.75">
      <c r="A537" s="42"/>
      <c r="B537" s="43"/>
      <c r="C537" s="43" t="s">
        <v>962</v>
      </c>
      <c r="D537" s="43" t="s">
        <v>963</v>
      </c>
      <c r="E537" s="43"/>
      <c r="F537" s="43"/>
      <c r="G537" s="43"/>
      <c r="H537" s="39">
        <f>SUM(H538:H538)</f>
        <v>0</v>
      </c>
      <c r="I537" s="39">
        <f>SUM(I538:I538)</f>
        <v>0</v>
      </c>
      <c r="J537" s="39">
        <f>H537+I537</f>
        <v>0</v>
      </c>
      <c r="K537" s="34"/>
      <c r="L537" s="39">
        <f>SUM(L538:L538)</f>
        <v>0.00037</v>
      </c>
      <c r="M537" s="34"/>
      <c r="P537" s="39">
        <f>IF(Q537="PR",J537,SUM(O538:O538))</f>
        <v>0</v>
      </c>
      <c r="Q537" s="34" t="s">
        <v>953</v>
      </c>
      <c r="R537" s="39">
        <f>IF(Q537="HS",H537,0)</f>
        <v>0</v>
      </c>
      <c r="S537" s="39">
        <f>IF(Q537="HS",I537-P537,0)</f>
        <v>0</v>
      </c>
      <c r="T537" s="39">
        <f>IF(Q537="PS",H537,0)</f>
        <v>0</v>
      </c>
      <c r="U537" s="39">
        <f>IF(Q537="PS",I537-P537,0)</f>
        <v>0</v>
      </c>
      <c r="V537" s="39">
        <f>IF(Q537="MP",H537,0)</f>
        <v>0</v>
      </c>
      <c r="W537" s="39">
        <f>IF(Q537="MP",I537-P537,0)</f>
        <v>0</v>
      </c>
      <c r="X537" s="39">
        <f>IF(Q537="OM",H537,0)</f>
        <v>0</v>
      </c>
      <c r="Y537" s="34"/>
      <c r="AI537" s="39">
        <f>SUM(Z538:Z538)</f>
        <v>0</v>
      </c>
      <c r="AJ537" s="39">
        <f>SUM(AA538:AA538)</f>
        <v>0</v>
      </c>
      <c r="AK537" s="39">
        <f>SUM(AB538:AB538)</f>
        <v>0</v>
      </c>
    </row>
    <row r="538" spans="1:32" ht="14.25">
      <c r="A538" s="10" t="s">
        <v>964</v>
      </c>
      <c r="B538" s="10"/>
      <c r="C538" s="10" t="s">
        <v>965</v>
      </c>
      <c r="D538" s="10" t="s">
        <v>963</v>
      </c>
      <c r="E538" s="10" t="s">
        <v>131</v>
      </c>
      <c r="F538" s="40">
        <v>1</v>
      </c>
      <c r="G538" s="40">
        <f>Hromosvod!J65</f>
        <v>0</v>
      </c>
      <c r="H538" s="40">
        <f>Hromosvod!H12+Hromosvod!H14+Hromosvod!H25+Hromosvod!H32+Hromosvod!H39</f>
        <v>0</v>
      </c>
      <c r="I538" s="40">
        <f>Hromosvod!I12+Hromosvod!I14+Hromosvod!I25+Hromosvod!I32+Hromosvod!I39</f>
        <v>0</v>
      </c>
      <c r="J538" s="40">
        <f>ROUND(F538*G538,2)</f>
        <v>0</v>
      </c>
      <c r="K538" s="40">
        <v>0.00037</v>
      </c>
      <c r="L538" s="40">
        <f>F538*K538</f>
        <v>0.00037</v>
      </c>
      <c r="M538" s="41" t="s">
        <v>72</v>
      </c>
      <c r="N538" s="41" t="s">
        <v>51</v>
      </c>
      <c r="O538" s="40">
        <f>IF(N538="5",I538,0)</f>
        <v>0</v>
      </c>
      <c r="Z538" s="40">
        <f>IF(AD538=0,J538,0)</f>
        <v>0</v>
      </c>
      <c r="AA538" s="40">
        <f>IF(AD538=15,J538,0)</f>
        <v>0</v>
      </c>
      <c r="AB538" s="40">
        <f>IF(AD538=21,J538,0)</f>
        <v>0</v>
      </c>
      <c r="AD538" s="40">
        <v>21</v>
      </c>
      <c r="AE538" s="40">
        <f>G538*0.530744</f>
        <v>0</v>
      </c>
      <c r="AF538" s="40">
        <f>G538*(1-0.530744)</f>
        <v>0</v>
      </c>
    </row>
    <row r="539" spans="1:37" ht="12.75">
      <c r="A539" s="42"/>
      <c r="B539" s="43"/>
      <c r="C539" s="43" t="s">
        <v>966</v>
      </c>
      <c r="D539" s="43" t="s">
        <v>967</v>
      </c>
      <c r="E539" s="43"/>
      <c r="F539" s="43"/>
      <c r="G539" s="43"/>
      <c r="H539" s="39">
        <f>SUM(H540:H541)</f>
        <v>0</v>
      </c>
      <c r="I539" s="39">
        <f>SUM(I540:I541)</f>
        <v>0</v>
      </c>
      <c r="J539" s="39">
        <f>H539+I539</f>
        <v>0</v>
      </c>
      <c r="K539" s="34"/>
      <c r="L539" s="39">
        <f>SUM(L540:L541)</f>
        <v>0</v>
      </c>
      <c r="M539" s="34"/>
      <c r="P539" s="39">
        <f>IF(Q539="PR",J539,SUM(O540:O541))</f>
        <v>0</v>
      </c>
      <c r="Q539" s="34" t="s">
        <v>953</v>
      </c>
      <c r="R539" s="39">
        <f>IF(Q539="HS",H539,0)</f>
        <v>0</v>
      </c>
      <c r="S539" s="39">
        <f>IF(Q539="HS",I539-P539,0)</f>
        <v>0</v>
      </c>
      <c r="T539" s="39">
        <f>IF(Q539="PS",H539,0)</f>
        <v>0</v>
      </c>
      <c r="U539" s="39">
        <f>IF(Q539="PS",I539-P539,0)</f>
        <v>0</v>
      </c>
      <c r="V539" s="39">
        <f>IF(Q539="MP",H539,0)</f>
        <v>0</v>
      </c>
      <c r="W539" s="39">
        <f>IF(Q539="MP",I539-P539,0)</f>
        <v>0</v>
      </c>
      <c r="X539" s="39">
        <f>IF(Q539="OM",H539,0)</f>
        <v>0</v>
      </c>
      <c r="Y539" s="34"/>
      <c r="AI539" s="39">
        <f>SUM(Z540:Z541)</f>
        <v>0</v>
      </c>
      <c r="AJ539" s="39">
        <f>SUM(AA540:AA541)</f>
        <v>0</v>
      </c>
      <c r="AK539" s="39">
        <f>SUM(AB540:AB541)</f>
        <v>0</v>
      </c>
    </row>
    <row r="540" spans="1:32" ht="12.75">
      <c r="A540" s="10" t="s">
        <v>968</v>
      </c>
      <c r="B540" s="10"/>
      <c r="C540" s="10" t="s">
        <v>969</v>
      </c>
      <c r="D540" s="10" t="s">
        <v>970</v>
      </c>
      <c r="E540" s="10" t="s">
        <v>131</v>
      </c>
      <c r="F540" s="40">
        <v>1</v>
      </c>
      <c r="G540" s="40">
        <v>0</v>
      </c>
      <c r="H540" s="40">
        <f aca="true" t="shared" si="246" ref="H540:H541">ROUND(F540*AE540,2)</f>
        <v>0</v>
      </c>
      <c r="I540" s="40">
        <f aca="true" t="shared" si="247" ref="I540:I541">J540-H540</f>
        <v>0</v>
      </c>
      <c r="J540" s="40">
        <f aca="true" t="shared" si="248" ref="J540:J541">ROUND(F540*G540,2)</f>
        <v>0</v>
      </c>
      <c r="K540" s="40">
        <v>0</v>
      </c>
      <c r="L540" s="40">
        <f aca="true" t="shared" si="249" ref="L540:L541">F540*K540</f>
        <v>0</v>
      </c>
      <c r="M540" s="41"/>
      <c r="N540" s="41" t="s">
        <v>51</v>
      </c>
      <c r="O540" s="40">
        <f aca="true" t="shared" si="250" ref="O540:O541">IF(N540="5",I540,0)</f>
        <v>0</v>
      </c>
      <c r="Z540" s="40">
        <f aca="true" t="shared" si="251" ref="Z540:Z541">IF(AD540=0,J540,0)</f>
        <v>0</v>
      </c>
      <c r="AA540" s="40">
        <f aca="true" t="shared" si="252" ref="AA540:AA541">IF(AD540=15,J540,0)</f>
        <v>0</v>
      </c>
      <c r="AB540" s="40">
        <f aca="true" t="shared" si="253" ref="AB540:AB541">IF(AD540=21,J540,0)</f>
        <v>0</v>
      </c>
      <c r="AD540" s="40">
        <v>21</v>
      </c>
      <c r="AE540" s="40">
        <f>G540*0.813202756619514</f>
        <v>0</v>
      </c>
      <c r="AF540" s="40">
        <f>G540*(1-0.813202756619514)</f>
        <v>0</v>
      </c>
    </row>
    <row r="541" spans="1:32" ht="12.75">
      <c r="A541" s="10" t="s">
        <v>971</v>
      </c>
      <c r="B541" s="10"/>
      <c r="C541" s="10" t="s">
        <v>972</v>
      </c>
      <c r="D541" s="10" t="s">
        <v>973</v>
      </c>
      <c r="E541" s="10" t="s">
        <v>131</v>
      </c>
      <c r="F541" s="40">
        <v>1</v>
      </c>
      <c r="G541" s="40">
        <v>0</v>
      </c>
      <c r="H541" s="40">
        <f t="shared" si="246"/>
        <v>0</v>
      </c>
      <c r="I541" s="40">
        <f t="shared" si="247"/>
        <v>0</v>
      </c>
      <c r="J541" s="40">
        <f t="shared" si="248"/>
        <v>0</v>
      </c>
      <c r="K541" s="40">
        <v>0</v>
      </c>
      <c r="L541" s="40">
        <f t="shared" si="249"/>
        <v>0</v>
      </c>
      <c r="M541" s="41"/>
      <c r="N541" s="41" t="s">
        <v>51</v>
      </c>
      <c r="O541" s="40">
        <f t="shared" si="250"/>
        <v>0</v>
      </c>
      <c r="Z541" s="40">
        <f t="shared" si="251"/>
        <v>0</v>
      </c>
      <c r="AA541" s="40">
        <f t="shared" si="252"/>
        <v>0</v>
      </c>
      <c r="AB541" s="40">
        <f t="shared" si="253"/>
        <v>0</v>
      </c>
      <c r="AD541" s="40">
        <v>21</v>
      </c>
      <c r="AE541" s="40">
        <f>G541*0.772511848341232</f>
        <v>0</v>
      </c>
      <c r="AF541" s="40">
        <f>G541*(1-0.772511848341232)</f>
        <v>0</v>
      </c>
    </row>
    <row r="542" spans="1:37" ht="12.75">
      <c r="A542" s="42"/>
      <c r="B542" s="43"/>
      <c r="C542" s="43" t="s">
        <v>974</v>
      </c>
      <c r="D542" s="43" t="s">
        <v>975</v>
      </c>
      <c r="E542" s="43"/>
      <c r="F542" s="43"/>
      <c r="G542" s="43"/>
      <c r="H542" s="39">
        <f>SUM(H543:H553)</f>
        <v>0</v>
      </c>
      <c r="I542" s="39">
        <f>SUM(I543:I553)</f>
        <v>0</v>
      </c>
      <c r="J542" s="39">
        <f>H542+I542</f>
        <v>0</v>
      </c>
      <c r="K542" s="34"/>
      <c r="L542" s="39">
        <f>SUM(L543:L553)</f>
        <v>0</v>
      </c>
      <c r="M542" s="34"/>
      <c r="P542" s="39">
        <f>IF(Q542="PR",J542,SUM(O543:O553))</f>
        <v>0</v>
      </c>
      <c r="Q542" s="34" t="s">
        <v>946</v>
      </c>
      <c r="R542" s="39">
        <f>IF(Q542="HS",H542,0)</f>
        <v>0</v>
      </c>
      <c r="S542" s="39">
        <f>IF(Q542="HS",I542-P542,0)</f>
        <v>0</v>
      </c>
      <c r="T542" s="39">
        <f>IF(Q542="PS",H542,0)</f>
        <v>0</v>
      </c>
      <c r="U542" s="39">
        <f>IF(Q542="PS",I542-P542,0)</f>
        <v>0</v>
      </c>
      <c r="V542" s="39">
        <f>IF(Q542="MP",H542,0)</f>
        <v>0</v>
      </c>
      <c r="W542" s="39">
        <f>IF(Q542="MP",I542-P542,0)</f>
        <v>0</v>
      </c>
      <c r="X542" s="39">
        <f>IF(Q542="OM",H542,0)</f>
        <v>0</v>
      </c>
      <c r="Y542" s="34"/>
      <c r="AI542" s="39">
        <f>SUM(Z543:Z553)</f>
        <v>0</v>
      </c>
      <c r="AJ542" s="39">
        <f>SUM(AA543:AA553)</f>
        <v>0</v>
      </c>
      <c r="AK542" s="39">
        <f>SUM(AB543:AB553)</f>
        <v>0</v>
      </c>
    </row>
    <row r="543" spans="1:32" ht="12.75">
      <c r="A543" s="10" t="s">
        <v>976</v>
      </c>
      <c r="B543" s="10"/>
      <c r="C543" s="10" t="s">
        <v>977</v>
      </c>
      <c r="D543" s="10" t="s">
        <v>978</v>
      </c>
      <c r="E543" s="10" t="s">
        <v>113</v>
      </c>
      <c r="F543" s="40">
        <v>45.21</v>
      </c>
      <c r="G543" s="40">
        <v>0</v>
      </c>
      <c r="H543" s="40">
        <f>ROUND(F543*AE543,2)</f>
        <v>0</v>
      </c>
      <c r="I543" s="40">
        <f>J543-H543</f>
        <v>0</v>
      </c>
      <c r="J543" s="40">
        <f>ROUND(F543*G543,2)</f>
        <v>0</v>
      </c>
      <c r="K543" s="40">
        <v>0</v>
      </c>
      <c r="L543" s="40">
        <f>F543*K543</f>
        <v>0</v>
      </c>
      <c r="M543" s="41" t="s">
        <v>72</v>
      </c>
      <c r="N543" s="41" t="s">
        <v>60</v>
      </c>
      <c r="O543" s="40">
        <f>IF(N543="5",I543,0)</f>
        <v>0</v>
      </c>
      <c r="Z543" s="40">
        <f>IF(AD543=0,J543,0)</f>
        <v>0</v>
      </c>
      <c r="AA543" s="40">
        <f>IF(AD543=15,J543,0)</f>
        <v>0</v>
      </c>
      <c r="AB543" s="40">
        <f>IF(AD543=21,J543,0)</f>
        <v>0</v>
      </c>
      <c r="AD543" s="40">
        <v>21</v>
      </c>
      <c r="AE543" s="40">
        <f>G543*0</f>
        <v>0</v>
      </c>
      <c r="AF543" s="40">
        <f>G543*(1-0)</f>
        <v>0</v>
      </c>
    </row>
    <row r="544" spans="4:6" ht="12.75">
      <c r="D544" s="44" t="s">
        <v>979</v>
      </c>
      <c r="F544" s="45">
        <v>45.21</v>
      </c>
    </row>
    <row r="545" spans="1:32" ht="12.75">
      <c r="A545" s="10" t="s">
        <v>980</v>
      </c>
      <c r="B545" s="10"/>
      <c r="C545" s="10" t="s">
        <v>981</v>
      </c>
      <c r="D545" s="10" t="s">
        <v>982</v>
      </c>
      <c r="E545" s="10" t="s">
        <v>113</v>
      </c>
      <c r="F545" s="40">
        <v>45.21</v>
      </c>
      <c r="G545" s="40">
        <v>0</v>
      </c>
      <c r="H545" s="40">
        <f>ROUND(F545*AE545,2)</f>
        <v>0</v>
      </c>
      <c r="I545" s="40">
        <f>J545-H545</f>
        <v>0</v>
      </c>
      <c r="J545" s="40">
        <f>ROUND(F545*G545,2)</f>
        <v>0</v>
      </c>
      <c r="K545" s="40">
        <v>0</v>
      </c>
      <c r="L545" s="40">
        <f>F545*K545</f>
        <v>0</v>
      </c>
      <c r="M545" s="41" t="s">
        <v>72</v>
      </c>
      <c r="N545" s="41" t="s">
        <v>60</v>
      </c>
      <c r="O545" s="40">
        <f>IF(N545="5",I545,0)</f>
        <v>0</v>
      </c>
      <c r="Z545" s="40">
        <f>IF(AD545=0,J545,0)</f>
        <v>0</v>
      </c>
      <c r="AA545" s="40">
        <f>IF(AD545=15,J545,0)</f>
        <v>0</v>
      </c>
      <c r="AB545" s="40">
        <f>IF(AD545=21,J545,0)</f>
        <v>0</v>
      </c>
      <c r="AD545" s="40">
        <v>21</v>
      </c>
      <c r="AE545" s="40">
        <f>G545*0</f>
        <v>0</v>
      </c>
      <c r="AF545" s="40">
        <f>G545*(1-0)</f>
        <v>0</v>
      </c>
    </row>
    <row r="546" spans="4:6" ht="12.75">
      <c r="D546" s="44" t="s">
        <v>979</v>
      </c>
      <c r="F546" s="45">
        <v>45.21</v>
      </c>
    </row>
    <row r="547" spans="1:32" ht="12.75">
      <c r="A547" s="10" t="s">
        <v>983</v>
      </c>
      <c r="B547" s="10"/>
      <c r="C547" s="10" t="s">
        <v>984</v>
      </c>
      <c r="D547" s="10" t="s">
        <v>985</v>
      </c>
      <c r="E547" s="10" t="s">
        <v>113</v>
      </c>
      <c r="F547" s="40">
        <v>43.54</v>
      </c>
      <c r="G547" s="40">
        <v>0</v>
      </c>
      <c r="H547" s="40">
        <f>ROUND(F547*AE547,2)</f>
        <v>0</v>
      </c>
      <c r="I547" s="40">
        <f>J547-H547</f>
        <v>0</v>
      </c>
      <c r="J547" s="40">
        <f>ROUND(F547*G547,2)</f>
        <v>0</v>
      </c>
      <c r="K547" s="40">
        <v>0</v>
      </c>
      <c r="L547" s="40">
        <f>F547*K547</f>
        <v>0</v>
      </c>
      <c r="M547" s="41" t="s">
        <v>72</v>
      </c>
      <c r="N547" s="41" t="s">
        <v>60</v>
      </c>
      <c r="O547" s="40">
        <f>IF(N547="5",I547,0)</f>
        <v>0</v>
      </c>
      <c r="Z547" s="40">
        <f>IF(AD547=0,J547,0)</f>
        <v>0</v>
      </c>
      <c r="AA547" s="40">
        <f>IF(AD547=15,J547,0)</f>
        <v>0</v>
      </c>
      <c r="AB547" s="40">
        <f>IF(AD547=21,J547,0)</f>
        <v>0</v>
      </c>
      <c r="AD547" s="40">
        <v>21</v>
      </c>
      <c r="AE547" s="40">
        <f>G547*0</f>
        <v>0</v>
      </c>
      <c r="AF547" s="40">
        <f>G547*(1-0)</f>
        <v>0</v>
      </c>
    </row>
    <row r="548" spans="4:6" ht="12.75">
      <c r="D548" s="44" t="s">
        <v>986</v>
      </c>
      <c r="F548" s="45">
        <v>43.54</v>
      </c>
    </row>
    <row r="549" spans="1:32" ht="12.75">
      <c r="A549" s="10" t="s">
        <v>987</v>
      </c>
      <c r="B549" s="10"/>
      <c r="C549" s="10" t="s">
        <v>988</v>
      </c>
      <c r="D549" s="10" t="s">
        <v>989</v>
      </c>
      <c r="E549" s="10" t="s">
        <v>113</v>
      </c>
      <c r="F549" s="40">
        <v>45.21</v>
      </c>
      <c r="G549" s="40">
        <v>0</v>
      </c>
      <c r="H549" s="40">
        <f>ROUND(F549*AE549,2)</f>
        <v>0</v>
      </c>
      <c r="I549" s="40">
        <f>J549-H549</f>
        <v>0</v>
      </c>
      <c r="J549" s="40">
        <f>ROUND(F549*G549,2)</f>
        <v>0</v>
      </c>
      <c r="K549" s="40">
        <v>0</v>
      </c>
      <c r="L549" s="40">
        <f>F549*K549</f>
        <v>0</v>
      </c>
      <c r="M549" s="41" t="s">
        <v>72</v>
      </c>
      <c r="N549" s="41" t="s">
        <v>60</v>
      </c>
      <c r="O549" s="40">
        <f>IF(N549="5",I549,0)</f>
        <v>0</v>
      </c>
      <c r="Z549" s="40">
        <f>IF(AD549=0,J549,0)</f>
        <v>0</v>
      </c>
      <c r="AA549" s="40">
        <f>IF(AD549=15,J549,0)</f>
        <v>0</v>
      </c>
      <c r="AB549" s="40">
        <f>IF(AD549=21,J549,0)</f>
        <v>0</v>
      </c>
      <c r="AD549" s="40">
        <v>21</v>
      </c>
      <c r="AE549" s="40">
        <f>G549*0.00782212162566987</f>
        <v>0</v>
      </c>
      <c r="AF549" s="40">
        <f>G549*(1-0.00782212162566987)</f>
        <v>0</v>
      </c>
    </row>
    <row r="550" spans="4:6" ht="12.75">
      <c r="D550" s="44" t="s">
        <v>979</v>
      </c>
      <c r="F550" s="45">
        <v>45.21</v>
      </c>
    </row>
    <row r="551" spans="1:32" ht="12.75">
      <c r="A551" s="10" t="s">
        <v>990</v>
      </c>
      <c r="B551" s="10"/>
      <c r="C551" s="10" t="s">
        <v>991</v>
      </c>
      <c r="D551" s="10" t="s">
        <v>992</v>
      </c>
      <c r="E551" s="10" t="s">
        <v>113</v>
      </c>
      <c r="F551" s="40">
        <v>271.26</v>
      </c>
      <c r="G551" s="40">
        <v>0</v>
      </c>
      <c r="H551" s="40">
        <f>ROUND(F551*AE551,2)</f>
        <v>0</v>
      </c>
      <c r="I551" s="40">
        <f>J551-H551</f>
        <v>0</v>
      </c>
      <c r="J551" s="40">
        <f>ROUND(F551*G551,2)</f>
        <v>0</v>
      </c>
      <c r="K551" s="40">
        <v>0</v>
      </c>
      <c r="L551" s="40">
        <f>F551*K551</f>
        <v>0</v>
      </c>
      <c r="M551" s="41" t="s">
        <v>72</v>
      </c>
      <c r="N551" s="41" t="s">
        <v>60</v>
      </c>
      <c r="O551" s="40">
        <f>IF(N551="5",I551,0)</f>
        <v>0</v>
      </c>
      <c r="Z551" s="40">
        <f>IF(AD551=0,J551,0)</f>
        <v>0</v>
      </c>
      <c r="AA551" s="40">
        <f>IF(AD551=15,J551,0)</f>
        <v>0</v>
      </c>
      <c r="AB551" s="40">
        <f>IF(AD551=21,J551,0)</f>
        <v>0</v>
      </c>
      <c r="AD551" s="40">
        <v>21</v>
      </c>
      <c r="AE551" s="40">
        <f>G551*0</f>
        <v>0</v>
      </c>
      <c r="AF551" s="40">
        <f>G551*(1-0)</f>
        <v>0</v>
      </c>
    </row>
    <row r="552" spans="4:6" ht="12.75">
      <c r="D552" s="44" t="s">
        <v>993</v>
      </c>
      <c r="F552" s="45">
        <v>271.26</v>
      </c>
    </row>
    <row r="553" spans="1:32" ht="12.75">
      <c r="A553" s="10" t="s">
        <v>994</v>
      </c>
      <c r="B553" s="10"/>
      <c r="C553" s="10" t="s">
        <v>995</v>
      </c>
      <c r="D553" s="10" t="s">
        <v>996</v>
      </c>
      <c r="E553" s="10" t="s">
        <v>113</v>
      </c>
      <c r="F553" s="40">
        <v>1.67</v>
      </c>
      <c r="G553" s="40">
        <v>0</v>
      </c>
      <c r="H553" s="40">
        <f>ROUND(F553*AE553,2)</f>
        <v>0</v>
      </c>
      <c r="I553" s="40">
        <f>J553-H553</f>
        <v>0</v>
      </c>
      <c r="J553" s="40">
        <f>ROUND(F553*G553,2)</f>
        <v>0</v>
      </c>
      <c r="K553" s="40">
        <v>0</v>
      </c>
      <c r="L553" s="40">
        <f>F553*K553</f>
        <v>0</v>
      </c>
      <c r="M553" s="41"/>
      <c r="N553" s="41" t="s">
        <v>60</v>
      </c>
      <c r="O553" s="40">
        <f>IF(N553="5",I553,0)</f>
        <v>0</v>
      </c>
      <c r="Z553" s="40">
        <f>IF(AD553=0,J553,0)</f>
        <v>0</v>
      </c>
      <c r="AA553" s="40">
        <f>IF(AD553=15,J553,0)</f>
        <v>0</v>
      </c>
      <c r="AB553" s="40">
        <f>IF(AD553=21,J553,0)</f>
        <v>0</v>
      </c>
      <c r="AD553" s="40">
        <v>21</v>
      </c>
      <c r="AE553" s="40">
        <f>G553*0</f>
        <v>0</v>
      </c>
      <c r="AF553" s="40">
        <f>G553*(1-0)</f>
        <v>0</v>
      </c>
    </row>
    <row r="554" spans="1:13" ht="12.75">
      <c r="A554" s="46"/>
      <c r="B554" s="46"/>
      <c r="C554" s="46"/>
      <c r="D554" s="47" t="s">
        <v>997</v>
      </c>
      <c r="E554" s="46"/>
      <c r="F554" s="48">
        <v>1.67</v>
      </c>
      <c r="G554" s="46"/>
      <c r="H554" s="46"/>
      <c r="I554" s="46"/>
      <c r="J554" s="46"/>
      <c r="K554" s="46"/>
      <c r="L554" s="46"/>
      <c r="M554" s="46"/>
    </row>
    <row r="555" spans="1:28" ht="12.75">
      <c r="A555" s="49"/>
      <c r="B555" s="49"/>
      <c r="C555" s="49"/>
      <c r="D555" s="49"/>
      <c r="E555" s="49"/>
      <c r="F555" s="49"/>
      <c r="G555" s="49"/>
      <c r="H555" s="50" t="s">
        <v>998</v>
      </c>
      <c r="I555" s="50"/>
      <c r="J555" s="51">
        <f>J12+J19+J26+J29+J32+J35+J38+J49+J52+J68+J74+J89+J166+J173+J177+J200+J219+J226+J244+J291+J319+J425+J444+J451+J462+J465+J470+J476+J492+J530+J533+J537+J539+J542</f>
        <v>0</v>
      </c>
      <c r="K555" s="49"/>
      <c r="L555" s="49"/>
      <c r="M555" s="49"/>
      <c r="Z555" s="52">
        <f>SUM(Z13:Z554)</f>
        <v>0</v>
      </c>
      <c r="AA555" s="52">
        <f>SUM(AA13:AA554)</f>
        <v>0</v>
      </c>
      <c r="AB555" s="52">
        <f>SUM(AB13:AB554)</f>
        <v>0</v>
      </c>
    </row>
    <row r="556" ht="11.25" customHeight="1">
      <c r="A556" s="53" t="s">
        <v>999</v>
      </c>
    </row>
    <row r="557" ht="27" customHeight="1"/>
  </sheetData>
  <sheetProtection selectLockedCells="1" selectUnlockedCells="1"/>
  <mergeCells count="62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9:G19"/>
    <mergeCell ref="D26:G26"/>
    <mergeCell ref="D29:G29"/>
    <mergeCell ref="D32:G32"/>
    <mergeCell ref="D35:G35"/>
    <mergeCell ref="D38:G38"/>
    <mergeCell ref="D49:G49"/>
    <mergeCell ref="D52:G52"/>
    <mergeCell ref="D68:G68"/>
    <mergeCell ref="D74:G74"/>
    <mergeCell ref="D89:G89"/>
    <mergeCell ref="D166:G166"/>
    <mergeCell ref="D173:G173"/>
    <mergeCell ref="D177:G177"/>
    <mergeCell ref="D200:G200"/>
    <mergeCell ref="D219:G219"/>
    <mergeCell ref="D226:G226"/>
    <mergeCell ref="D244:G244"/>
    <mergeCell ref="D291:G291"/>
    <mergeCell ref="D319:G319"/>
    <mergeCell ref="D425:G425"/>
    <mergeCell ref="D444:G444"/>
    <mergeCell ref="D451:G451"/>
    <mergeCell ref="D462:G462"/>
    <mergeCell ref="D465:G465"/>
    <mergeCell ref="D470:G470"/>
    <mergeCell ref="D476:G476"/>
    <mergeCell ref="D492:G492"/>
    <mergeCell ref="D530:G530"/>
    <mergeCell ref="D533:G533"/>
    <mergeCell ref="D537:G537"/>
    <mergeCell ref="D539:G539"/>
    <mergeCell ref="D542:G542"/>
    <mergeCell ref="H555:I55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66"/>
  <sheetViews>
    <sheetView workbookViewId="0" topLeftCell="A1">
      <selection activeCell="G65" sqref="G65"/>
    </sheetView>
  </sheetViews>
  <sheetFormatPr defaultColWidth="11.421875" defaultRowHeight="12.75"/>
  <cols>
    <col min="1" max="1" width="6.57421875" style="0" customWidth="1"/>
    <col min="2" max="2" width="7.00390625" style="0" customWidth="1"/>
    <col min="3" max="3" width="13.421875" style="0" customWidth="1"/>
    <col min="4" max="4" width="57.140625" style="0" customWidth="1"/>
    <col min="5" max="5" width="6.28125" style="0" customWidth="1"/>
    <col min="6" max="13" width="11.57421875" style="0" customWidth="1"/>
    <col min="14" max="42" width="0" style="0" hidden="1" customWidth="1"/>
    <col min="43" max="16384" width="11.57421875" style="0" customWidth="1"/>
  </cols>
  <sheetData>
    <row r="1" spans="1:46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</row>
    <row r="2" spans="1:46" ht="14.25" customHeight="1">
      <c r="A2" s="2" t="s">
        <v>1</v>
      </c>
      <c r="B2" s="2"/>
      <c r="C2" s="2"/>
      <c r="D2" s="3" t="s">
        <v>1000</v>
      </c>
      <c r="E2" s="4" t="s">
        <v>3</v>
      </c>
      <c r="F2" s="4"/>
      <c r="G2" s="4"/>
      <c r="H2" s="4"/>
      <c r="I2" s="5" t="s">
        <v>4</v>
      </c>
      <c r="J2" s="6"/>
      <c r="K2" s="6"/>
      <c r="L2" s="6"/>
      <c r="M2" s="6"/>
      <c r="N2" s="7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</row>
    <row r="3" spans="1:46" ht="14.25">
      <c r="A3" s="2"/>
      <c r="B3" s="2"/>
      <c r="C3" s="2"/>
      <c r="D3" s="3"/>
      <c r="E3" s="4"/>
      <c r="F3" s="4"/>
      <c r="G3" s="4"/>
      <c r="H3" s="4"/>
      <c r="I3" s="5"/>
      <c r="J3" s="5"/>
      <c r="K3" s="6"/>
      <c r="L3" s="6"/>
      <c r="M3" s="6"/>
      <c r="N3" s="7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46" ht="14.25" customHeight="1">
      <c r="A4" s="8" t="s">
        <v>6</v>
      </c>
      <c r="B4" s="8"/>
      <c r="C4" s="8"/>
      <c r="D4" s="9" t="s">
        <v>1001</v>
      </c>
      <c r="E4" s="10" t="s">
        <v>8</v>
      </c>
      <c r="F4" s="10"/>
      <c r="G4" s="10" t="s">
        <v>28</v>
      </c>
      <c r="H4" s="10"/>
      <c r="I4" s="9" t="s">
        <v>9</v>
      </c>
      <c r="J4" s="12"/>
      <c r="K4" s="12"/>
      <c r="L4" s="12"/>
      <c r="M4" s="12"/>
      <c r="N4" s="7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46" ht="14.25">
      <c r="A5" s="8"/>
      <c r="B5" s="8"/>
      <c r="C5" s="8"/>
      <c r="D5" s="9"/>
      <c r="E5" s="9"/>
      <c r="F5" s="10"/>
      <c r="G5" s="10"/>
      <c r="H5" s="10"/>
      <c r="I5" s="9"/>
      <c r="J5" s="9"/>
      <c r="K5" s="12"/>
      <c r="L5" s="12"/>
      <c r="M5" s="12"/>
      <c r="N5" s="7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</row>
    <row r="6" spans="1:46" ht="14.25" customHeight="1">
      <c r="A6" s="8" t="s">
        <v>11</v>
      </c>
      <c r="B6" s="8"/>
      <c r="C6" s="8"/>
      <c r="D6" s="9" t="s">
        <v>1002</v>
      </c>
      <c r="E6" s="10" t="s">
        <v>13</v>
      </c>
      <c r="F6" s="10"/>
      <c r="G6" s="13"/>
      <c r="H6" s="13"/>
      <c r="I6" s="9" t="s">
        <v>14</v>
      </c>
      <c r="J6" s="12"/>
      <c r="K6" s="12"/>
      <c r="L6" s="12"/>
      <c r="M6" s="12"/>
      <c r="N6" s="7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</row>
    <row r="7" spans="1:46" ht="14.25">
      <c r="A7" s="8"/>
      <c r="B7" s="8"/>
      <c r="C7" s="8"/>
      <c r="D7" s="9"/>
      <c r="E7" s="9"/>
      <c r="F7" s="10"/>
      <c r="G7" s="13"/>
      <c r="H7" s="13"/>
      <c r="I7" s="9"/>
      <c r="J7" s="9"/>
      <c r="K7" s="12"/>
      <c r="L7" s="12"/>
      <c r="M7" s="12"/>
      <c r="N7" s="7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</row>
    <row r="8" spans="1:46" ht="14.25" customHeight="1">
      <c r="A8" s="14" t="s">
        <v>15</v>
      </c>
      <c r="B8" s="14"/>
      <c r="C8" s="14"/>
      <c r="D8" s="15">
        <v>8033</v>
      </c>
      <c r="E8" s="16" t="s">
        <v>16</v>
      </c>
      <c r="F8" s="16"/>
      <c r="G8" s="17">
        <v>41744</v>
      </c>
      <c r="H8" s="17"/>
      <c r="I8" s="15" t="s">
        <v>17</v>
      </c>
      <c r="J8" s="18" t="s">
        <v>1003</v>
      </c>
      <c r="K8" s="18"/>
      <c r="L8" s="18"/>
      <c r="M8" s="18"/>
      <c r="N8" s="7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</row>
    <row r="9" spans="1:46" ht="14.25">
      <c r="A9" s="14"/>
      <c r="B9" s="14"/>
      <c r="C9" s="14"/>
      <c r="D9" s="15"/>
      <c r="E9" s="15"/>
      <c r="F9" s="16"/>
      <c r="G9" s="17"/>
      <c r="H9" s="17"/>
      <c r="I9" s="15"/>
      <c r="J9" s="15"/>
      <c r="K9" s="18"/>
      <c r="L9" s="18"/>
      <c r="M9" s="18"/>
      <c r="N9" s="7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</row>
    <row r="10" spans="1:46" ht="14.25">
      <c r="A10" s="19" t="s">
        <v>18</v>
      </c>
      <c r="B10" s="20" t="s">
        <v>19</v>
      </c>
      <c r="C10" s="20" t="s">
        <v>20</v>
      </c>
      <c r="D10" s="20" t="s">
        <v>21</v>
      </c>
      <c r="E10" s="20" t="s">
        <v>22</v>
      </c>
      <c r="F10" s="21" t="s">
        <v>23</v>
      </c>
      <c r="G10" s="22" t="s">
        <v>24</v>
      </c>
      <c r="H10" s="23" t="s">
        <v>25</v>
      </c>
      <c r="I10" s="23"/>
      <c r="J10" s="23"/>
      <c r="K10" s="23" t="s">
        <v>26</v>
      </c>
      <c r="L10" s="23"/>
      <c r="M10" s="24" t="s">
        <v>27</v>
      </c>
      <c r="N10" s="25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</row>
    <row r="11" spans="1:46" ht="14.25">
      <c r="A11" s="26" t="s">
        <v>28</v>
      </c>
      <c r="B11" s="27" t="s">
        <v>28</v>
      </c>
      <c r="C11" s="27" t="s">
        <v>28</v>
      </c>
      <c r="D11" s="28" t="s">
        <v>29</v>
      </c>
      <c r="E11" s="27" t="s">
        <v>28</v>
      </c>
      <c r="F11" s="27" t="s">
        <v>28</v>
      </c>
      <c r="G11" s="29" t="s">
        <v>30</v>
      </c>
      <c r="H11" s="30" t="s">
        <v>31</v>
      </c>
      <c r="I11" s="31" t="s">
        <v>32</v>
      </c>
      <c r="J11" s="32" t="s">
        <v>33</v>
      </c>
      <c r="K11" s="30" t="s">
        <v>24</v>
      </c>
      <c r="L11" s="32" t="s">
        <v>33</v>
      </c>
      <c r="M11" s="33" t="s">
        <v>34</v>
      </c>
      <c r="N11" s="25"/>
      <c r="O11" s="54"/>
      <c r="P11" s="34" t="s">
        <v>35</v>
      </c>
      <c r="Q11" s="34" t="s">
        <v>36</v>
      </c>
      <c r="R11" s="34" t="s">
        <v>37</v>
      </c>
      <c r="S11" s="34" t="s">
        <v>38</v>
      </c>
      <c r="T11" s="34" t="s">
        <v>39</v>
      </c>
      <c r="U11" s="34" t="s">
        <v>40</v>
      </c>
      <c r="V11" s="34" t="s">
        <v>41</v>
      </c>
      <c r="W11" s="34" t="s">
        <v>42</v>
      </c>
      <c r="X11" s="34" t="s">
        <v>43</v>
      </c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</row>
    <row r="12" spans="1:46" ht="14.25">
      <c r="A12" s="35"/>
      <c r="B12" s="36"/>
      <c r="C12" s="36" t="s">
        <v>1004</v>
      </c>
      <c r="D12" s="36" t="s">
        <v>1005</v>
      </c>
      <c r="E12" s="36"/>
      <c r="F12" s="36"/>
      <c r="G12" s="36"/>
      <c r="H12" s="37">
        <f>SUM(H13:H13)</f>
        <v>0</v>
      </c>
      <c r="I12" s="37">
        <f>SUM(I13:I13)</f>
        <v>0</v>
      </c>
      <c r="J12" s="37">
        <f>H12+I12</f>
        <v>0</v>
      </c>
      <c r="K12" s="38"/>
      <c r="L12" s="37">
        <f>SUM(L13:L13)</f>
        <v>0</v>
      </c>
      <c r="M12" s="38"/>
      <c r="N12" s="54"/>
      <c r="O12" s="54"/>
      <c r="P12" s="39">
        <f>IF(Q12="PR",J12,SUM(O13:O13))</f>
        <v>0</v>
      </c>
      <c r="Q12" s="34" t="s">
        <v>946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34"/>
      <c r="Z12" s="54"/>
      <c r="AA12" s="54"/>
      <c r="AB12" s="54"/>
      <c r="AC12" s="54"/>
      <c r="AD12" s="54"/>
      <c r="AE12" s="54"/>
      <c r="AF12" s="54"/>
      <c r="AG12" s="54"/>
      <c r="AH12" s="54"/>
      <c r="AI12" s="39">
        <f>SUM(Z13:Z13)</f>
        <v>0</v>
      </c>
      <c r="AJ12" s="39">
        <f>SUM(AA13:AA13)</f>
        <v>0</v>
      </c>
      <c r="AK12" s="39">
        <f>SUM(AB13:AB13)</f>
        <v>0</v>
      </c>
      <c r="AL12" s="54"/>
      <c r="AM12" s="54"/>
      <c r="AN12" s="54"/>
      <c r="AO12" s="54"/>
      <c r="AP12" s="54"/>
      <c r="AQ12" s="54"/>
      <c r="AR12" s="54"/>
      <c r="AS12" s="54"/>
      <c r="AT12" s="54"/>
    </row>
    <row r="13" spans="1:46" ht="14.25">
      <c r="A13" s="10" t="s">
        <v>47</v>
      </c>
      <c r="B13" s="10"/>
      <c r="C13" s="10" t="s">
        <v>1006</v>
      </c>
      <c r="D13" s="10" t="s">
        <v>1007</v>
      </c>
      <c r="E13" s="10" t="s">
        <v>113</v>
      </c>
      <c r="F13" s="40">
        <v>1</v>
      </c>
      <c r="G13" s="40">
        <v>0</v>
      </c>
      <c r="H13" s="40">
        <f>ROUND(F13*AE13,2)</f>
        <v>0</v>
      </c>
      <c r="I13" s="40">
        <f>J13-H13</f>
        <v>0</v>
      </c>
      <c r="J13" s="40">
        <f>ROUND(F13*G13,2)</f>
        <v>0</v>
      </c>
      <c r="K13" s="40">
        <v>0</v>
      </c>
      <c r="L13" s="40">
        <f>F13*K13</f>
        <v>0</v>
      </c>
      <c r="M13" s="41" t="s">
        <v>1008</v>
      </c>
      <c r="N13" s="41" t="s">
        <v>60</v>
      </c>
      <c r="O13" s="40">
        <f>IF(N13="5",I13,0)</f>
        <v>0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40">
        <f>IF(AD13=0,J13,0)</f>
        <v>0</v>
      </c>
      <c r="AA13" s="40">
        <f>IF(AD13=15,J13,0)</f>
        <v>0</v>
      </c>
      <c r="AB13" s="40">
        <f>IF(AD13=21,J13,0)</f>
        <v>0</v>
      </c>
      <c r="AC13" s="54"/>
      <c r="AD13" s="40">
        <v>21</v>
      </c>
      <c r="AE13" s="40">
        <f>G13*0</f>
        <v>0</v>
      </c>
      <c r="AF13" s="40">
        <f>G13*(1-0)</f>
        <v>0</v>
      </c>
      <c r="AG13" s="54"/>
      <c r="AH13" s="54"/>
      <c r="AI13" s="54"/>
      <c r="AJ13" s="54"/>
      <c r="AK13" s="54"/>
      <c r="AL13" s="54"/>
      <c r="AM13" s="40">
        <f>F13*AE13</f>
        <v>0</v>
      </c>
      <c r="AN13" s="40">
        <f>F13*AF13</f>
        <v>0</v>
      </c>
      <c r="AO13" s="41" t="s">
        <v>1004</v>
      </c>
      <c r="AP13" s="41" t="s">
        <v>80</v>
      </c>
      <c r="AQ13" s="54"/>
      <c r="AR13" s="54"/>
      <c r="AS13" s="54"/>
      <c r="AT13" s="54"/>
    </row>
    <row r="14" spans="1:46" ht="14.25">
      <c r="A14" s="42"/>
      <c r="B14" s="43"/>
      <c r="C14" s="43" t="s">
        <v>951</v>
      </c>
      <c r="D14" s="43" t="s">
        <v>952</v>
      </c>
      <c r="E14" s="43"/>
      <c r="F14" s="43"/>
      <c r="G14" s="43"/>
      <c r="H14" s="39">
        <f>SUM(H15:H24)</f>
        <v>0</v>
      </c>
      <c r="I14" s="39">
        <f>SUM(I15:I24)</f>
        <v>0</v>
      </c>
      <c r="J14" s="39">
        <f>H14+I14</f>
        <v>0</v>
      </c>
      <c r="K14" s="34"/>
      <c r="L14" s="39">
        <f>SUM(L15:L24)</f>
        <v>0</v>
      </c>
      <c r="M14" s="34"/>
      <c r="N14" s="54"/>
      <c r="O14" s="54"/>
      <c r="P14" s="39">
        <f>IF(Q14="PR",J14,SUM(O15:O24))</f>
        <v>0</v>
      </c>
      <c r="Q14" s="34" t="s">
        <v>953</v>
      </c>
      <c r="R14" s="39">
        <f>IF(Q14="HS",H14,0)</f>
        <v>0</v>
      </c>
      <c r="S14" s="39">
        <f>IF(Q14="HS",I14-P14,0)</f>
        <v>0</v>
      </c>
      <c r="T14" s="39">
        <f>IF(Q14="PS",H14,0)</f>
        <v>0</v>
      </c>
      <c r="U14" s="39">
        <f>IF(Q14="PS",I14-P14,0)</f>
        <v>0</v>
      </c>
      <c r="V14" s="39">
        <f>IF(Q14="MP",H14,0)</f>
        <v>0</v>
      </c>
      <c r="W14" s="39">
        <f>IF(Q14="MP",I14-P14,0)</f>
        <v>0</v>
      </c>
      <c r="X14" s="39">
        <f>IF(Q14="OM",H14,0)</f>
        <v>0</v>
      </c>
      <c r="Y14" s="34"/>
      <c r="Z14" s="54"/>
      <c r="AA14" s="54"/>
      <c r="AB14" s="54"/>
      <c r="AC14" s="54"/>
      <c r="AD14" s="54"/>
      <c r="AE14" s="54"/>
      <c r="AF14" s="54"/>
      <c r="AG14" s="54"/>
      <c r="AH14" s="54"/>
      <c r="AI14" s="39">
        <f>SUM(Z15:Z24)</f>
        <v>0</v>
      </c>
      <c r="AJ14" s="39">
        <f>SUM(AA15:AA24)</f>
        <v>0</v>
      </c>
      <c r="AK14" s="39">
        <f>SUM(AB15:AB24)</f>
        <v>0</v>
      </c>
      <c r="AL14" s="54"/>
      <c r="AM14" s="54"/>
      <c r="AN14" s="54"/>
      <c r="AO14" s="54"/>
      <c r="AP14" s="54"/>
      <c r="AQ14" s="54"/>
      <c r="AR14" s="54"/>
      <c r="AS14" s="54"/>
      <c r="AT14" s="54"/>
    </row>
    <row r="15" spans="1:46" ht="14.25">
      <c r="A15" s="10" t="s">
        <v>51</v>
      </c>
      <c r="B15" s="10"/>
      <c r="C15" s="10" t="s">
        <v>1009</v>
      </c>
      <c r="D15" s="10" t="s">
        <v>1010</v>
      </c>
      <c r="E15" s="10" t="s">
        <v>131</v>
      </c>
      <c r="F15" s="40">
        <v>200</v>
      </c>
      <c r="G15" s="40">
        <v>0</v>
      </c>
      <c r="H15" s="40">
        <f aca="true" t="shared" si="0" ref="H15:H24">ROUND(F15*AE15,2)</f>
        <v>0</v>
      </c>
      <c r="I15" s="40">
        <f aca="true" t="shared" si="1" ref="I15:I24">J15-H15</f>
        <v>0</v>
      </c>
      <c r="J15" s="40">
        <f aca="true" t="shared" si="2" ref="J15:J24">ROUND(F15*G15,2)</f>
        <v>0</v>
      </c>
      <c r="K15" s="40">
        <v>0</v>
      </c>
      <c r="L15" s="40">
        <f aca="true" t="shared" si="3" ref="L15:L24">F15*K15</f>
        <v>0</v>
      </c>
      <c r="M15" s="41" t="s">
        <v>1008</v>
      </c>
      <c r="N15" s="41" t="s">
        <v>51</v>
      </c>
      <c r="O15" s="40">
        <f aca="true" t="shared" si="4" ref="O15:O24">IF(N15="5",I15,0)</f>
        <v>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40">
        <f aca="true" t="shared" si="5" ref="Z15:Z24">IF(AD15=0,J15,0)</f>
        <v>0</v>
      </c>
      <c r="AA15" s="40">
        <f aca="true" t="shared" si="6" ref="AA15:AA24">IF(AD15=15,J15,0)</f>
        <v>0</v>
      </c>
      <c r="AB15" s="40">
        <f aca="true" t="shared" si="7" ref="AB15:AB24">IF(AD15=21,J15,0)</f>
        <v>0</v>
      </c>
      <c r="AC15" s="54"/>
      <c r="AD15" s="40">
        <v>21</v>
      </c>
      <c r="AE15" s="40">
        <f aca="true" t="shared" si="8" ref="AE15:AE24">G15*0</f>
        <v>0</v>
      </c>
      <c r="AF15" s="40">
        <f aca="true" t="shared" si="9" ref="AF15:AF24">G15*(1-0)</f>
        <v>0</v>
      </c>
      <c r="AG15" s="54"/>
      <c r="AH15" s="54"/>
      <c r="AI15" s="54"/>
      <c r="AJ15" s="54"/>
      <c r="AK15" s="54"/>
      <c r="AL15" s="54"/>
      <c r="AM15" s="40">
        <f aca="true" t="shared" si="10" ref="AM15:AM24">F15*AE15</f>
        <v>0</v>
      </c>
      <c r="AN15" s="40">
        <f aca="true" t="shared" si="11" ref="AN15:AN24">F15*AF15</f>
        <v>0</v>
      </c>
      <c r="AO15" s="41" t="s">
        <v>951</v>
      </c>
      <c r="AP15" s="41" t="s">
        <v>80</v>
      </c>
      <c r="AQ15" s="54"/>
      <c r="AR15" s="54"/>
      <c r="AS15" s="54"/>
      <c r="AT15" s="54"/>
    </row>
    <row r="16" spans="1:46" ht="14.25">
      <c r="A16" s="10" t="s">
        <v>54</v>
      </c>
      <c r="B16" s="10"/>
      <c r="C16" s="10" t="s">
        <v>1011</v>
      </c>
      <c r="D16" s="10" t="s">
        <v>1012</v>
      </c>
      <c r="E16" s="10" t="s">
        <v>131</v>
      </c>
      <c r="F16" s="40">
        <v>18</v>
      </c>
      <c r="G16" s="40">
        <v>0</v>
      </c>
      <c r="H16" s="40">
        <f t="shared" si="0"/>
        <v>0</v>
      </c>
      <c r="I16" s="40">
        <f t="shared" si="1"/>
        <v>0</v>
      </c>
      <c r="J16" s="40">
        <f t="shared" si="2"/>
        <v>0</v>
      </c>
      <c r="K16" s="40">
        <v>0</v>
      </c>
      <c r="L16" s="40">
        <f t="shared" si="3"/>
        <v>0</v>
      </c>
      <c r="M16" s="41" t="s">
        <v>1008</v>
      </c>
      <c r="N16" s="41" t="s">
        <v>51</v>
      </c>
      <c r="O16" s="40">
        <f t="shared" si="4"/>
        <v>0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40">
        <f t="shared" si="5"/>
        <v>0</v>
      </c>
      <c r="AA16" s="40">
        <f t="shared" si="6"/>
        <v>0</v>
      </c>
      <c r="AB16" s="40">
        <f t="shared" si="7"/>
        <v>0</v>
      </c>
      <c r="AC16" s="54"/>
      <c r="AD16" s="40">
        <v>21</v>
      </c>
      <c r="AE16" s="40">
        <f t="shared" si="8"/>
        <v>0</v>
      </c>
      <c r="AF16" s="40">
        <f t="shared" si="9"/>
        <v>0</v>
      </c>
      <c r="AG16" s="54"/>
      <c r="AH16" s="54"/>
      <c r="AI16" s="54"/>
      <c r="AJ16" s="54"/>
      <c r="AK16" s="54"/>
      <c r="AL16" s="54"/>
      <c r="AM16" s="40">
        <f t="shared" si="10"/>
        <v>0</v>
      </c>
      <c r="AN16" s="40">
        <f t="shared" si="11"/>
        <v>0</v>
      </c>
      <c r="AO16" s="41" t="s">
        <v>951</v>
      </c>
      <c r="AP16" s="41" t="s">
        <v>80</v>
      </c>
      <c r="AQ16" s="54"/>
      <c r="AR16" s="54"/>
      <c r="AS16" s="54"/>
      <c r="AT16" s="54"/>
    </row>
    <row r="17" spans="1:46" ht="14.25">
      <c r="A17" s="10" t="s">
        <v>57</v>
      </c>
      <c r="B17" s="10"/>
      <c r="C17" s="10" t="s">
        <v>1013</v>
      </c>
      <c r="D17" s="10" t="s">
        <v>1014</v>
      </c>
      <c r="E17" s="10" t="s">
        <v>143</v>
      </c>
      <c r="F17" s="40">
        <v>120</v>
      </c>
      <c r="G17" s="40">
        <v>0</v>
      </c>
      <c r="H17" s="40">
        <f t="shared" si="0"/>
        <v>0</v>
      </c>
      <c r="I17" s="40">
        <f t="shared" si="1"/>
        <v>0</v>
      </c>
      <c r="J17" s="40">
        <f t="shared" si="2"/>
        <v>0</v>
      </c>
      <c r="K17" s="40">
        <v>0</v>
      </c>
      <c r="L17" s="40">
        <f t="shared" si="3"/>
        <v>0</v>
      </c>
      <c r="M17" s="41" t="s">
        <v>1008</v>
      </c>
      <c r="N17" s="41" t="s">
        <v>51</v>
      </c>
      <c r="O17" s="40">
        <f t="shared" si="4"/>
        <v>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40">
        <f t="shared" si="5"/>
        <v>0</v>
      </c>
      <c r="AA17" s="40">
        <f t="shared" si="6"/>
        <v>0</v>
      </c>
      <c r="AB17" s="40">
        <f t="shared" si="7"/>
        <v>0</v>
      </c>
      <c r="AC17" s="54"/>
      <c r="AD17" s="40">
        <v>21</v>
      </c>
      <c r="AE17" s="40">
        <f t="shared" si="8"/>
        <v>0</v>
      </c>
      <c r="AF17" s="40">
        <f t="shared" si="9"/>
        <v>0</v>
      </c>
      <c r="AG17" s="54"/>
      <c r="AH17" s="54"/>
      <c r="AI17" s="54"/>
      <c r="AJ17" s="54"/>
      <c r="AK17" s="54"/>
      <c r="AL17" s="54"/>
      <c r="AM17" s="40">
        <f t="shared" si="10"/>
        <v>0</v>
      </c>
      <c r="AN17" s="40">
        <f t="shared" si="11"/>
        <v>0</v>
      </c>
      <c r="AO17" s="41" t="s">
        <v>951</v>
      </c>
      <c r="AP17" s="41" t="s">
        <v>80</v>
      </c>
      <c r="AQ17" s="54"/>
      <c r="AR17" s="54"/>
      <c r="AS17" s="54"/>
      <c r="AT17" s="54"/>
    </row>
    <row r="18" spans="1:46" ht="14.25">
      <c r="A18" s="10" t="s">
        <v>60</v>
      </c>
      <c r="B18" s="10"/>
      <c r="C18" s="10" t="s">
        <v>1015</v>
      </c>
      <c r="D18" s="10" t="s">
        <v>1016</v>
      </c>
      <c r="E18" s="10" t="s">
        <v>143</v>
      </c>
      <c r="F18" s="40">
        <v>17.5</v>
      </c>
      <c r="G18" s="40">
        <v>0</v>
      </c>
      <c r="H18" s="40">
        <f t="shared" si="0"/>
        <v>0</v>
      </c>
      <c r="I18" s="40">
        <f t="shared" si="1"/>
        <v>0</v>
      </c>
      <c r="J18" s="40">
        <f t="shared" si="2"/>
        <v>0</v>
      </c>
      <c r="K18" s="40">
        <v>0</v>
      </c>
      <c r="L18" s="40">
        <f t="shared" si="3"/>
        <v>0</v>
      </c>
      <c r="M18" s="41" t="s">
        <v>1008</v>
      </c>
      <c r="N18" s="41" t="s">
        <v>51</v>
      </c>
      <c r="O18" s="40">
        <f t="shared" si="4"/>
        <v>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40">
        <f t="shared" si="5"/>
        <v>0</v>
      </c>
      <c r="AA18" s="40">
        <f t="shared" si="6"/>
        <v>0</v>
      </c>
      <c r="AB18" s="40">
        <f t="shared" si="7"/>
        <v>0</v>
      </c>
      <c r="AC18" s="54"/>
      <c r="AD18" s="40">
        <v>21</v>
      </c>
      <c r="AE18" s="40">
        <f t="shared" si="8"/>
        <v>0</v>
      </c>
      <c r="AF18" s="40">
        <f t="shared" si="9"/>
        <v>0</v>
      </c>
      <c r="AG18" s="54"/>
      <c r="AH18" s="54"/>
      <c r="AI18" s="54"/>
      <c r="AJ18" s="54"/>
      <c r="AK18" s="54"/>
      <c r="AL18" s="54"/>
      <c r="AM18" s="40">
        <f t="shared" si="10"/>
        <v>0</v>
      </c>
      <c r="AN18" s="40">
        <f t="shared" si="11"/>
        <v>0</v>
      </c>
      <c r="AO18" s="41" t="s">
        <v>951</v>
      </c>
      <c r="AP18" s="41" t="s">
        <v>80</v>
      </c>
      <c r="AQ18" s="54"/>
      <c r="AR18" s="54"/>
      <c r="AS18" s="54"/>
      <c r="AT18" s="54"/>
    </row>
    <row r="19" spans="1:46" ht="14.25">
      <c r="A19" s="10" t="s">
        <v>63</v>
      </c>
      <c r="B19" s="10"/>
      <c r="C19" s="10" t="s">
        <v>1017</v>
      </c>
      <c r="D19" s="10" t="s">
        <v>1018</v>
      </c>
      <c r="E19" s="10" t="s">
        <v>143</v>
      </c>
      <c r="F19" s="40">
        <v>700</v>
      </c>
      <c r="G19" s="40">
        <v>0</v>
      </c>
      <c r="H19" s="40">
        <f t="shared" si="0"/>
        <v>0</v>
      </c>
      <c r="I19" s="40">
        <f t="shared" si="1"/>
        <v>0</v>
      </c>
      <c r="J19" s="40">
        <f t="shared" si="2"/>
        <v>0</v>
      </c>
      <c r="K19" s="40">
        <v>0</v>
      </c>
      <c r="L19" s="40">
        <f t="shared" si="3"/>
        <v>0</v>
      </c>
      <c r="M19" s="41" t="s">
        <v>1008</v>
      </c>
      <c r="N19" s="41" t="s">
        <v>51</v>
      </c>
      <c r="O19" s="40">
        <f t="shared" si="4"/>
        <v>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40">
        <f t="shared" si="5"/>
        <v>0</v>
      </c>
      <c r="AA19" s="40">
        <f t="shared" si="6"/>
        <v>0</v>
      </c>
      <c r="AB19" s="40">
        <f t="shared" si="7"/>
        <v>0</v>
      </c>
      <c r="AC19" s="54"/>
      <c r="AD19" s="40">
        <v>21</v>
      </c>
      <c r="AE19" s="40">
        <f t="shared" si="8"/>
        <v>0</v>
      </c>
      <c r="AF19" s="40">
        <f t="shared" si="9"/>
        <v>0</v>
      </c>
      <c r="AG19" s="54"/>
      <c r="AH19" s="54"/>
      <c r="AI19" s="54"/>
      <c r="AJ19" s="54"/>
      <c r="AK19" s="54"/>
      <c r="AL19" s="54"/>
      <c r="AM19" s="40">
        <f t="shared" si="10"/>
        <v>0</v>
      </c>
      <c r="AN19" s="40">
        <f t="shared" si="11"/>
        <v>0</v>
      </c>
      <c r="AO19" s="41" t="s">
        <v>951</v>
      </c>
      <c r="AP19" s="41" t="s">
        <v>80</v>
      </c>
      <c r="AQ19" s="54"/>
      <c r="AR19" s="54"/>
      <c r="AS19" s="54"/>
      <c r="AT19" s="54"/>
    </row>
    <row r="20" spans="1:46" ht="14.25">
      <c r="A20" s="10" t="s">
        <v>68</v>
      </c>
      <c r="B20" s="10"/>
      <c r="C20" s="10" t="s">
        <v>1019</v>
      </c>
      <c r="D20" s="10" t="s">
        <v>1020</v>
      </c>
      <c r="E20" s="10" t="s">
        <v>131</v>
      </c>
      <c r="F20" s="40">
        <v>7</v>
      </c>
      <c r="G20" s="40">
        <v>0</v>
      </c>
      <c r="H20" s="40">
        <f t="shared" si="0"/>
        <v>0</v>
      </c>
      <c r="I20" s="40">
        <f t="shared" si="1"/>
        <v>0</v>
      </c>
      <c r="J20" s="40">
        <f t="shared" si="2"/>
        <v>0</v>
      </c>
      <c r="K20" s="40">
        <v>0</v>
      </c>
      <c r="L20" s="40">
        <f t="shared" si="3"/>
        <v>0</v>
      </c>
      <c r="M20" s="41" t="s">
        <v>1008</v>
      </c>
      <c r="N20" s="41" t="s">
        <v>51</v>
      </c>
      <c r="O20" s="40">
        <f t="shared" si="4"/>
        <v>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40">
        <f t="shared" si="5"/>
        <v>0</v>
      </c>
      <c r="AA20" s="40">
        <f t="shared" si="6"/>
        <v>0</v>
      </c>
      <c r="AB20" s="40">
        <f t="shared" si="7"/>
        <v>0</v>
      </c>
      <c r="AC20" s="54"/>
      <c r="AD20" s="40">
        <v>21</v>
      </c>
      <c r="AE20" s="40">
        <f t="shared" si="8"/>
        <v>0</v>
      </c>
      <c r="AF20" s="40">
        <f t="shared" si="9"/>
        <v>0</v>
      </c>
      <c r="AG20" s="54"/>
      <c r="AH20" s="54"/>
      <c r="AI20" s="54"/>
      <c r="AJ20" s="54"/>
      <c r="AK20" s="54"/>
      <c r="AL20" s="54"/>
      <c r="AM20" s="40">
        <f t="shared" si="10"/>
        <v>0</v>
      </c>
      <c r="AN20" s="40">
        <f t="shared" si="11"/>
        <v>0</v>
      </c>
      <c r="AO20" s="41" t="s">
        <v>951</v>
      </c>
      <c r="AP20" s="41" t="s">
        <v>80</v>
      </c>
      <c r="AQ20" s="54"/>
      <c r="AR20" s="54"/>
      <c r="AS20" s="54"/>
      <c r="AT20" s="54"/>
    </row>
    <row r="21" spans="1:46" ht="14.25">
      <c r="A21" s="10" t="s">
        <v>75</v>
      </c>
      <c r="B21" s="10"/>
      <c r="C21" s="10" t="s">
        <v>1021</v>
      </c>
      <c r="D21" s="10" t="s">
        <v>1022</v>
      </c>
      <c r="E21" s="10" t="s">
        <v>143</v>
      </c>
      <c r="F21" s="40">
        <v>600</v>
      </c>
      <c r="G21" s="40">
        <v>0</v>
      </c>
      <c r="H21" s="40">
        <f t="shared" si="0"/>
        <v>0</v>
      </c>
      <c r="I21" s="40">
        <f t="shared" si="1"/>
        <v>0</v>
      </c>
      <c r="J21" s="40">
        <f t="shared" si="2"/>
        <v>0</v>
      </c>
      <c r="K21" s="40">
        <v>0</v>
      </c>
      <c r="L21" s="40">
        <f t="shared" si="3"/>
        <v>0</v>
      </c>
      <c r="M21" s="41" t="s">
        <v>1008</v>
      </c>
      <c r="N21" s="41" t="s">
        <v>51</v>
      </c>
      <c r="O21" s="40">
        <f t="shared" si="4"/>
        <v>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40">
        <f t="shared" si="5"/>
        <v>0</v>
      </c>
      <c r="AA21" s="40">
        <f t="shared" si="6"/>
        <v>0</v>
      </c>
      <c r="AB21" s="40">
        <f t="shared" si="7"/>
        <v>0</v>
      </c>
      <c r="AC21" s="54"/>
      <c r="AD21" s="40">
        <v>21</v>
      </c>
      <c r="AE21" s="40">
        <f t="shared" si="8"/>
        <v>0</v>
      </c>
      <c r="AF21" s="40">
        <f t="shared" si="9"/>
        <v>0</v>
      </c>
      <c r="AG21" s="54"/>
      <c r="AH21" s="54"/>
      <c r="AI21" s="54"/>
      <c r="AJ21" s="54"/>
      <c r="AK21" s="54"/>
      <c r="AL21" s="54"/>
      <c r="AM21" s="40">
        <f t="shared" si="10"/>
        <v>0</v>
      </c>
      <c r="AN21" s="40">
        <f t="shared" si="11"/>
        <v>0</v>
      </c>
      <c r="AO21" s="41" t="s">
        <v>951</v>
      </c>
      <c r="AP21" s="41" t="s">
        <v>80</v>
      </c>
      <c r="AQ21" s="54"/>
      <c r="AR21" s="54"/>
      <c r="AS21" s="54"/>
      <c r="AT21" s="54"/>
    </row>
    <row r="22" spans="1:46" ht="14.25">
      <c r="A22" s="10" t="s">
        <v>80</v>
      </c>
      <c r="B22" s="10"/>
      <c r="C22" s="10" t="s">
        <v>1009</v>
      </c>
      <c r="D22" s="10" t="s">
        <v>1023</v>
      </c>
      <c r="E22" s="10" t="s">
        <v>131</v>
      </c>
      <c r="F22" s="40">
        <v>100</v>
      </c>
      <c r="G22" s="40">
        <v>0</v>
      </c>
      <c r="H22" s="40">
        <f t="shared" si="0"/>
        <v>0</v>
      </c>
      <c r="I22" s="40">
        <f t="shared" si="1"/>
        <v>0</v>
      </c>
      <c r="J22" s="40">
        <f t="shared" si="2"/>
        <v>0</v>
      </c>
      <c r="K22" s="40">
        <v>0</v>
      </c>
      <c r="L22" s="40">
        <f t="shared" si="3"/>
        <v>0</v>
      </c>
      <c r="M22" s="41" t="s">
        <v>1008</v>
      </c>
      <c r="N22" s="41" t="s">
        <v>51</v>
      </c>
      <c r="O22" s="40">
        <f t="shared" si="4"/>
        <v>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40">
        <f t="shared" si="5"/>
        <v>0</v>
      </c>
      <c r="AA22" s="40">
        <f t="shared" si="6"/>
        <v>0</v>
      </c>
      <c r="AB22" s="40">
        <f t="shared" si="7"/>
        <v>0</v>
      </c>
      <c r="AC22" s="54"/>
      <c r="AD22" s="40">
        <v>21</v>
      </c>
      <c r="AE22" s="40">
        <f t="shared" si="8"/>
        <v>0</v>
      </c>
      <c r="AF22" s="40">
        <f t="shared" si="9"/>
        <v>0</v>
      </c>
      <c r="AG22" s="54"/>
      <c r="AH22" s="54"/>
      <c r="AI22" s="54"/>
      <c r="AJ22" s="54"/>
      <c r="AK22" s="54"/>
      <c r="AL22" s="54"/>
      <c r="AM22" s="40">
        <f t="shared" si="10"/>
        <v>0</v>
      </c>
      <c r="AN22" s="40">
        <f t="shared" si="11"/>
        <v>0</v>
      </c>
      <c r="AO22" s="41" t="s">
        <v>951</v>
      </c>
      <c r="AP22" s="41" t="s">
        <v>80</v>
      </c>
      <c r="AQ22" s="54"/>
      <c r="AR22" s="54"/>
      <c r="AS22" s="54"/>
      <c r="AT22" s="54"/>
    </row>
    <row r="23" spans="1:46" ht="14.25">
      <c r="A23" s="10" t="s">
        <v>87</v>
      </c>
      <c r="B23" s="10"/>
      <c r="C23" s="10" t="s">
        <v>1011</v>
      </c>
      <c r="D23" s="10" t="s">
        <v>1024</v>
      </c>
      <c r="E23" s="10" t="s">
        <v>131</v>
      </c>
      <c r="F23" s="40">
        <v>20</v>
      </c>
      <c r="G23" s="40">
        <v>0</v>
      </c>
      <c r="H23" s="40">
        <f t="shared" si="0"/>
        <v>0</v>
      </c>
      <c r="I23" s="40">
        <f t="shared" si="1"/>
        <v>0</v>
      </c>
      <c r="J23" s="40">
        <f t="shared" si="2"/>
        <v>0</v>
      </c>
      <c r="K23" s="40">
        <v>0</v>
      </c>
      <c r="L23" s="40">
        <f t="shared" si="3"/>
        <v>0</v>
      </c>
      <c r="M23" s="41" t="s">
        <v>1008</v>
      </c>
      <c r="N23" s="41" t="s">
        <v>51</v>
      </c>
      <c r="O23" s="40">
        <f t="shared" si="4"/>
        <v>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40">
        <f t="shared" si="5"/>
        <v>0</v>
      </c>
      <c r="AA23" s="40">
        <f t="shared" si="6"/>
        <v>0</v>
      </c>
      <c r="AB23" s="40">
        <f t="shared" si="7"/>
        <v>0</v>
      </c>
      <c r="AC23" s="54"/>
      <c r="AD23" s="40">
        <v>21</v>
      </c>
      <c r="AE23" s="40">
        <f t="shared" si="8"/>
        <v>0</v>
      </c>
      <c r="AF23" s="40">
        <f t="shared" si="9"/>
        <v>0</v>
      </c>
      <c r="AG23" s="54"/>
      <c r="AH23" s="54"/>
      <c r="AI23" s="54"/>
      <c r="AJ23" s="54"/>
      <c r="AK23" s="54"/>
      <c r="AL23" s="54"/>
      <c r="AM23" s="40">
        <f t="shared" si="10"/>
        <v>0</v>
      </c>
      <c r="AN23" s="40">
        <f t="shared" si="11"/>
        <v>0</v>
      </c>
      <c r="AO23" s="41" t="s">
        <v>951</v>
      </c>
      <c r="AP23" s="41" t="s">
        <v>80</v>
      </c>
      <c r="AQ23" s="54"/>
      <c r="AR23" s="54"/>
      <c r="AS23" s="54"/>
      <c r="AT23" s="54"/>
    </row>
    <row r="24" spans="1:46" ht="14.25">
      <c r="A24" s="10" t="s">
        <v>66</v>
      </c>
      <c r="B24" s="10"/>
      <c r="C24" s="10" t="s">
        <v>1019</v>
      </c>
      <c r="D24" s="10" t="s">
        <v>1025</v>
      </c>
      <c r="E24" s="10" t="s">
        <v>131</v>
      </c>
      <c r="F24" s="40">
        <v>6</v>
      </c>
      <c r="G24" s="40">
        <v>0</v>
      </c>
      <c r="H24" s="40">
        <f t="shared" si="0"/>
        <v>0</v>
      </c>
      <c r="I24" s="40">
        <f t="shared" si="1"/>
        <v>0</v>
      </c>
      <c r="J24" s="40">
        <f t="shared" si="2"/>
        <v>0</v>
      </c>
      <c r="K24" s="40">
        <v>0</v>
      </c>
      <c r="L24" s="40">
        <f t="shared" si="3"/>
        <v>0</v>
      </c>
      <c r="M24" s="41" t="s">
        <v>1008</v>
      </c>
      <c r="N24" s="41" t="s">
        <v>51</v>
      </c>
      <c r="O24" s="40">
        <f t="shared" si="4"/>
        <v>0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40">
        <f t="shared" si="5"/>
        <v>0</v>
      </c>
      <c r="AA24" s="40">
        <f t="shared" si="6"/>
        <v>0</v>
      </c>
      <c r="AB24" s="40">
        <f t="shared" si="7"/>
        <v>0</v>
      </c>
      <c r="AC24" s="54"/>
      <c r="AD24" s="40">
        <v>21</v>
      </c>
      <c r="AE24" s="40">
        <f t="shared" si="8"/>
        <v>0</v>
      </c>
      <c r="AF24" s="40">
        <f t="shared" si="9"/>
        <v>0</v>
      </c>
      <c r="AG24" s="54"/>
      <c r="AH24" s="54"/>
      <c r="AI24" s="54"/>
      <c r="AJ24" s="54"/>
      <c r="AK24" s="54"/>
      <c r="AL24" s="54"/>
      <c r="AM24" s="40">
        <f t="shared" si="10"/>
        <v>0</v>
      </c>
      <c r="AN24" s="40">
        <f t="shared" si="11"/>
        <v>0</v>
      </c>
      <c r="AO24" s="41" t="s">
        <v>951</v>
      </c>
      <c r="AP24" s="41" t="s">
        <v>80</v>
      </c>
      <c r="AQ24" s="54"/>
      <c r="AR24" s="54"/>
      <c r="AS24" s="54"/>
      <c r="AT24" s="54"/>
    </row>
    <row r="25" spans="1:46" ht="14.25">
      <c r="A25" s="42"/>
      <c r="B25" s="43"/>
      <c r="C25" s="43" t="s">
        <v>1026</v>
      </c>
      <c r="D25" s="43"/>
      <c r="E25" s="43"/>
      <c r="F25" s="43"/>
      <c r="G25" s="43"/>
      <c r="H25" s="39">
        <f>SUM(H26:H31)</f>
        <v>0</v>
      </c>
      <c r="I25" s="39">
        <f>SUM(I26:I31)</f>
        <v>0</v>
      </c>
      <c r="J25" s="39">
        <f>H25+I25</f>
        <v>0</v>
      </c>
      <c r="K25" s="34"/>
      <c r="L25" s="39">
        <f>SUM(L26:L31)</f>
        <v>0</v>
      </c>
      <c r="M25" s="34"/>
      <c r="N25" s="54"/>
      <c r="O25" s="54"/>
      <c r="P25" s="39">
        <f>IF(Q25="PR",J25,SUM(O26:O31))</f>
        <v>0</v>
      </c>
      <c r="Q25" s="34" t="s">
        <v>953</v>
      </c>
      <c r="R25" s="39">
        <f>IF(Q25="HS",H25,0)</f>
        <v>0</v>
      </c>
      <c r="S25" s="39">
        <f>IF(Q25="HS",I25-P25,0)</f>
        <v>0</v>
      </c>
      <c r="T25" s="39">
        <f>IF(Q25="PS",H25,0)</f>
        <v>0</v>
      </c>
      <c r="U25" s="39">
        <f>IF(Q25="PS",I25-P25,0)</f>
        <v>0</v>
      </c>
      <c r="V25" s="39">
        <f>IF(Q25="MP",H25,0)</f>
        <v>0</v>
      </c>
      <c r="W25" s="39">
        <f>IF(Q25="MP",I25-P25,0)</f>
        <v>0</v>
      </c>
      <c r="X25" s="39">
        <f>IF(Q25="OM",H25,0)</f>
        <v>0</v>
      </c>
      <c r="Y25" s="34"/>
      <c r="Z25" s="54"/>
      <c r="AA25" s="54"/>
      <c r="AB25" s="54"/>
      <c r="AC25" s="54"/>
      <c r="AD25" s="54"/>
      <c r="AE25" s="54"/>
      <c r="AF25" s="54"/>
      <c r="AG25" s="54"/>
      <c r="AH25" s="54"/>
      <c r="AI25" s="39">
        <f>SUM(Z26:Z31)</f>
        <v>0</v>
      </c>
      <c r="AJ25" s="39">
        <f>SUM(AA26:AA31)</f>
        <v>0</v>
      </c>
      <c r="AK25" s="39">
        <f>SUM(AB26:AB31)</f>
        <v>0</v>
      </c>
      <c r="AL25" s="54"/>
      <c r="AM25" s="54"/>
      <c r="AN25" s="54"/>
      <c r="AO25" s="54"/>
      <c r="AP25" s="54"/>
      <c r="AQ25" s="54"/>
      <c r="AR25" s="54"/>
      <c r="AS25" s="54"/>
      <c r="AT25" s="54"/>
    </row>
    <row r="26" spans="1:46" ht="14.25">
      <c r="A26" s="10" t="s">
        <v>78</v>
      </c>
      <c r="B26" s="10"/>
      <c r="C26" s="10" t="s">
        <v>1027</v>
      </c>
      <c r="D26" s="10" t="s">
        <v>1028</v>
      </c>
      <c r="E26" s="10" t="s">
        <v>71</v>
      </c>
      <c r="F26" s="40">
        <v>35</v>
      </c>
      <c r="G26" s="40">
        <v>0</v>
      </c>
      <c r="H26" s="40">
        <f aca="true" t="shared" si="12" ref="H26:H31">ROUND(F26*AE26,2)</f>
        <v>0</v>
      </c>
      <c r="I26" s="40">
        <f aca="true" t="shared" si="13" ref="I26:I31">J26-H26</f>
        <v>0</v>
      </c>
      <c r="J26" s="40">
        <f aca="true" t="shared" si="14" ref="J26:J31">ROUND(F26*G26,2)</f>
        <v>0</v>
      </c>
      <c r="K26" s="40">
        <v>0</v>
      </c>
      <c r="L26" s="40">
        <f aca="true" t="shared" si="15" ref="L26:L31">F26*K26</f>
        <v>0</v>
      </c>
      <c r="M26" s="41" t="s">
        <v>1008</v>
      </c>
      <c r="N26" s="41" t="s">
        <v>51</v>
      </c>
      <c r="O26" s="40">
        <f aca="true" t="shared" si="16" ref="O26:O31">IF(N26="5",I26,0)</f>
        <v>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40">
        <f aca="true" t="shared" si="17" ref="Z26:Z31">IF(AD26=0,J26,0)</f>
        <v>0</v>
      </c>
      <c r="AA26" s="40">
        <f aca="true" t="shared" si="18" ref="AA26:AA31">IF(AD26=15,J26,0)</f>
        <v>0</v>
      </c>
      <c r="AB26" s="40">
        <f aca="true" t="shared" si="19" ref="AB26:AB31">IF(AD26=21,J26,0)</f>
        <v>0</v>
      </c>
      <c r="AC26" s="54"/>
      <c r="AD26" s="40">
        <v>21</v>
      </c>
      <c r="AE26" s="40">
        <f>G26*0</f>
        <v>0</v>
      </c>
      <c r="AF26" s="40">
        <f>G26*(1-0)</f>
        <v>0</v>
      </c>
      <c r="AG26" s="54"/>
      <c r="AH26" s="54"/>
      <c r="AI26" s="54"/>
      <c r="AJ26" s="54"/>
      <c r="AK26" s="54"/>
      <c r="AL26" s="54"/>
      <c r="AM26" s="40">
        <f aca="true" t="shared" si="20" ref="AM26:AM31">F26*AE26</f>
        <v>0</v>
      </c>
      <c r="AN26" s="40">
        <f aca="true" t="shared" si="21" ref="AN26:AN31">F26*AF26</f>
        <v>0</v>
      </c>
      <c r="AO26" s="41" t="s">
        <v>1026</v>
      </c>
      <c r="AP26" s="41" t="s">
        <v>80</v>
      </c>
      <c r="AQ26" s="54"/>
      <c r="AR26" s="54"/>
      <c r="AS26" s="54"/>
      <c r="AT26" s="54"/>
    </row>
    <row r="27" spans="1:46" ht="14.25">
      <c r="A27" s="10" t="s">
        <v>85</v>
      </c>
      <c r="B27" s="10"/>
      <c r="C27" s="10" t="s">
        <v>1029</v>
      </c>
      <c r="D27" s="10" t="s">
        <v>1030</v>
      </c>
      <c r="E27" s="10" t="s">
        <v>143</v>
      </c>
      <c r="F27" s="40">
        <v>6</v>
      </c>
      <c r="G27" s="40">
        <v>0</v>
      </c>
      <c r="H27" s="40">
        <f t="shared" si="12"/>
        <v>0</v>
      </c>
      <c r="I27" s="40">
        <f t="shared" si="13"/>
        <v>0</v>
      </c>
      <c r="J27" s="40">
        <f t="shared" si="14"/>
        <v>0</v>
      </c>
      <c r="K27" s="40">
        <v>0</v>
      </c>
      <c r="L27" s="40">
        <f t="shared" si="15"/>
        <v>0</v>
      </c>
      <c r="M27" s="41" t="s">
        <v>1008</v>
      </c>
      <c r="N27" s="41" t="s">
        <v>51</v>
      </c>
      <c r="O27" s="40">
        <f t="shared" si="16"/>
        <v>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40">
        <f t="shared" si="17"/>
        <v>0</v>
      </c>
      <c r="AA27" s="40">
        <f t="shared" si="18"/>
        <v>0</v>
      </c>
      <c r="AB27" s="40">
        <f t="shared" si="19"/>
        <v>0</v>
      </c>
      <c r="AC27" s="54"/>
      <c r="AD27" s="40">
        <v>21</v>
      </c>
      <c r="AE27" s="40">
        <f>G27*0.416500553709856</f>
        <v>0</v>
      </c>
      <c r="AF27" s="40">
        <f>G27*(1-0.416500553709856)</f>
        <v>0</v>
      </c>
      <c r="AG27" s="54"/>
      <c r="AH27" s="54"/>
      <c r="AI27" s="54"/>
      <c r="AJ27" s="54"/>
      <c r="AK27" s="54"/>
      <c r="AL27" s="54"/>
      <c r="AM27" s="40">
        <f t="shared" si="20"/>
        <v>0</v>
      </c>
      <c r="AN27" s="40">
        <f t="shared" si="21"/>
        <v>0</v>
      </c>
      <c r="AO27" s="41" t="s">
        <v>1026</v>
      </c>
      <c r="AP27" s="41" t="s">
        <v>80</v>
      </c>
      <c r="AQ27" s="54"/>
      <c r="AR27" s="54"/>
      <c r="AS27" s="54"/>
      <c r="AT27" s="54"/>
    </row>
    <row r="28" spans="1:46" ht="14.25">
      <c r="A28" s="10" t="s">
        <v>105</v>
      </c>
      <c r="B28" s="10"/>
      <c r="C28" s="10" t="s">
        <v>1031</v>
      </c>
      <c r="D28" s="10" t="s">
        <v>1032</v>
      </c>
      <c r="E28" s="10" t="s">
        <v>71</v>
      </c>
      <c r="F28" s="40">
        <v>3</v>
      </c>
      <c r="G28" s="40">
        <v>0</v>
      </c>
      <c r="H28" s="40">
        <f t="shared" si="12"/>
        <v>0</v>
      </c>
      <c r="I28" s="40">
        <f t="shared" si="13"/>
        <v>0</v>
      </c>
      <c r="J28" s="40">
        <f t="shared" si="14"/>
        <v>0</v>
      </c>
      <c r="K28" s="40">
        <v>0</v>
      </c>
      <c r="L28" s="40">
        <f t="shared" si="15"/>
        <v>0</v>
      </c>
      <c r="M28" s="41" t="s">
        <v>1008</v>
      </c>
      <c r="N28" s="41" t="s">
        <v>51</v>
      </c>
      <c r="O28" s="40">
        <f t="shared" si="16"/>
        <v>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40">
        <f t="shared" si="17"/>
        <v>0</v>
      </c>
      <c r="AA28" s="40">
        <f t="shared" si="18"/>
        <v>0</v>
      </c>
      <c r="AB28" s="40">
        <f t="shared" si="19"/>
        <v>0</v>
      </c>
      <c r="AC28" s="54"/>
      <c r="AD28" s="40">
        <v>21</v>
      </c>
      <c r="AE28" s="40">
        <f aca="true" t="shared" si="22" ref="AE28:AE31">G28*0</f>
        <v>0</v>
      </c>
      <c r="AF28" s="40">
        <f aca="true" t="shared" si="23" ref="AF28:AF31">G28*(1-0)</f>
        <v>0</v>
      </c>
      <c r="AG28" s="54"/>
      <c r="AH28" s="54"/>
      <c r="AI28" s="54"/>
      <c r="AJ28" s="54"/>
      <c r="AK28" s="54"/>
      <c r="AL28" s="54"/>
      <c r="AM28" s="40">
        <f t="shared" si="20"/>
        <v>0</v>
      </c>
      <c r="AN28" s="40">
        <f t="shared" si="21"/>
        <v>0</v>
      </c>
      <c r="AO28" s="41" t="s">
        <v>1026</v>
      </c>
      <c r="AP28" s="41" t="s">
        <v>80</v>
      </c>
      <c r="AQ28" s="54"/>
      <c r="AR28" s="54"/>
      <c r="AS28" s="54"/>
      <c r="AT28" s="54"/>
    </row>
    <row r="29" spans="1:46" ht="14.25">
      <c r="A29" s="10" t="s">
        <v>110</v>
      </c>
      <c r="B29" s="10"/>
      <c r="C29" s="10" t="s">
        <v>1033</v>
      </c>
      <c r="D29" s="10" t="s">
        <v>1034</v>
      </c>
      <c r="E29" s="10" t="s">
        <v>143</v>
      </c>
      <c r="F29" s="40">
        <v>100</v>
      </c>
      <c r="G29" s="40">
        <v>0</v>
      </c>
      <c r="H29" s="40">
        <f t="shared" si="12"/>
        <v>0</v>
      </c>
      <c r="I29" s="40">
        <f t="shared" si="13"/>
        <v>0</v>
      </c>
      <c r="J29" s="40">
        <f t="shared" si="14"/>
        <v>0</v>
      </c>
      <c r="K29" s="40">
        <v>0</v>
      </c>
      <c r="L29" s="40">
        <f t="shared" si="15"/>
        <v>0</v>
      </c>
      <c r="M29" s="41" t="s">
        <v>1008</v>
      </c>
      <c r="N29" s="41" t="s">
        <v>51</v>
      </c>
      <c r="O29" s="40">
        <f t="shared" si="16"/>
        <v>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40">
        <f t="shared" si="17"/>
        <v>0</v>
      </c>
      <c r="AA29" s="40">
        <f t="shared" si="18"/>
        <v>0</v>
      </c>
      <c r="AB29" s="40">
        <f t="shared" si="19"/>
        <v>0</v>
      </c>
      <c r="AC29" s="54"/>
      <c r="AD29" s="40">
        <v>21</v>
      </c>
      <c r="AE29" s="40">
        <f t="shared" si="22"/>
        <v>0</v>
      </c>
      <c r="AF29" s="40">
        <f t="shared" si="23"/>
        <v>0</v>
      </c>
      <c r="AG29" s="54"/>
      <c r="AH29" s="54"/>
      <c r="AI29" s="54"/>
      <c r="AJ29" s="54"/>
      <c r="AK29" s="54"/>
      <c r="AL29" s="54"/>
      <c r="AM29" s="40">
        <f t="shared" si="20"/>
        <v>0</v>
      </c>
      <c r="AN29" s="40">
        <f t="shared" si="21"/>
        <v>0</v>
      </c>
      <c r="AO29" s="41" t="s">
        <v>1026</v>
      </c>
      <c r="AP29" s="41" t="s">
        <v>80</v>
      </c>
      <c r="AQ29" s="54"/>
      <c r="AR29" s="54"/>
      <c r="AS29" s="54"/>
      <c r="AT29" s="54"/>
    </row>
    <row r="30" spans="1:46" ht="14.25">
      <c r="A30" s="10" t="s">
        <v>115</v>
      </c>
      <c r="B30" s="10"/>
      <c r="C30" s="10" t="s">
        <v>1035</v>
      </c>
      <c r="D30" s="10" t="s">
        <v>1036</v>
      </c>
      <c r="E30" s="10" t="s">
        <v>143</v>
      </c>
      <c r="F30" s="40">
        <v>100</v>
      </c>
      <c r="G30" s="40">
        <v>0</v>
      </c>
      <c r="H30" s="40">
        <f t="shared" si="12"/>
        <v>0</v>
      </c>
      <c r="I30" s="40">
        <f t="shared" si="13"/>
        <v>0</v>
      </c>
      <c r="J30" s="40">
        <f t="shared" si="14"/>
        <v>0</v>
      </c>
      <c r="K30" s="40">
        <v>0</v>
      </c>
      <c r="L30" s="40">
        <f t="shared" si="15"/>
        <v>0</v>
      </c>
      <c r="M30" s="41" t="s">
        <v>1008</v>
      </c>
      <c r="N30" s="41" t="s">
        <v>51</v>
      </c>
      <c r="O30" s="40">
        <f t="shared" si="16"/>
        <v>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40">
        <f t="shared" si="17"/>
        <v>0</v>
      </c>
      <c r="AA30" s="40">
        <f t="shared" si="18"/>
        <v>0</v>
      </c>
      <c r="AB30" s="40">
        <f t="shared" si="19"/>
        <v>0</v>
      </c>
      <c r="AC30" s="54"/>
      <c r="AD30" s="40">
        <v>21</v>
      </c>
      <c r="AE30" s="40">
        <f t="shared" si="22"/>
        <v>0</v>
      </c>
      <c r="AF30" s="40">
        <f t="shared" si="23"/>
        <v>0</v>
      </c>
      <c r="AG30" s="54"/>
      <c r="AH30" s="54"/>
      <c r="AI30" s="54"/>
      <c r="AJ30" s="54"/>
      <c r="AK30" s="54"/>
      <c r="AL30" s="54"/>
      <c r="AM30" s="40">
        <f t="shared" si="20"/>
        <v>0</v>
      </c>
      <c r="AN30" s="40">
        <f t="shared" si="21"/>
        <v>0</v>
      </c>
      <c r="AO30" s="41" t="s">
        <v>1026</v>
      </c>
      <c r="AP30" s="41" t="s">
        <v>80</v>
      </c>
      <c r="AQ30" s="54"/>
      <c r="AR30" s="54"/>
      <c r="AS30" s="54"/>
      <c r="AT30" s="54"/>
    </row>
    <row r="31" spans="1:46" ht="14.25">
      <c r="A31" s="10" t="s">
        <v>91</v>
      </c>
      <c r="B31" s="10"/>
      <c r="C31" s="10" t="s">
        <v>1037</v>
      </c>
      <c r="D31" s="10" t="s">
        <v>1038</v>
      </c>
      <c r="E31" s="10" t="s">
        <v>71</v>
      </c>
      <c r="F31" s="40">
        <v>35</v>
      </c>
      <c r="G31" s="40">
        <v>0</v>
      </c>
      <c r="H31" s="40">
        <f t="shared" si="12"/>
        <v>0</v>
      </c>
      <c r="I31" s="40">
        <f t="shared" si="13"/>
        <v>0</v>
      </c>
      <c r="J31" s="40">
        <f t="shared" si="14"/>
        <v>0</v>
      </c>
      <c r="K31" s="40">
        <v>0</v>
      </c>
      <c r="L31" s="40">
        <f t="shared" si="15"/>
        <v>0</v>
      </c>
      <c r="M31" s="41" t="s">
        <v>1008</v>
      </c>
      <c r="N31" s="41" t="s">
        <v>51</v>
      </c>
      <c r="O31" s="40">
        <f t="shared" si="16"/>
        <v>0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40">
        <f t="shared" si="17"/>
        <v>0</v>
      </c>
      <c r="AA31" s="40">
        <f t="shared" si="18"/>
        <v>0</v>
      </c>
      <c r="AB31" s="40">
        <f t="shared" si="19"/>
        <v>0</v>
      </c>
      <c r="AC31" s="54"/>
      <c r="AD31" s="40">
        <v>21</v>
      </c>
      <c r="AE31" s="40">
        <f t="shared" si="22"/>
        <v>0</v>
      </c>
      <c r="AF31" s="40">
        <f t="shared" si="23"/>
        <v>0</v>
      </c>
      <c r="AG31" s="54"/>
      <c r="AH31" s="54"/>
      <c r="AI31" s="54"/>
      <c r="AJ31" s="54"/>
      <c r="AK31" s="54"/>
      <c r="AL31" s="54"/>
      <c r="AM31" s="40">
        <f t="shared" si="20"/>
        <v>0</v>
      </c>
      <c r="AN31" s="40">
        <f t="shared" si="21"/>
        <v>0</v>
      </c>
      <c r="AO31" s="41" t="s">
        <v>1026</v>
      </c>
      <c r="AP31" s="41" t="s">
        <v>80</v>
      </c>
      <c r="AQ31" s="54"/>
      <c r="AR31" s="54"/>
      <c r="AS31" s="54"/>
      <c r="AT31" s="54"/>
    </row>
    <row r="32" spans="1:46" ht="14.25">
      <c r="A32" s="42"/>
      <c r="B32" s="43"/>
      <c r="C32" s="43" t="s">
        <v>1039</v>
      </c>
      <c r="D32" s="43" t="s">
        <v>975</v>
      </c>
      <c r="E32" s="43"/>
      <c r="F32" s="43"/>
      <c r="G32" s="43"/>
      <c r="H32" s="39">
        <f>SUM(H33:H38)</f>
        <v>0</v>
      </c>
      <c r="I32" s="39">
        <f>SUM(I33:I38)</f>
        <v>0</v>
      </c>
      <c r="J32" s="39">
        <f>H32+I32</f>
        <v>0</v>
      </c>
      <c r="K32" s="34"/>
      <c r="L32" s="39">
        <f>SUM(L33:L38)</f>
        <v>0</v>
      </c>
      <c r="M32" s="34"/>
      <c r="N32" s="54"/>
      <c r="O32" s="54"/>
      <c r="P32" s="39">
        <f>IF(Q32="PR",J32,SUM(O33:O38))</f>
        <v>0</v>
      </c>
      <c r="Q32" s="34" t="s">
        <v>946</v>
      </c>
      <c r="R32" s="39">
        <f>IF(Q32="HS",H32,0)</f>
        <v>0</v>
      </c>
      <c r="S32" s="39">
        <f>IF(Q32="HS",I32-P32,0)</f>
        <v>0</v>
      </c>
      <c r="T32" s="39">
        <f>IF(Q32="PS",H32,0)</f>
        <v>0</v>
      </c>
      <c r="U32" s="39">
        <f>IF(Q32="PS",I32-P32,0)</f>
        <v>0</v>
      </c>
      <c r="V32" s="39">
        <f>IF(Q32="MP",H32,0)</f>
        <v>0</v>
      </c>
      <c r="W32" s="39">
        <f>IF(Q32="MP",I32-P32,0)</f>
        <v>0</v>
      </c>
      <c r="X32" s="39">
        <f>IF(Q32="OM",H32,0)</f>
        <v>0</v>
      </c>
      <c r="Y32" s="34"/>
      <c r="Z32" s="54"/>
      <c r="AA32" s="54"/>
      <c r="AB32" s="54"/>
      <c r="AC32" s="54"/>
      <c r="AD32" s="54"/>
      <c r="AE32" s="54"/>
      <c r="AF32" s="54"/>
      <c r="AG32" s="54"/>
      <c r="AH32" s="54"/>
      <c r="AI32" s="39">
        <f>SUM(Z33:Z38)</f>
        <v>0</v>
      </c>
      <c r="AJ32" s="39">
        <f>SUM(AA33:AA38)</f>
        <v>0</v>
      </c>
      <c r="AK32" s="39">
        <f>SUM(AB33:AB38)</f>
        <v>0</v>
      </c>
      <c r="AL32" s="54"/>
      <c r="AM32" s="54"/>
      <c r="AN32" s="54"/>
      <c r="AO32" s="54"/>
      <c r="AP32" s="54"/>
      <c r="AQ32" s="54"/>
      <c r="AR32" s="54"/>
      <c r="AS32" s="54"/>
      <c r="AT32" s="54"/>
    </row>
    <row r="33" spans="1:46" ht="14.25">
      <c r="A33" s="10" t="s">
        <v>95</v>
      </c>
      <c r="B33" s="10"/>
      <c r="C33" s="10" t="s">
        <v>977</v>
      </c>
      <c r="D33" s="10" t="s">
        <v>1040</v>
      </c>
      <c r="E33" s="10" t="s">
        <v>113</v>
      </c>
      <c r="F33" s="40">
        <v>1</v>
      </c>
      <c r="G33" s="40">
        <v>0</v>
      </c>
      <c r="H33" s="40">
        <f aca="true" t="shared" si="24" ref="H33:H38">ROUND(F33*AE33,2)</f>
        <v>0</v>
      </c>
      <c r="I33" s="40">
        <f aca="true" t="shared" si="25" ref="I33:I38">J33-H33</f>
        <v>0</v>
      </c>
      <c r="J33" s="40">
        <f aca="true" t="shared" si="26" ref="J33:J38">ROUND(F33*G33,2)</f>
        <v>0</v>
      </c>
      <c r="K33" s="40">
        <v>0</v>
      </c>
      <c r="L33" s="40">
        <f aca="true" t="shared" si="27" ref="L33:L38">F33*K33</f>
        <v>0</v>
      </c>
      <c r="M33" s="41" t="s">
        <v>1008</v>
      </c>
      <c r="N33" s="41" t="s">
        <v>60</v>
      </c>
      <c r="O33" s="40">
        <f aca="true" t="shared" si="28" ref="O33:O38">IF(N33="5",I33,0)</f>
        <v>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40">
        <f aca="true" t="shared" si="29" ref="Z33:Z38">IF(AD33=0,J33,0)</f>
        <v>0</v>
      </c>
      <c r="AA33" s="40">
        <f aca="true" t="shared" si="30" ref="AA33:AA38">IF(AD33=15,J33,0)</f>
        <v>0</v>
      </c>
      <c r="AB33" s="40">
        <f aca="true" t="shared" si="31" ref="AB33:AB38">IF(AD33=21,J33,0)</f>
        <v>0</v>
      </c>
      <c r="AC33" s="54"/>
      <c r="AD33" s="40">
        <v>21</v>
      </c>
      <c r="AE33" s="40">
        <f aca="true" t="shared" si="32" ref="AE33:AE38">G33*0</f>
        <v>0</v>
      </c>
      <c r="AF33" s="40">
        <f aca="true" t="shared" si="33" ref="AF33:AF38">G33*(1-0)</f>
        <v>0</v>
      </c>
      <c r="AG33" s="54"/>
      <c r="AH33" s="54"/>
      <c r="AI33" s="54"/>
      <c r="AJ33" s="54"/>
      <c r="AK33" s="54"/>
      <c r="AL33" s="54"/>
      <c r="AM33" s="40">
        <f aca="true" t="shared" si="34" ref="AM33:AM38">F33*AE33</f>
        <v>0</v>
      </c>
      <c r="AN33" s="40">
        <f aca="true" t="shared" si="35" ref="AN33:AN38">F33*AF33</f>
        <v>0</v>
      </c>
      <c r="AO33" s="41" t="s">
        <v>1039</v>
      </c>
      <c r="AP33" s="41" t="s">
        <v>80</v>
      </c>
      <c r="AQ33" s="54"/>
      <c r="AR33" s="54"/>
      <c r="AS33" s="54"/>
      <c r="AT33" s="54"/>
    </row>
    <row r="34" spans="1:46" ht="14.25">
      <c r="A34" s="10" t="s">
        <v>128</v>
      </c>
      <c r="B34" s="10"/>
      <c r="C34" s="10" t="s">
        <v>1041</v>
      </c>
      <c r="D34" s="10" t="s">
        <v>1042</v>
      </c>
      <c r="E34" s="10" t="s">
        <v>113</v>
      </c>
      <c r="F34" s="40">
        <v>10</v>
      </c>
      <c r="G34" s="40">
        <v>0</v>
      </c>
      <c r="H34" s="40">
        <f t="shared" si="24"/>
        <v>0</v>
      </c>
      <c r="I34" s="40">
        <f t="shared" si="25"/>
        <v>0</v>
      </c>
      <c r="J34" s="40">
        <f t="shared" si="26"/>
        <v>0</v>
      </c>
      <c r="K34" s="40">
        <v>0</v>
      </c>
      <c r="L34" s="40">
        <f t="shared" si="27"/>
        <v>0</v>
      </c>
      <c r="M34" s="41" t="s">
        <v>1008</v>
      </c>
      <c r="N34" s="41" t="s">
        <v>60</v>
      </c>
      <c r="O34" s="40">
        <f t="shared" si="28"/>
        <v>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40">
        <f t="shared" si="29"/>
        <v>0</v>
      </c>
      <c r="AA34" s="40">
        <f t="shared" si="30"/>
        <v>0</v>
      </c>
      <c r="AB34" s="40">
        <f t="shared" si="31"/>
        <v>0</v>
      </c>
      <c r="AC34" s="54"/>
      <c r="AD34" s="40">
        <v>21</v>
      </c>
      <c r="AE34" s="40">
        <f t="shared" si="32"/>
        <v>0</v>
      </c>
      <c r="AF34" s="40">
        <f t="shared" si="33"/>
        <v>0</v>
      </c>
      <c r="AG34" s="54"/>
      <c r="AH34" s="54"/>
      <c r="AI34" s="54"/>
      <c r="AJ34" s="54"/>
      <c r="AK34" s="54"/>
      <c r="AL34" s="54"/>
      <c r="AM34" s="40">
        <f t="shared" si="34"/>
        <v>0</v>
      </c>
      <c r="AN34" s="40">
        <f t="shared" si="35"/>
        <v>0</v>
      </c>
      <c r="AO34" s="41" t="s">
        <v>1039</v>
      </c>
      <c r="AP34" s="41" t="s">
        <v>80</v>
      </c>
      <c r="AQ34" s="54"/>
      <c r="AR34" s="54"/>
      <c r="AS34" s="54"/>
      <c r="AT34" s="54"/>
    </row>
    <row r="35" spans="1:46" ht="14.25">
      <c r="A35" s="10" t="s">
        <v>133</v>
      </c>
      <c r="B35" s="10"/>
      <c r="C35" s="10" t="s">
        <v>1043</v>
      </c>
      <c r="D35" s="10" t="s">
        <v>1044</v>
      </c>
      <c r="E35" s="10" t="s">
        <v>113</v>
      </c>
      <c r="F35" s="40">
        <v>1</v>
      </c>
      <c r="G35" s="40">
        <v>0</v>
      </c>
      <c r="H35" s="40">
        <f t="shared" si="24"/>
        <v>0</v>
      </c>
      <c r="I35" s="40">
        <f t="shared" si="25"/>
        <v>0</v>
      </c>
      <c r="J35" s="40">
        <f t="shared" si="26"/>
        <v>0</v>
      </c>
      <c r="K35" s="40">
        <v>0</v>
      </c>
      <c r="L35" s="40">
        <f t="shared" si="27"/>
        <v>0</v>
      </c>
      <c r="M35" s="41" t="s">
        <v>1008</v>
      </c>
      <c r="N35" s="41" t="s">
        <v>60</v>
      </c>
      <c r="O35" s="40">
        <f t="shared" si="28"/>
        <v>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40">
        <f t="shared" si="29"/>
        <v>0</v>
      </c>
      <c r="AA35" s="40">
        <f t="shared" si="30"/>
        <v>0</v>
      </c>
      <c r="AB35" s="40">
        <f t="shared" si="31"/>
        <v>0</v>
      </c>
      <c r="AC35" s="54"/>
      <c r="AD35" s="40">
        <v>21</v>
      </c>
      <c r="AE35" s="40">
        <f t="shared" si="32"/>
        <v>0</v>
      </c>
      <c r="AF35" s="40">
        <f t="shared" si="33"/>
        <v>0</v>
      </c>
      <c r="AG35" s="54"/>
      <c r="AH35" s="54"/>
      <c r="AI35" s="54"/>
      <c r="AJ35" s="54"/>
      <c r="AK35" s="54"/>
      <c r="AL35" s="54"/>
      <c r="AM35" s="40">
        <f t="shared" si="34"/>
        <v>0</v>
      </c>
      <c r="AN35" s="40">
        <f t="shared" si="35"/>
        <v>0</v>
      </c>
      <c r="AO35" s="41" t="s">
        <v>1039</v>
      </c>
      <c r="AP35" s="41" t="s">
        <v>80</v>
      </c>
      <c r="AQ35" s="54"/>
      <c r="AR35" s="54"/>
      <c r="AS35" s="54"/>
      <c r="AT35" s="54"/>
    </row>
    <row r="36" spans="1:46" ht="14.25">
      <c r="A36" s="10" t="s">
        <v>136</v>
      </c>
      <c r="B36" s="10"/>
      <c r="C36" s="10" t="s">
        <v>1045</v>
      </c>
      <c r="D36" s="10" t="s">
        <v>1046</v>
      </c>
      <c r="E36" s="10" t="s">
        <v>113</v>
      </c>
      <c r="F36" s="40">
        <v>6</v>
      </c>
      <c r="G36" s="40">
        <v>0</v>
      </c>
      <c r="H36" s="40">
        <f t="shared" si="24"/>
        <v>0</v>
      </c>
      <c r="I36" s="40">
        <f t="shared" si="25"/>
        <v>0</v>
      </c>
      <c r="J36" s="40">
        <f t="shared" si="26"/>
        <v>0</v>
      </c>
      <c r="K36" s="40">
        <v>0</v>
      </c>
      <c r="L36" s="40">
        <f t="shared" si="27"/>
        <v>0</v>
      </c>
      <c r="M36" s="41" t="s">
        <v>1008</v>
      </c>
      <c r="N36" s="41" t="s">
        <v>60</v>
      </c>
      <c r="O36" s="40">
        <f t="shared" si="28"/>
        <v>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40">
        <f t="shared" si="29"/>
        <v>0</v>
      </c>
      <c r="AA36" s="40">
        <f t="shared" si="30"/>
        <v>0</v>
      </c>
      <c r="AB36" s="40">
        <f t="shared" si="31"/>
        <v>0</v>
      </c>
      <c r="AC36" s="54"/>
      <c r="AD36" s="40">
        <v>21</v>
      </c>
      <c r="AE36" s="40">
        <f t="shared" si="32"/>
        <v>0</v>
      </c>
      <c r="AF36" s="40">
        <f t="shared" si="33"/>
        <v>0</v>
      </c>
      <c r="AG36" s="54"/>
      <c r="AH36" s="54"/>
      <c r="AI36" s="54"/>
      <c r="AJ36" s="54"/>
      <c r="AK36" s="54"/>
      <c r="AL36" s="54"/>
      <c r="AM36" s="40">
        <f t="shared" si="34"/>
        <v>0</v>
      </c>
      <c r="AN36" s="40">
        <f t="shared" si="35"/>
        <v>0</v>
      </c>
      <c r="AO36" s="41" t="s">
        <v>1039</v>
      </c>
      <c r="AP36" s="41" t="s">
        <v>80</v>
      </c>
      <c r="AQ36" s="54"/>
      <c r="AR36" s="54"/>
      <c r="AS36" s="54"/>
      <c r="AT36" s="54"/>
    </row>
    <row r="37" spans="1:46" ht="14.25">
      <c r="A37" s="10" t="s">
        <v>140</v>
      </c>
      <c r="B37" s="10"/>
      <c r="C37" s="10" t="s">
        <v>1047</v>
      </c>
      <c r="D37" s="10" t="s">
        <v>1048</v>
      </c>
      <c r="E37" s="10" t="s">
        <v>113</v>
      </c>
      <c r="F37" s="40">
        <v>1</v>
      </c>
      <c r="G37" s="40">
        <v>0</v>
      </c>
      <c r="H37" s="40">
        <f t="shared" si="24"/>
        <v>0</v>
      </c>
      <c r="I37" s="40">
        <f t="shared" si="25"/>
        <v>0</v>
      </c>
      <c r="J37" s="40">
        <f t="shared" si="26"/>
        <v>0</v>
      </c>
      <c r="K37" s="40">
        <v>0</v>
      </c>
      <c r="L37" s="40">
        <f t="shared" si="27"/>
        <v>0</v>
      </c>
      <c r="M37" s="41" t="s">
        <v>1008</v>
      </c>
      <c r="N37" s="41" t="s">
        <v>60</v>
      </c>
      <c r="O37" s="40">
        <f t="shared" si="28"/>
        <v>0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40">
        <f t="shared" si="29"/>
        <v>0</v>
      </c>
      <c r="AA37" s="40">
        <f t="shared" si="30"/>
        <v>0</v>
      </c>
      <c r="AB37" s="40">
        <f t="shared" si="31"/>
        <v>0</v>
      </c>
      <c r="AC37" s="54"/>
      <c r="AD37" s="40">
        <v>21</v>
      </c>
      <c r="AE37" s="40">
        <f t="shared" si="32"/>
        <v>0</v>
      </c>
      <c r="AF37" s="40">
        <f t="shared" si="33"/>
        <v>0</v>
      </c>
      <c r="AG37" s="54"/>
      <c r="AH37" s="54"/>
      <c r="AI37" s="54"/>
      <c r="AJ37" s="54"/>
      <c r="AK37" s="54"/>
      <c r="AL37" s="54"/>
      <c r="AM37" s="40">
        <f t="shared" si="34"/>
        <v>0</v>
      </c>
      <c r="AN37" s="40">
        <f t="shared" si="35"/>
        <v>0</v>
      </c>
      <c r="AO37" s="41" t="s">
        <v>1039</v>
      </c>
      <c r="AP37" s="41" t="s">
        <v>80</v>
      </c>
      <c r="AQ37" s="54"/>
      <c r="AR37" s="54"/>
      <c r="AS37" s="54"/>
      <c r="AT37" s="54"/>
    </row>
    <row r="38" spans="1:46" ht="14.25">
      <c r="A38" s="10" t="s">
        <v>145</v>
      </c>
      <c r="B38" s="10"/>
      <c r="C38" s="10" t="s">
        <v>1049</v>
      </c>
      <c r="D38" s="10" t="s">
        <v>1050</v>
      </c>
      <c r="E38" s="10" t="s">
        <v>113</v>
      </c>
      <c r="F38" s="40">
        <v>1</v>
      </c>
      <c r="G38" s="40">
        <v>0</v>
      </c>
      <c r="H38" s="40">
        <f t="shared" si="24"/>
        <v>0</v>
      </c>
      <c r="I38" s="40">
        <f t="shared" si="25"/>
        <v>0</v>
      </c>
      <c r="J38" s="40">
        <f t="shared" si="26"/>
        <v>0</v>
      </c>
      <c r="K38" s="40">
        <v>0</v>
      </c>
      <c r="L38" s="40">
        <f t="shared" si="27"/>
        <v>0</v>
      </c>
      <c r="M38" s="41" t="s">
        <v>1008</v>
      </c>
      <c r="N38" s="41" t="s">
        <v>60</v>
      </c>
      <c r="O38" s="40">
        <f t="shared" si="28"/>
        <v>0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40">
        <f t="shared" si="29"/>
        <v>0</v>
      </c>
      <c r="AA38" s="40">
        <f t="shared" si="30"/>
        <v>0</v>
      </c>
      <c r="AB38" s="40">
        <f t="shared" si="31"/>
        <v>0</v>
      </c>
      <c r="AC38" s="54"/>
      <c r="AD38" s="40">
        <v>21</v>
      </c>
      <c r="AE38" s="40">
        <f t="shared" si="32"/>
        <v>0</v>
      </c>
      <c r="AF38" s="40">
        <f t="shared" si="33"/>
        <v>0</v>
      </c>
      <c r="AG38" s="54"/>
      <c r="AH38" s="54"/>
      <c r="AI38" s="54"/>
      <c r="AJ38" s="54"/>
      <c r="AK38" s="54"/>
      <c r="AL38" s="54"/>
      <c r="AM38" s="40">
        <f t="shared" si="34"/>
        <v>0</v>
      </c>
      <c r="AN38" s="40">
        <f t="shared" si="35"/>
        <v>0</v>
      </c>
      <c r="AO38" s="41" t="s">
        <v>1039</v>
      </c>
      <c r="AP38" s="41" t="s">
        <v>80</v>
      </c>
      <c r="AQ38" s="54"/>
      <c r="AR38" s="54"/>
      <c r="AS38" s="54"/>
      <c r="AT38" s="54"/>
    </row>
    <row r="39" spans="1:46" ht="14.25">
      <c r="A39" s="42"/>
      <c r="B39" s="43"/>
      <c r="C39" s="43"/>
      <c r="D39" s="43" t="s">
        <v>1051</v>
      </c>
      <c r="E39" s="43"/>
      <c r="F39" s="43"/>
      <c r="G39" s="43"/>
      <c r="H39" s="39">
        <f>SUM(H40:H64)</f>
        <v>0</v>
      </c>
      <c r="I39" s="39">
        <f>SUM(I40:I64)</f>
        <v>0</v>
      </c>
      <c r="J39" s="39">
        <f>H39+I39</f>
        <v>0</v>
      </c>
      <c r="K39" s="34"/>
      <c r="L39" s="39">
        <f>SUM(L40:L64)</f>
        <v>0.004</v>
      </c>
      <c r="M39" s="34"/>
      <c r="N39" s="54"/>
      <c r="O39" s="54"/>
      <c r="P39" s="39">
        <f>IF(Q39="PR",J39,SUM(O40:O64))</f>
        <v>0</v>
      </c>
      <c r="Q39" s="34" t="s">
        <v>1052</v>
      </c>
      <c r="R39" s="39">
        <f>IF(Q39="HS",H39,0)</f>
        <v>0</v>
      </c>
      <c r="S39" s="39">
        <f>IF(Q39="HS",I39-P39,0)</f>
        <v>0</v>
      </c>
      <c r="T39" s="39">
        <f>IF(Q39="PS",H39,0)</f>
        <v>0</v>
      </c>
      <c r="U39" s="39">
        <f>IF(Q39="PS",I39-P39,0)</f>
        <v>0</v>
      </c>
      <c r="V39" s="39">
        <f>IF(Q39="MP",H39,0)</f>
        <v>0</v>
      </c>
      <c r="W39" s="39">
        <f>IF(Q39="MP",I39-P39,0)</f>
        <v>0</v>
      </c>
      <c r="X39" s="39">
        <f>IF(Q39="OM",H39,0)</f>
        <v>0</v>
      </c>
      <c r="Y39" s="34"/>
      <c r="Z39" s="54"/>
      <c r="AA39" s="54"/>
      <c r="AB39" s="54"/>
      <c r="AC39" s="54"/>
      <c r="AD39" s="54"/>
      <c r="AE39" s="54"/>
      <c r="AF39" s="54"/>
      <c r="AG39" s="54"/>
      <c r="AH39" s="54"/>
      <c r="AI39" s="39">
        <f>SUM(Z40:Z64)</f>
        <v>0</v>
      </c>
      <c r="AJ39" s="39">
        <f>SUM(AA40:AA64)</f>
        <v>0</v>
      </c>
      <c r="AK39" s="39">
        <f>SUM(AB40:AB64)</f>
        <v>0</v>
      </c>
      <c r="AL39" s="54"/>
      <c r="AM39" s="54"/>
      <c r="AN39" s="54"/>
      <c r="AO39" s="54"/>
      <c r="AP39" s="54"/>
      <c r="AQ39" s="54"/>
      <c r="AR39" s="54"/>
      <c r="AS39" s="54"/>
      <c r="AT39" s="54"/>
    </row>
    <row r="40" spans="1:46" ht="14.25">
      <c r="A40" s="10" t="s">
        <v>149</v>
      </c>
      <c r="B40" s="10"/>
      <c r="C40" s="10" t="s">
        <v>1053</v>
      </c>
      <c r="D40" s="10" t="s">
        <v>1054</v>
      </c>
      <c r="E40" s="10" t="s">
        <v>108</v>
      </c>
      <c r="F40" s="40">
        <v>94.5</v>
      </c>
      <c r="G40" s="40">
        <v>0</v>
      </c>
      <c r="H40" s="40">
        <f aca="true" t="shared" si="36" ref="H40:H64">ROUND(F40*AE40,2)</f>
        <v>0</v>
      </c>
      <c r="I40" s="40">
        <f aca="true" t="shared" si="37" ref="I40:I64">J40-H40</f>
        <v>0</v>
      </c>
      <c r="J40" s="40">
        <f aca="true" t="shared" si="38" ref="J40:J64">ROUND(F40*G40,2)</f>
        <v>0</v>
      </c>
      <c r="K40" s="40">
        <v>0</v>
      </c>
      <c r="L40" s="40">
        <f aca="true" t="shared" si="39" ref="L40:L64">F40*K40</f>
        <v>0</v>
      </c>
      <c r="M40" s="41"/>
      <c r="N40" s="41" t="s">
        <v>44</v>
      </c>
      <c r="O40" s="40">
        <f aca="true" t="shared" si="40" ref="O40:O64">IF(N40="5",I40,0)</f>
        <v>0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40">
        <f aca="true" t="shared" si="41" ref="Z40:Z64">IF(AD40=0,J40,0)</f>
        <v>0</v>
      </c>
      <c r="AA40" s="40">
        <f aca="true" t="shared" si="42" ref="AA40:AA64">IF(AD40=15,J40,0)</f>
        <v>0</v>
      </c>
      <c r="AB40" s="40">
        <f aca="true" t="shared" si="43" ref="AB40:AB64">IF(AD40=21,J40,0)</f>
        <v>0</v>
      </c>
      <c r="AC40" s="54"/>
      <c r="AD40" s="40">
        <v>21</v>
      </c>
      <c r="AE40" s="40">
        <f aca="true" t="shared" si="44" ref="AE40:AE64">G40*1</f>
        <v>0</v>
      </c>
      <c r="AF40" s="40">
        <f aca="true" t="shared" si="45" ref="AF40:AF64">G40*(1-1)</f>
        <v>0</v>
      </c>
      <c r="AG40" s="54"/>
      <c r="AH40" s="54"/>
      <c r="AI40" s="54"/>
      <c r="AJ40" s="54"/>
      <c r="AK40" s="54"/>
      <c r="AL40" s="54"/>
      <c r="AM40" s="40">
        <f aca="true" t="shared" si="46" ref="AM40:AM64">F40*AE40</f>
        <v>0</v>
      </c>
      <c r="AN40" s="40">
        <f aca="true" t="shared" si="47" ref="AN40:AN64">F40*AF40</f>
        <v>0</v>
      </c>
      <c r="AO40" s="41" t="s">
        <v>1055</v>
      </c>
      <c r="AP40" s="41" t="s">
        <v>1056</v>
      </c>
      <c r="AQ40" s="54"/>
      <c r="AR40" s="54"/>
      <c r="AS40" s="54"/>
      <c r="AT40" s="54"/>
    </row>
    <row r="41" spans="1:46" ht="14.25">
      <c r="A41" s="10" t="s">
        <v>152</v>
      </c>
      <c r="B41" s="10"/>
      <c r="C41" s="10" t="s">
        <v>1057</v>
      </c>
      <c r="D41" s="10" t="s">
        <v>1058</v>
      </c>
      <c r="E41" s="10" t="s">
        <v>108</v>
      </c>
      <c r="F41" s="40">
        <v>120</v>
      </c>
      <c r="G41" s="40">
        <v>0</v>
      </c>
      <c r="H41" s="40">
        <f t="shared" si="36"/>
        <v>0</v>
      </c>
      <c r="I41" s="40">
        <f t="shared" si="37"/>
        <v>0</v>
      </c>
      <c r="J41" s="40">
        <f t="shared" si="38"/>
        <v>0</v>
      </c>
      <c r="K41" s="40">
        <v>0</v>
      </c>
      <c r="L41" s="40">
        <f t="shared" si="39"/>
        <v>0</v>
      </c>
      <c r="M41" s="41"/>
      <c r="N41" s="41" t="s">
        <v>44</v>
      </c>
      <c r="O41" s="40">
        <f t="shared" si="40"/>
        <v>0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40">
        <f t="shared" si="41"/>
        <v>0</v>
      </c>
      <c r="AA41" s="40">
        <f t="shared" si="42"/>
        <v>0</v>
      </c>
      <c r="AB41" s="40">
        <f t="shared" si="43"/>
        <v>0</v>
      </c>
      <c r="AC41" s="54"/>
      <c r="AD41" s="40">
        <v>21</v>
      </c>
      <c r="AE41" s="40">
        <f t="shared" si="44"/>
        <v>0</v>
      </c>
      <c r="AF41" s="40">
        <f t="shared" si="45"/>
        <v>0</v>
      </c>
      <c r="AG41" s="54"/>
      <c r="AH41" s="54"/>
      <c r="AI41" s="54"/>
      <c r="AJ41" s="54"/>
      <c r="AK41" s="54"/>
      <c r="AL41" s="54"/>
      <c r="AM41" s="40">
        <f t="shared" si="46"/>
        <v>0</v>
      </c>
      <c r="AN41" s="40">
        <f t="shared" si="47"/>
        <v>0</v>
      </c>
      <c r="AO41" s="41" t="s">
        <v>1055</v>
      </c>
      <c r="AP41" s="41" t="s">
        <v>1056</v>
      </c>
      <c r="AQ41" s="54"/>
      <c r="AR41" s="54"/>
      <c r="AS41" s="54"/>
      <c r="AT41" s="54"/>
    </row>
    <row r="42" spans="1:46" ht="14.25">
      <c r="A42" s="10" t="s">
        <v>160</v>
      </c>
      <c r="B42" s="10"/>
      <c r="C42" s="10" t="s">
        <v>1059</v>
      </c>
      <c r="D42" s="10" t="s">
        <v>1060</v>
      </c>
      <c r="E42" s="10" t="s">
        <v>108</v>
      </c>
      <c r="F42" s="40">
        <v>11</v>
      </c>
      <c r="G42" s="40">
        <v>0</v>
      </c>
      <c r="H42" s="40">
        <f t="shared" si="36"/>
        <v>0</v>
      </c>
      <c r="I42" s="40">
        <f t="shared" si="37"/>
        <v>0</v>
      </c>
      <c r="J42" s="40">
        <f t="shared" si="38"/>
        <v>0</v>
      </c>
      <c r="K42" s="40">
        <v>0</v>
      </c>
      <c r="L42" s="40">
        <f t="shared" si="39"/>
        <v>0</v>
      </c>
      <c r="M42" s="41"/>
      <c r="N42" s="41" t="s">
        <v>44</v>
      </c>
      <c r="O42" s="40">
        <f t="shared" si="40"/>
        <v>0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40">
        <f t="shared" si="41"/>
        <v>0</v>
      </c>
      <c r="AA42" s="40">
        <f t="shared" si="42"/>
        <v>0</v>
      </c>
      <c r="AB42" s="40">
        <f t="shared" si="43"/>
        <v>0</v>
      </c>
      <c r="AC42" s="54"/>
      <c r="AD42" s="40">
        <v>21</v>
      </c>
      <c r="AE42" s="40">
        <f t="shared" si="44"/>
        <v>0</v>
      </c>
      <c r="AF42" s="40">
        <f t="shared" si="45"/>
        <v>0</v>
      </c>
      <c r="AG42" s="54"/>
      <c r="AH42" s="54"/>
      <c r="AI42" s="54"/>
      <c r="AJ42" s="54"/>
      <c r="AK42" s="54"/>
      <c r="AL42" s="54"/>
      <c r="AM42" s="40">
        <f t="shared" si="46"/>
        <v>0</v>
      </c>
      <c r="AN42" s="40">
        <f t="shared" si="47"/>
        <v>0</v>
      </c>
      <c r="AO42" s="41" t="s">
        <v>1055</v>
      </c>
      <c r="AP42" s="41" t="s">
        <v>1056</v>
      </c>
      <c r="AQ42" s="54"/>
      <c r="AR42" s="54"/>
      <c r="AS42" s="54"/>
      <c r="AT42" s="54"/>
    </row>
    <row r="43" spans="1:46" ht="14.25">
      <c r="A43" s="10" t="s">
        <v>164</v>
      </c>
      <c r="B43" s="10"/>
      <c r="C43" s="10" t="s">
        <v>1061</v>
      </c>
      <c r="D43" s="10" t="s">
        <v>1062</v>
      </c>
      <c r="E43" s="10" t="s">
        <v>1063</v>
      </c>
      <c r="F43" s="40">
        <v>1</v>
      </c>
      <c r="G43" s="40">
        <v>0</v>
      </c>
      <c r="H43" s="40">
        <f t="shared" si="36"/>
        <v>0</v>
      </c>
      <c r="I43" s="40">
        <f t="shared" si="37"/>
        <v>0</v>
      </c>
      <c r="J43" s="40">
        <f t="shared" si="38"/>
        <v>0</v>
      </c>
      <c r="K43" s="40">
        <v>0</v>
      </c>
      <c r="L43" s="40">
        <f t="shared" si="39"/>
        <v>0</v>
      </c>
      <c r="M43" s="41"/>
      <c r="N43" s="41" t="s">
        <v>44</v>
      </c>
      <c r="O43" s="40">
        <f t="shared" si="40"/>
        <v>0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40">
        <f t="shared" si="41"/>
        <v>0</v>
      </c>
      <c r="AA43" s="40">
        <f t="shared" si="42"/>
        <v>0</v>
      </c>
      <c r="AB43" s="40">
        <f t="shared" si="43"/>
        <v>0</v>
      </c>
      <c r="AC43" s="54"/>
      <c r="AD43" s="40">
        <v>21</v>
      </c>
      <c r="AE43" s="40">
        <f t="shared" si="44"/>
        <v>0</v>
      </c>
      <c r="AF43" s="40">
        <f t="shared" si="45"/>
        <v>0</v>
      </c>
      <c r="AG43" s="54"/>
      <c r="AH43" s="54"/>
      <c r="AI43" s="54"/>
      <c r="AJ43" s="54"/>
      <c r="AK43" s="54"/>
      <c r="AL43" s="54"/>
      <c r="AM43" s="40">
        <f t="shared" si="46"/>
        <v>0</v>
      </c>
      <c r="AN43" s="40">
        <f t="shared" si="47"/>
        <v>0</v>
      </c>
      <c r="AO43" s="41" t="s">
        <v>1055</v>
      </c>
      <c r="AP43" s="41" t="s">
        <v>1056</v>
      </c>
      <c r="AQ43" s="54"/>
      <c r="AR43" s="54"/>
      <c r="AS43" s="54"/>
      <c r="AT43" s="54"/>
    </row>
    <row r="44" spans="1:46" ht="14.25">
      <c r="A44" s="10" t="s">
        <v>169</v>
      </c>
      <c r="B44" s="10"/>
      <c r="C44" s="10" t="s">
        <v>1064</v>
      </c>
      <c r="D44" s="10" t="s">
        <v>1065</v>
      </c>
      <c r="E44" s="10" t="s">
        <v>1063</v>
      </c>
      <c r="F44" s="40">
        <v>1</v>
      </c>
      <c r="G44" s="40">
        <v>0</v>
      </c>
      <c r="H44" s="40">
        <f t="shared" si="36"/>
        <v>0</v>
      </c>
      <c r="I44" s="40">
        <f t="shared" si="37"/>
        <v>0</v>
      </c>
      <c r="J44" s="40">
        <f t="shared" si="38"/>
        <v>0</v>
      </c>
      <c r="K44" s="40">
        <v>0</v>
      </c>
      <c r="L44" s="40">
        <f t="shared" si="39"/>
        <v>0</v>
      </c>
      <c r="M44" s="41"/>
      <c r="N44" s="41" t="s">
        <v>44</v>
      </c>
      <c r="O44" s="40">
        <f t="shared" si="40"/>
        <v>0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40">
        <f t="shared" si="41"/>
        <v>0</v>
      </c>
      <c r="AA44" s="40">
        <f t="shared" si="42"/>
        <v>0</v>
      </c>
      <c r="AB44" s="40">
        <f t="shared" si="43"/>
        <v>0</v>
      </c>
      <c r="AC44" s="54"/>
      <c r="AD44" s="40">
        <v>21</v>
      </c>
      <c r="AE44" s="40">
        <f t="shared" si="44"/>
        <v>0</v>
      </c>
      <c r="AF44" s="40">
        <f t="shared" si="45"/>
        <v>0</v>
      </c>
      <c r="AG44" s="54"/>
      <c r="AH44" s="54"/>
      <c r="AI44" s="54"/>
      <c r="AJ44" s="54"/>
      <c r="AK44" s="54"/>
      <c r="AL44" s="54"/>
      <c r="AM44" s="40">
        <f t="shared" si="46"/>
        <v>0</v>
      </c>
      <c r="AN44" s="40">
        <f t="shared" si="47"/>
        <v>0</v>
      </c>
      <c r="AO44" s="41" t="s">
        <v>1055</v>
      </c>
      <c r="AP44" s="41" t="s">
        <v>1056</v>
      </c>
      <c r="AQ44" s="54"/>
      <c r="AR44" s="54"/>
      <c r="AS44" s="54"/>
      <c r="AT44" s="54"/>
    </row>
    <row r="45" spans="1:46" ht="14.25">
      <c r="A45" s="10" t="s">
        <v>173</v>
      </c>
      <c r="B45" s="10"/>
      <c r="C45" s="10" t="s">
        <v>1066</v>
      </c>
      <c r="D45" s="10" t="s">
        <v>1067</v>
      </c>
      <c r="E45" s="10" t="s">
        <v>1063</v>
      </c>
      <c r="F45" s="40">
        <v>1</v>
      </c>
      <c r="G45" s="40">
        <v>0</v>
      </c>
      <c r="H45" s="40">
        <f t="shared" si="36"/>
        <v>0</v>
      </c>
      <c r="I45" s="40">
        <f t="shared" si="37"/>
        <v>0</v>
      </c>
      <c r="J45" s="40">
        <f t="shared" si="38"/>
        <v>0</v>
      </c>
      <c r="K45" s="40">
        <v>0</v>
      </c>
      <c r="L45" s="40">
        <f t="shared" si="39"/>
        <v>0</v>
      </c>
      <c r="M45" s="41"/>
      <c r="N45" s="41" t="s">
        <v>44</v>
      </c>
      <c r="O45" s="40">
        <f t="shared" si="40"/>
        <v>0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40">
        <f t="shared" si="41"/>
        <v>0</v>
      </c>
      <c r="AA45" s="40">
        <f t="shared" si="42"/>
        <v>0</v>
      </c>
      <c r="AB45" s="40">
        <f t="shared" si="43"/>
        <v>0</v>
      </c>
      <c r="AC45" s="54"/>
      <c r="AD45" s="40">
        <v>21</v>
      </c>
      <c r="AE45" s="40">
        <f t="shared" si="44"/>
        <v>0</v>
      </c>
      <c r="AF45" s="40">
        <f t="shared" si="45"/>
        <v>0</v>
      </c>
      <c r="AG45" s="54"/>
      <c r="AH45" s="54"/>
      <c r="AI45" s="54"/>
      <c r="AJ45" s="54"/>
      <c r="AK45" s="54"/>
      <c r="AL45" s="54"/>
      <c r="AM45" s="40">
        <f t="shared" si="46"/>
        <v>0</v>
      </c>
      <c r="AN45" s="40">
        <f t="shared" si="47"/>
        <v>0</v>
      </c>
      <c r="AO45" s="41" t="s">
        <v>1055</v>
      </c>
      <c r="AP45" s="41" t="s">
        <v>1056</v>
      </c>
      <c r="AQ45" s="54"/>
      <c r="AR45" s="54"/>
      <c r="AS45" s="54"/>
      <c r="AT45" s="54"/>
    </row>
    <row r="46" spans="1:46" ht="14.25">
      <c r="A46" s="10" t="s">
        <v>181</v>
      </c>
      <c r="B46" s="10"/>
      <c r="C46" s="10" t="s">
        <v>1068</v>
      </c>
      <c r="D46" s="10" t="s">
        <v>1069</v>
      </c>
      <c r="E46" s="10" t="s">
        <v>1063</v>
      </c>
      <c r="F46" s="40">
        <v>1</v>
      </c>
      <c r="G46" s="40">
        <v>0</v>
      </c>
      <c r="H46" s="40">
        <f t="shared" si="36"/>
        <v>0</v>
      </c>
      <c r="I46" s="40">
        <f t="shared" si="37"/>
        <v>0</v>
      </c>
      <c r="J46" s="40">
        <f t="shared" si="38"/>
        <v>0</v>
      </c>
      <c r="K46" s="40">
        <v>0</v>
      </c>
      <c r="L46" s="40">
        <f t="shared" si="39"/>
        <v>0</v>
      </c>
      <c r="M46" s="41"/>
      <c r="N46" s="41" t="s">
        <v>44</v>
      </c>
      <c r="O46" s="40">
        <f t="shared" si="40"/>
        <v>0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40">
        <f t="shared" si="41"/>
        <v>0</v>
      </c>
      <c r="AA46" s="40">
        <f t="shared" si="42"/>
        <v>0</v>
      </c>
      <c r="AB46" s="40">
        <f t="shared" si="43"/>
        <v>0</v>
      </c>
      <c r="AC46" s="54"/>
      <c r="AD46" s="40">
        <v>21</v>
      </c>
      <c r="AE46" s="40">
        <f t="shared" si="44"/>
        <v>0</v>
      </c>
      <c r="AF46" s="40">
        <f t="shared" si="45"/>
        <v>0</v>
      </c>
      <c r="AG46" s="54"/>
      <c r="AH46" s="54"/>
      <c r="AI46" s="54"/>
      <c r="AJ46" s="54"/>
      <c r="AK46" s="54"/>
      <c r="AL46" s="54"/>
      <c r="AM46" s="40">
        <f t="shared" si="46"/>
        <v>0</v>
      </c>
      <c r="AN46" s="40">
        <f t="shared" si="47"/>
        <v>0</v>
      </c>
      <c r="AO46" s="41" t="s">
        <v>1055</v>
      </c>
      <c r="AP46" s="41" t="s">
        <v>1056</v>
      </c>
      <c r="AQ46" s="54"/>
      <c r="AR46" s="54"/>
      <c r="AS46" s="54"/>
      <c r="AT46" s="54"/>
    </row>
    <row r="47" spans="1:46" ht="14.25">
      <c r="A47" s="10" t="s">
        <v>100</v>
      </c>
      <c r="B47" s="10"/>
      <c r="C47" s="10" t="s">
        <v>1070</v>
      </c>
      <c r="D47" s="10" t="s">
        <v>1071</v>
      </c>
      <c r="E47" s="10" t="s">
        <v>1063</v>
      </c>
      <c r="F47" s="40">
        <v>1</v>
      </c>
      <c r="G47" s="40">
        <v>0</v>
      </c>
      <c r="H47" s="40">
        <f t="shared" si="36"/>
        <v>0</v>
      </c>
      <c r="I47" s="40">
        <f t="shared" si="37"/>
        <v>0</v>
      </c>
      <c r="J47" s="40">
        <f t="shared" si="38"/>
        <v>0</v>
      </c>
      <c r="K47" s="40">
        <v>0</v>
      </c>
      <c r="L47" s="40">
        <f t="shared" si="39"/>
        <v>0</v>
      </c>
      <c r="M47" s="41"/>
      <c r="N47" s="41" t="s">
        <v>44</v>
      </c>
      <c r="O47" s="40">
        <f t="shared" si="40"/>
        <v>0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40">
        <f t="shared" si="41"/>
        <v>0</v>
      </c>
      <c r="AA47" s="40">
        <f t="shared" si="42"/>
        <v>0</v>
      </c>
      <c r="AB47" s="40">
        <f t="shared" si="43"/>
        <v>0</v>
      </c>
      <c r="AC47" s="54"/>
      <c r="AD47" s="40">
        <v>21</v>
      </c>
      <c r="AE47" s="40">
        <f t="shared" si="44"/>
        <v>0</v>
      </c>
      <c r="AF47" s="40">
        <f t="shared" si="45"/>
        <v>0</v>
      </c>
      <c r="AG47" s="54"/>
      <c r="AH47" s="54"/>
      <c r="AI47" s="54"/>
      <c r="AJ47" s="54"/>
      <c r="AK47" s="54"/>
      <c r="AL47" s="54"/>
      <c r="AM47" s="40">
        <f t="shared" si="46"/>
        <v>0</v>
      </c>
      <c r="AN47" s="40">
        <f t="shared" si="47"/>
        <v>0</v>
      </c>
      <c r="AO47" s="41" t="s">
        <v>1055</v>
      </c>
      <c r="AP47" s="41" t="s">
        <v>1056</v>
      </c>
      <c r="AQ47" s="54"/>
      <c r="AR47" s="54"/>
      <c r="AS47" s="54"/>
      <c r="AT47" s="54"/>
    </row>
    <row r="48" spans="1:46" ht="14.25">
      <c r="A48" s="10" t="s">
        <v>195</v>
      </c>
      <c r="B48" s="10"/>
      <c r="C48" s="10" t="s">
        <v>1072</v>
      </c>
      <c r="D48" s="10" t="s">
        <v>1073</v>
      </c>
      <c r="E48" s="10" t="s">
        <v>1063</v>
      </c>
      <c r="F48" s="40">
        <v>1</v>
      </c>
      <c r="G48" s="40">
        <v>0</v>
      </c>
      <c r="H48" s="40">
        <f t="shared" si="36"/>
        <v>0</v>
      </c>
      <c r="I48" s="40">
        <f t="shared" si="37"/>
        <v>0</v>
      </c>
      <c r="J48" s="40">
        <f t="shared" si="38"/>
        <v>0</v>
      </c>
      <c r="K48" s="40">
        <v>0</v>
      </c>
      <c r="L48" s="40">
        <f t="shared" si="39"/>
        <v>0</v>
      </c>
      <c r="M48" s="41"/>
      <c r="N48" s="41" t="s">
        <v>44</v>
      </c>
      <c r="O48" s="40">
        <f t="shared" si="40"/>
        <v>0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40">
        <f t="shared" si="41"/>
        <v>0</v>
      </c>
      <c r="AA48" s="40">
        <f t="shared" si="42"/>
        <v>0</v>
      </c>
      <c r="AB48" s="40">
        <f t="shared" si="43"/>
        <v>0</v>
      </c>
      <c r="AC48" s="54"/>
      <c r="AD48" s="40">
        <v>21</v>
      </c>
      <c r="AE48" s="40">
        <f t="shared" si="44"/>
        <v>0</v>
      </c>
      <c r="AF48" s="40">
        <f t="shared" si="45"/>
        <v>0</v>
      </c>
      <c r="AG48" s="54"/>
      <c r="AH48" s="54"/>
      <c r="AI48" s="54"/>
      <c r="AJ48" s="54"/>
      <c r="AK48" s="54"/>
      <c r="AL48" s="54"/>
      <c r="AM48" s="40">
        <f t="shared" si="46"/>
        <v>0</v>
      </c>
      <c r="AN48" s="40">
        <f t="shared" si="47"/>
        <v>0</v>
      </c>
      <c r="AO48" s="41" t="s">
        <v>1055</v>
      </c>
      <c r="AP48" s="41" t="s">
        <v>1056</v>
      </c>
      <c r="AQ48" s="54"/>
      <c r="AR48" s="54"/>
      <c r="AS48" s="54"/>
      <c r="AT48" s="54"/>
    </row>
    <row r="49" spans="1:46" ht="14.25">
      <c r="A49" s="10" t="s">
        <v>199</v>
      </c>
      <c r="B49" s="10"/>
      <c r="C49" s="10" t="s">
        <v>1074</v>
      </c>
      <c r="D49" s="10" t="s">
        <v>1075</v>
      </c>
      <c r="E49" s="10" t="s">
        <v>1063</v>
      </c>
      <c r="F49" s="40">
        <v>1</v>
      </c>
      <c r="G49" s="40">
        <v>0</v>
      </c>
      <c r="H49" s="40">
        <f t="shared" si="36"/>
        <v>0</v>
      </c>
      <c r="I49" s="40">
        <f t="shared" si="37"/>
        <v>0</v>
      </c>
      <c r="J49" s="40">
        <f t="shared" si="38"/>
        <v>0</v>
      </c>
      <c r="K49" s="40">
        <v>0</v>
      </c>
      <c r="L49" s="40">
        <f t="shared" si="39"/>
        <v>0</v>
      </c>
      <c r="M49" s="41"/>
      <c r="N49" s="41" t="s">
        <v>44</v>
      </c>
      <c r="O49" s="40">
        <f t="shared" si="40"/>
        <v>0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40">
        <f t="shared" si="41"/>
        <v>0</v>
      </c>
      <c r="AA49" s="40">
        <f t="shared" si="42"/>
        <v>0</v>
      </c>
      <c r="AB49" s="40">
        <f t="shared" si="43"/>
        <v>0</v>
      </c>
      <c r="AC49" s="54"/>
      <c r="AD49" s="40">
        <v>21</v>
      </c>
      <c r="AE49" s="40">
        <f t="shared" si="44"/>
        <v>0</v>
      </c>
      <c r="AF49" s="40">
        <f t="shared" si="45"/>
        <v>0</v>
      </c>
      <c r="AG49" s="54"/>
      <c r="AH49" s="54"/>
      <c r="AI49" s="54"/>
      <c r="AJ49" s="54"/>
      <c r="AK49" s="54"/>
      <c r="AL49" s="54"/>
      <c r="AM49" s="40">
        <f t="shared" si="46"/>
        <v>0</v>
      </c>
      <c r="AN49" s="40">
        <f t="shared" si="47"/>
        <v>0</v>
      </c>
      <c r="AO49" s="41" t="s">
        <v>1055</v>
      </c>
      <c r="AP49" s="41" t="s">
        <v>1056</v>
      </c>
      <c r="AQ49" s="54"/>
      <c r="AR49" s="54"/>
      <c r="AS49" s="54"/>
      <c r="AT49" s="54"/>
    </row>
    <row r="50" spans="1:46" ht="14.25">
      <c r="A50" s="10" t="s">
        <v>121</v>
      </c>
      <c r="B50" s="10"/>
      <c r="C50" s="10" t="s">
        <v>1076</v>
      </c>
      <c r="D50" s="10" t="s">
        <v>1077</v>
      </c>
      <c r="E50" s="10" t="s">
        <v>1063</v>
      </c>
      <c r="F50" s="40">
        <v>7</v>
      </c>
      <c r="G50" s="40">
        <v>0</v>
      </c>
      <c r="H50" s="40">
        <f t="shared" si="36"/>
        <v>0</v>
      </c>
      <c r="I50" s="40">
        <f t="shared" si="37"/>
        <v>0</v>
      </c>
      <c r="J50" s="40">
        <f t="shared" si="38"/>
        <v>0</v>
      </c>
      <c r="K50" s="40">
        <v>0</v>
      </c>
      <c r="L50" s="40">
        <f t="shared" si="39"/>
        <v>0</v>
      </c>
      <c r="M50" s="41"/>
      <c r="N50" s="41" t="s">
        <v>44</v>
      </c>
      <c r="O50" s="40">
        <f t="shared" si="40"/>
        <v>0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40">
        <f t="shared" si="41"/>
        <v>0</v>
      </c>
      <c r="AA50" s="40">
        <f t="shared" si="42"/>
        <v>0</v>
      </c>
      <c r="AB50" s="40">
        <f t="shared" si="43"/>
        <v>0</v>
      </c>
      <c r="AC50" s="54"/>
      <c r="AD50" s="40">
        <v>21</v>
      </c>
      <c r="AE50" s="40">
        <f t="shared" si="44"/>
        <v>0</v>
      </c>
      <c r="AF50" s="40">
        <f t="shared" si="45"/>
        <v>0</v>
      </c>
      <c r="AG50" s="54"/>
      <c r="AH50" s="54"/>
      <c r="AI50" s="54"/>
      <c r="AJ50" s="54"/>
      <c r="AK50" s="54"/>
      <c r="AL50" s="54"/>
      <c r="AM50" s="40">
        <f t="shared" si="46"/>
        <v>0</v>
      </c>
      <c r="AN50" s="40">
        <f t="shared" si="47"/>
        <v>0</v>
      </c>
      <c r="AO50" s="41" t="s">
        <v>1055</v>
      </c>
      <c r="AP50" s="41" t="s">
        <v>1056</v>
      </c>
      <c r="AQ50" s="54"/>
      <c r="AR50" s="54"/>
      <c r="AS50" s="54"/>
      <c r="AT50" s="54"/>
    </row>
    <row r="51" spans="1:46" ht="14.25">
      <c r="A51" s="10" t="s">
        <v>206</v>
      </c>
      <c r="B51" s="10"/>
      <c r="C51" s="10" t="s">
        <v>1078</v>
      </c>
      <c r="D51" s="10" t="s">
        <v>1079</v>
      </c>
      <c r="E51" s="10" t="s">
        <v>1063</v>
      </c>
      <c r="F51" s="40">
        <v>5</v>
      </c>
      <c r="G51" s="40">
        <v>0</v>
      </c>
      <c r="H51" s="40">
        <f t="shared" si="36"/>
        <v>0</v>
      </c>
      <c r="I51" s="40">
        <f t="shared" si="37"/>
        <v>0</v>
      </c>
      <c r="J51" s="40">
        <f t="shared" si="38"/>
        <v>0</v>
      </c>
      <c r="K51" s="40">
        <v>0</v>
      </c>
      <c r="L51" s="40">
        <f t="shared" si="39"/>
        <v>0</v>
      </c>
      <c r="M51" s="41"/>
      <c r="N51" s="41" t="s">
        <v>44</v>
      </c>
      <c r="O51" s="40">
        <f t="shared" si="40"/>
        <v>0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40">
        <f t="shared" si="41"/>
        <v>0</v>
      </c>
      <c r="AA51" s="40">
        <f t="shared" si="42"/>
        <v>0</v>
      </c>
      <c r="AB51" s="40">
        <f t="shared" si="43"/>
        <v>0</v>
      </c>
      <c r="AC51" s="54"/>
      <c r="AD51" s="40">
        <v>21</v>
      </c>
      <c r="AE51" s="40">
        <f t="shared" si="44"/>
        <v>0</v>
      </c>
      <c r="AF51" s="40">
        <f t="shared" si="45"/>
        <v>0</v>
      </c>
      <c r="AG51" s="54"/>
      <c r="AH51" s="54"/>
      <c r="AI51" s="54"/>
      <c r="AJ51" s="54"/>
      <c r="AK51" s="54"/>
      <c r="AL51" s="54"/>
      <c r="AM51" s="40">
        <f t="shared" si="46"/>
        <v>0</v>
      </c>
      <c r="AN51" s="40">
        <f t="shared" si="47"/>
        <v>0</v>
      </c>
      <c r="AO51" s="41" t="s">
        <v>1055</v>
      </c>
      <c r="AP51" s="41" t="s">
        <v>1056</v>
      </c>
      <c r="AQ51" s="54"/>
      <c r="AR51" s="54"/>
      <c r="AS51" s="54"/>
      <c r="AT51" s="54"/>
    </row>
    <row r="52" spans="1:46" ht="14.25">
      <c r="A52" s="10" t="s">
        <v>210</v>
      </c>
      <c r="B52" s="10"/>
      <c r="C52" s="10" t="s">
        <v>1080</v>
      </c>
      <c r="D52" s="10" t="s">
        <v>1081</v>
      </c>
      <c r="E52" s="10" t="s">
        <v>1063</v>
      </c>
      <c r="F52" s="40">
        <v>50</v>
      </c>
      <c r="G52" s="40">
        <v>0</v>
      </c>
      <c r="H52" s="40">
        <f t="shared" si="36"/>
        <v>0</v>
      </c>
      <c r="I52" s="40">
        <f t="shared" si="37"/>
        <v>0</v>
      </c>
      <c r="J52" s="40">
        <f t="shared" si="38"/>
        <v>0</v>
      </c>
      <c r="K52" s="40">
        <v>0</v>
      </c>
      <c r="L52" s="40">
        <f t="shared" si="39"/>
        <v>0</v>
      </c>
      <c r="M52" s="41"/>
      <c r="N52" s="41" t="s">
        <v>44</v>
      </c>
      <c r="O52" s="40">
        <f t="shared" si="40"/>
        <v>0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40">
        <f t="shared" si="41"/>
        <v>0</v>
      </c>
      <c r="AA52" s="40">
        <f t="shared" si="42"/>
        <v>0</v>
      </c>
      <c r="AB52" s="40">
        <f t="shared" si="43"/>
        <v>0</v>
      </c>
      <c r="AC52" s="54"/>
      <c r="AD52" s="40">
        <v>21</v>
      </c>
      <c r="AE52" s="40">
        <f t="shared" si="44"/>
        <v>0</v>
      </c>
      <c r="AF52" s="40">
        <f t="shared" si="45"/>
        <v>0</v>
      </c>
      <c r="AG52" s="54"/>
      <c r="AH52" s="54"/>
      <c r="AI52" s="54"/>
      <c r="AJ52" s="54"/>
      <c r="AK52" s="54"/>
      <c r="AL52" s="54"/>
      <c r="AM52" s="40">
        <f t="shared" si="46"/>
        <v>0</v>
      </c>
      <c r="AN52" s="40">
        <f t="shared" si="47"/>
        <v>0</v>
      </c>
      <c r="AO52" s="41" t="s">
        <v>1055</v>
      </c>
      <c r="AP52" s="41" t="s">
        <v>1056</v>
      </c>
      <c r="AQ52" s="54"/>
      <c r="AR52" s="54"/>
      <c r="AS52" s="54"/>
      <c r="AT52" s="54"/>
    </row>
    <row r="53" spans="1:46" ht="14.25">
      <c r="A53" s="10" t="s">
        <v>217</v>
      </c>
      <c r="B53" s="10"/>
      <c r="C53" s="10" t="s">
        <v>1082</v>
      </c>
      <c r="D53" s="10" t="s">
        <v>1083</v>
      </c>
      <c r="E53" s="10" t="s">
        <v>1063</v>
      </c>
      <c r="F53" s="40">
        <v>150</v>
      </c>
      <c r="G53" s="40">
        <v>0</v>
      </c>
      <c r="H53" s="40">
        <f t="shared" si="36"/>
        <v>0</v>
      </c>
      <c r="I53" s="40">
        <f t="shared" si="37"/>
        <v>0</v>
      </c>
      <c r="J53" s="40">
        <f t="shared" si="38"/>
        <v>0</v>
      </c>
      <c r="K53" s="40">
        <v>0</v>
      </c>
      <c r="L53" s="40">
        <f t="shared" si="39"/>
        <v>0</v>
      </c>
      <c r="M53" s="41"/>
      <c r="N53" s="41" t="s">
        <v>44</v>
      </c>
      <c r="O53" s="40">
        <f t="shared" si="40"/>
        <v>0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40">
        <f t="shared" si="41"/>
        <v>0</v>
      </c>
      <c r="AA53" s="40">
        <f t="shared" si="42"/>
        <v>0</v>
      </c>
      <c r="AB53" s="40">
        <f t="shared" si="43"/>
        <v>0</v>
      </c>
      <c r="AC53" s="54"/>
      <c r="AD53" s="40">
        <v>21</v>
      </c>
      <c r="AE53" s="40">
        <f t="shared" si="44"/>
        <v>0</v>
      </c>
      <c r="AF53" s="40">
        <f t="shared" si="45"/>
        <v>0</v>
      </c>
      <c r="AG53" s="54"/>
      <c r="AH53" s="54"/>
      <c r="AI53" s="54"/>
      <c r="AJ53" s="54"/>
      <c r="AK53" s="54"/>
      <c r="AL53" s="54"/>
      <c r="AM53" s="40">
        <f t="shared" si="46"/>
        <v>0</v>
      </c>
      <c r="AN53" s="40">
        <f t="shared" si="47"/>
        <v>0</v>
      </c>
      <c r="AO53" s="41" t="s">
        <v>1055</v>
      </c>
      <c r="AP53" s="41" t="s">
        <v>1056</v>
      </c>
      <c r="AQ53" s="54"/>
      <c r="AR53" s="54"/>
      <c r="AS53" s="54"/>
      <c r="AT53" s="54"/>
    </row>
    <row r="54" spans="1:46" ht="14.25">
      <c r="A54" s="10" t="s">
        <v>221</v>
      </c>
      <c r="B54" s="10"/>
      <c r="C54" s="10" t="s">
        <v>1084</v>
      </c>
      <c r="D54" s="10" t="s">
        <v>1085</v>
      </c>
      <c r="E54" s="10" t="s">
        <v>1063</v>
      </c>
      <c r="F54" s="40">
        <v>7</v>
      </c>
      <c r="G54" s="40">
        <v>0</v>
      </c>
      <c r="H54" s="40">
        <f t="shared" si="36"/>
        <v>0</v>
      </c>
      <c r="I54" s="40">
        <f t="shared" si="37"/>
        <v>0</v>
      </c>
      <c r="J54" s="40">
        <f t="shared" si="38"/>
        <v>0</v>
      </c>
      <c r="K54" s="40">
        <v>0</v>
      </c>
      <c r="L54" s="40">
        <f t="shared" si="39"/>
        <v>0</v>
      </c>
      <c r="M54" s="41"/>
      <c r="N54" s="41" t="s">
        <v>44</v>
      </c>
      <c r="O54" s="40">
        <f t="shared" si="40"/>
        <v>0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40">
        <f t="shared" si="41"/>
        <v>0</v>
      </c>
      <c r="AA54" s="40">
        <f t="shared" si="42"/>
        <v>0</v>
      </c>
      <c r="AB54" s="40">
        <f t="shared" si="43"/>
        <v>0</v>
      </c>
      <c r="AC54" s="54"/>
      <c r="AD54" s="40">
        <v>21</v>
      </c>
      <c r="AE54" s="40">
        <f t="shared" si="44"/>
        <v>0</v>
      </c>
      <c r="AF54" s="40">
        <f t="shared" si="45"/>
        <v>0</v>
      </c>
      <c r="AG54" s="54"/>
      <c r="AH54" s="54"/>
      <c r="AI54" s="54"/>
      <c r="AJ54" s="54"/>
      <c r="AK54" s="54"/>
      <c r="AL54" s="54"/>
      <c r="AM54" s="40">
        <f t="shared" si="46"/>
        <v>0</v>
      </c>
      <c r="AN54" s="40">
        <f t="shared" si="47"/>
        <v>0</v>
      </c>
      <c r="AO54" s="41" t="s">
        <v>1055</v>
      </c>
      <c r="AP54" s="41" t="s">
        <v>1056</v>
      </c>
      <c r="AQ54" s="54"/>
      <c r="AR54" s="54"/>
      <c r="AS54" s="54"/>
      <c r="AT54" s="54"/>
    </row>
    <row r="55" spans="1:46" ht="14.25">
      <c r="A55" s="10" t="s">
        <v>225</v>
      </c>
      <c r="B55" s="10"/>
      <c r="C55" s="10" t="s">
        <v>1086</v>
      </c>
      <c r="D55" s="10" t="s">
        <v>1087</v>
      </c>
      <c r="E55" s="10" t="s">
        <v>1063</v>
      </c>
      <c r="F55" s="40">
        <v>7</v>
      </c>
      <c r="G55" s="40">
        <v>0</v>
      </c>
      <c r="H55" s="40">
        <f t="shared" si="36"/>
        <v>0</v>
      </c>
      <c r="I55" s="40">
        <f t="shared" si="37"/>
        <v>0</v>
      </c>
      <c r="J55" s="40">
        <f t="shared" si="38"/>
        <v>0</v>
      </c>
      <c r="K55" s="40">
        <v>0</v>
      </c>
      <c r="L55" s="40">
        <f t="shared" si="39"/>
        <v>0</v>
      </c>
      <c r="M55" s="41"/>
      <c r="N55" s="41" t="s">
        <v>44</v>
      </c>
      <c r="O55" s="40">
        <f t="shared" si="40"/>
        <v>0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40">
        <f t="shared" si="41"/>
        <v>0</v>
      </c>
      <c r="AA55" s="40">
        <f t="shared" si="42"/>
        <v>0</v>
      </c>
      <c r="AB55" s="40">
        <f t="shared" si="43"/>
        <v>0</v>
      </c>
      <c r="AC55" s="54"/>
      <c r="AD55" s="40">
        <v>21</v>
      </c>
      <c r="AE55" s="40">
        <f t="shared" si="44"/>
        <v>0</v>
      </c>
      <c r="AF55" s="40">
        <f t="shared" si="45"/>
        <v>0</v>
      </c>
      <c r="AG55" s="54"/>
      <c r="AH55" s="54"/>
      <c r="AI55" s="54"/>
      <c r="AJ55" s="54"/>
      <c r="AK55" s="54"/>
      <c r="AL55" s="54"/>
      <c r="AM55" s="40">
        <f t="shared" si="46"/>
        <v>0</v>
      </c>
      <c r="AN55" s="40">
        <f t="shared" si="47"/>
        <v>0</v>
      </c>
      <c r="AO55" s="41" t="s">
        <v>1055</v>
      </c>
      <c r="AP55" s="41" t="s">
        <v>1056</v>
      </c>
      <c r="AQ55" s="54"/>
      <c r="AR55" s="54"/>
      <c r="AS55" s="54"/>
      <c r="AT55" s="54"/>
    </row>
    <row r="56" spans="1:46" ht="14.25">
      <c r="A56" s="10" t="s">
        <v>231</v>
      </c>
      <c r="B56" s="10"/>
      <c r="C56" s="10" t="s">
        <v>1088</v>
      </c>
      <c r="D56" s="10" t="s">
        <v>1089</v>
      </c>
      <c r="E56" s="10" t="s">
        <v>1063</v>
      </c>
      <c r="F56" s="40">
        <v>14</v>
      </c>
      <c r="G56" s="40">
        <v>0</v>
      </c>
      <c r="H56" s="40">
        <f t="shared" si="36"/>
        <v>0</v>
      </c>
      <c r="I56" s="40">
        <f t="shared" si="37"/>
        <v>0</v>
      </c>
      <c r="J56" s="40">
        <f t="shared" si="38"/>
        <v>0</v>
      </c>
      <c r="K56" s="40">
        <v>0</v>
      </c>
      <c r="L56" s="40">
        <f t="shared" si="39"/>
        <v>0</v>
      </c>
      <c r="M56" s="41"/>
      <c r="N56" s="41" t="s">
        <v>44</v>
      </c>
      <c r="O56" s="40">
        <f t="shared" si="40"/>
        <v>0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40">
        <f t="shared" si="41"/>
        <v>0</v>
      </c>
      <c r="AA56" s="40">
        <f t="shared" si="42"/>
        <v>0</v>
      </c>
      <c r="AB56" s="40">
        <f t="shared" si="43"/>
        <v>0</v>
      </c>
      <c r="AC56" s="54"/>
      <c r="AD56" s="40">
        <v>21</v>
      </c>
      <c r="AE56" s="40">
        <f t="shared" si="44"/>
        <v>0</v>
      </c>
      <c r="AF56" s="40">
        <f t="shared" si="45"/>
        <v>0</v>
      </c>
      <c r="AG56" s="54"/>
      <c r="AH56" s="54"/>
      <c r="AI56" s="54"/>
      <c r="AJ56" s="54"/>
      <c r="AK56" s="54"/>
      <c r="AL56" s="54"/>
      <c r="AM56" s="40">
        <f t="shared" si="46"/>
        <v>0</v>
      </c>
      <c r="AN56" s="40">
        <f t="shared" si="47"/>
        <v>0</v>
      </c>
      <c r="AO56" s="41" t="s">
        <v>1055</v>
      </c>
      <c r="AP56" s="41" t="s">
        <v>1056</v>
      </c>
      <c r="AQ56" s="54"/>
      <c r="AR56" s="54"/>
      <c r="AS56" s="54"/>
      <c r="AT56" s="54"/>
    </row>
    <row r="57" spans="1:46" ht="14.25">
      <c r="A57" s="10" t="s">
        <v>235</v>
      </c>
      <c r="B57" s="10"/>
      <c r="C57" s="10" t="s">
        <v>1090</v>
      </c>
      <c r="D57" s="10" t="s">
        <v>1091</v>
      </c>
      <c r="E57" s="10" t="s">
        <v>1063</v>
      </c>
      <c r="F57" s="40">
        <v>245</v>
      </c>
      <c r="G57" s="40">
        <v>0</v>
      </c>
      <c r="H57" s="40">
        <f t="shared" si="36"/>
        <v>0</v>
      </c>
      <c r="I57" s="40">
        <f t="shared" si="37"/>
        <v>0</v>
      </c>
      <c r="J57" s="40">
        <f t="shared" si="38"/>
        <v>0</v>
      </c>
      <c r="K57" s="40">
        <v>0</v>
      </c>
      <c r="L57" s="40">
        <f t="shared" si="39"/>
        <v>0</v>
      </c>
      <c r="M57" s="41"/>
      <c r="N57" s="41" t="s">
        <v>44</v>
      </c>
      <c r="O57" s="40">
        <f t="shared" si="40"/>
        <v>0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40">
        <f t="shared" si="41"/>
        <v>0</v>
      </c>
      <c r="AA57" s="40">
        <f t="shared" si="42"/>
        <v>0</v>
      </c>
      <c r="AB57" s="40">
        <f t="shared" si="43"/>
        <v>0</v>
      </c>
      <c r="AC57" s="54"/>
      <c r="AD57" s="40">
        <v>21</v>
      </c>
      <c r="AE57" s="40">
        <f t="shared" si="44"/>
        <v>0</v>
      </c>
      <c r="AF57" s="40">
        <f t="shared" si="45"/>
        <v>0</v>
      </c>
      <c r="AG57" s="54"/>
      <c r="AH57" s="54"/>
      <c r="AI57" s="54"/>
      <c r="AJ57" s="54"/>
      <c r="AK57" s="54"/>
      <c r="AL57" s="54"/>
      <c r="AM57" s="40">
        <f t="shared" si="46"/>
        <v>0</v>
      </c>
      <c r="AN57" s="40">
        <f t="shared" si="47"/>
        <v>0</v>
      </c>
      <c r="AO57" s="41" t="s">
        <v>1055</v>
      </c>
      <c r="AP57" s="41" t="s">
        <v>1056</v>
      </c>
      <c r="AQ57" s="54"/>
      <c r="AR57" s="54"/>
      <c r="AS57" s="54"/>
      <c r="AT57" s="54"/>
    </row>
    <row r="58" spans="1:46" ht="14.25">
      <c r="A58" s="10" t="s">
        <v>239</v>
      </c>
      <c r="B58" s="10"/>
      <c r="C58" s="10" t="s">
        <v>1092</v>
      </c>
      <c r="D58" s="10" t="s">
        <v>1093</v>
      </c>
      <c r="E58" s="10" t="s">
        <v>1063</v>
      </c>
      <c r="F58" s="40">
        <v>15</v>
      </c>
      <c r="G58" s="40">
        <v>0</v>
      </c>
      <c r="H58" s="40">
        <f t="shared" si="36"/>
        <v>0</v>
      </c>
      <c r="I58" s="40">
        <f t="shared" si="37"/>
        <v>0</v>
      </c>
      <c r="J58" s="40">
        <f t="shared" si="38"/>
        <v>0</v>
      </c>
      <c r="K58" s="40">
        <v>0</v>
      </c>
      <c r="L58" s="40">
        <f t="shared" si="39"/>
        <v>0</v>
      </c>
      <c r="M58" s="41"/>
      <c r="N58" s="41" t="s">
        <v>44</v>
      </c>
      <c r="O58" s="40">
        <f t="shared" si="40"/>
        <v>0</v>
      </c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40">
        <f t="shared" si="41"/>
        <v>0</v>
      </c>
      <c r="AA58" s="40">
        <f t="shared" si="42"/>
        <v>0</v>
      </c>
      <c r="AB58" s="40">
        <f t="shared" si="43"/>
        <v>0</v>
      </c>
      <c r="AC58" s="54"/>
      <c r="AD58" s="40">
        <v>21</v>
      </c>
      <c r="AE58" s="40">
        <f t="shared" si="44"/>
        <v>0</v>
      </c>
      <c r="AF58" s="40">
        <f t="shared" si="45"/>
        <v>0</v>
      </c>
      <c r="AG58" s="54"/>
      <c r="AH58" s="54"/>
      <c r="AI58" s="54"/>
      <c r="AJ58" s="54"/>
      <c r="AK58" s="54"/>
      <c r="AL58" s="54"/>
      <c r="AM58" s="40">
        <f t="shared" si="46"/>
        <v>0</v>
      </c>
      <c r="AN58" s="40">
        <f t="shared" si="47"/>
        <v>0</v>
      </c>
      <c r="AO58" s="41" t="s">
        <v>1055</v>
      </c>
      <c r="AP58" s="41" t="s">
        <v>1056</v>
      </c>
      <c r="AQ58" s="54"/>
      <c r="AR58" s="54"/>
      <c r="AS58" s="54"/>
      <c r="AT58" s="54"/>
    </row>
    <row r="59" spans="1:46" ht="14.25">
      <c r="A59" s="10" t="s">
        <v>126</v>
      </c>
      <c r="B59" s="10"/>
      <c r="C59" s="10" t="s">
        <v>1094</v>
      </c>
      <c r="D59" s="10" t="s">
        <v>1095</v>
      </c>
      <c r="E59" s="10" t="s">
        <v>1063</v>
      </c>
      <c r="F59" s="40">
        <v>26</v>
      </c>
      <c r="G59" s="40">
        <v>0</v>
      </c>
      <c r="H59" s="40">
        <f t="shared" si="36"/>
        <v>0</v>
      </c>
      <c r="I59" s="40">
        <f t="shared" si="37"/>
        <v>0</v>
      </c>
      <c r="J59" s="40">
        <f t="shared" si="38"/>
        <v>0</v>
      </c>
      <c r="K59" s="40">
        <v>0</v>
      </c>
      <c r="L59" s="40">
        <f t="shared" si="39"/>
        <v>0</v>
      </c>
      <c r="M59" s="41"/>
      <c r="N59" s="41" t="s">
        <v>44</v>
      </c>
      <c r="O59" s="40">
        <f t="shared" si="40"/>
        <v>0</v>
      </c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40">
        <f t="shared" si="41"/>
        <v>0</v>
      </c>
      <c r="AA59" s="40">
        <f t="shared" si="42"/>
        <v>0</v>
      </c>
      <c r="AB59" s="40">
        <f t="shared" si="43"/>
        <v>0</v>
      </c>
      <c r="AC59" s="54"/>
      <c r="AD59" s="40">
        <v>21</v>
      </c>
      <c r="AE59" s="40">
        <f t="shared" si="44"/>
        <v>0</v>
      </c>
      <c r="AF59" s="40">
        <f t="shared" si="45"/>
        <v>0</v>
      </c>
      <c r="AG59" s="54"/>
      <c r="AH59" s="54"/>
      <c r="AI59" s="54"/>
      <c r="AJ59" s="54"/>
      <c r="AK59" s="54"/>
      <c r="AL59" s="54"/>
      <c r="AM59" s="40">
        <f t="shared" si="46"/>
        <v>0</v>
      </c>
      <c r="AN59" s="40">
        <f t="shared" si="47"/>
        <v>0</v>
      </c>
      <c r="AO59" s="41" t="s">
        <v>1055</v>
      </c>
      <c r="AP59" s="41" t="s">
        <v>1056</v>
      </c>
      <c r="AQ59" s="54"/>
      <c r="AR59" s="54"/>
      <c r="AS59" s="54"/>
      <c r="AT59" s="54"/>
    </row>
    <row r="60" spans="1:46" ht="14.25">
      <c r="A60" s="10" t="s">
        <v>246</v>
      </c>
      <c r="B60" s="10"/>
      <c r="C60" s="10" t="s">
        <v>1096</v>
      </c>
      <c r="D60" s="10" t="s">
        <v>1097</v>
      </c>
      <c r="E60" s="10" t="s">
        <v>1063</v>
      </c>
      <c r="F60" s="40">
        <v>90</v>
      </c>
      <c r="G60" s="40">
        <v>0</v>
      </c>
      <c r="H60" s="40">
        <f t="shared" si="36"/>
        <v>0</v>
      </c>
      <c r="I60" s="40">
        <f t="shared" si="37"/>
        <v>0</v>
      </c>
      <c r="J60" s="40">
        <f t="shared" si="38"/>
        <v>0</v>
      </c>
      <c r="K60" s="40">
        <v>0</v>
      </c>
      <c r="L60" s="40">
        <f t="shared" si="39"/>
        <v>0</v>
      </c>
      <c r="M60" s="41"/>
      <c r="N60" s="41" t="s">
        <v>44</v>
      </c>
      <c r="O60" s="40">
        <f t="shared" si="40"/>
        <v>0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40">
        <f t="shared" si="41"/>
        <v>0</v>
      </c>
      <c r="AA60" s="40">
        <f t="shared" si="42"/>
        <v>0</v>
      </c>
      <c r="AB60" s="40">
        <f t="shared" si="43"/>
        <v>0</v>
      </c>
      <c r="AC60" s="54"/>
      <c r="AD60" s="40">
        <v>21</v>
      </c>
      <c r="AE60" s="40">
        <f t="shared" si="44"/>
        <v>0</v>
      </c>
      <c r="AF60" s="40">
        <f t="shared" si="45"/>
        <v>0</v>
      </c>
      <c r="AG60" s="54"/>
      <c r="AH60" s="54"/>
      <c r="AI60" s="54"/>
      <c r="AJ60" s="54"/>
      <c r="AK60" s="54"/>
      <c r="AL60" s="54"/>
      <c r="AM60" s="40">
        <f t="shared" si="46"/>
        <v>0</v>
      </c>
      <c r="AN60" s="40">
        <f t="shared" si="47"/>
        <v>0</v>
      </c>
      <c r="AO60" s="41" t="s">
        <v>1055</v>
      </c>
      <c r="AP60" s="41" t="s">
        <v>1056</v>
      </c>
      <c r="AQ60" s="54"/>
      <c r="AR60" s="54"/>
      <c r="AS60" s="54"/>
      <c r="AT60" s="54"/>
    </row>
    <row r="61" spans="1:46" ht="14.25">
      <c r="A61" s="10" t="s">
        <v>250</v>
      </c>
      <c r="B61" s="10"/>
      <c r="C61" s="10" t="s">
        <v>1098</v>
      </c>
      <c r="D61" s="10" t="s">
        <v>1099</v>
      </c>
      <c r="E61" s="10" t="s">
        <v>1063</v>
      </c>
      <c r="F61" s="40">
        <v>20</v>
      </c>
      <c r="G61" s="40">
        <v>0</v>
      </c>
      <c r="H61" s="40">
        <f t="shared" si="36"/>
        <v>0</v>
      </c>
      <c r="I61" s="40">
        <f t="shared" si="37"/>
        <v>0</v>
      </c>
      <c r="J61" s="40">
        <f t="shared" si="38"/>
        <v>0</v>
      </c>
      <c r="K61" s="40">
        <v>0</v>
      </c>
      <c r="L61" s="40">
        <f t="shared" si="39"/>
        <v>0</v>
      </c>
      <c r="M61" s="41"/>
      <c r="N61" s="41" t="s">
        <v>44</v>
      </c>
      <c r="O61" s="40">
        <f t="shared" si="40"/>
        <v>0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40">
        <f t="shared" si="41"/>
        <v>0</v>
      </c>
      <c r="AA61" s="40">
        <f t="shared" si="42"/>
        <v>0</v>
      </c>
      <c r="AB61" s="40">
        <f t="shared" si="43"/>
        <v>0</v>
      </c>
      <c r="AC61" s="54"/>
      <c r="AD61" s="40">
        <v>21</v>
      </c>
      <c r="AE61" s="40">
        <f t="shared" si="44"/>
        <v>0</v>
      </c>
      <c r="AF61" s="40">
        <f t="shared" si="45"/>
        <v>0</v>
      </c>
      <c r="AG61" s="54"/>
      <c r="AH61" s="54"/>
      <c r="AI61" s="54"/>
      <c r="AJ61" s="54"/>
      <c r="AK61" s="54"/>
      <c r="AL61" s="54"/>
      <c r="AM61" s="40">
        <f t="shared" si="46"/>
        <v>0</v>
      </c>
      <c r="AN61" s="40">
        <f t="shared" si="47"/>
        <v>0</v>
      </c>
      <c r="AO61" s="41" t="s">
        <v>1055</v>
      </c>
      <c r="AP61" s="41" t="s">
        <v>1056</v>
      </c>
      <c r="AQ61" s="54"/>
      <c r="AR61" s="54"/>
      <c r="AS61" s="54"/>
      <c r="AT61" s="54"/>
    </row>
    <row r="62" spans="1:46" ht="14.25">
      <c r="A62" s="10" t="s">
        <v>258</v>
      </c>
      <c r="B62" s="10"/>
      <c r="C62" s="10" t="s">
        <v>1100</v>
      </c>
      <c r="D62" s="10" t="s">
        <v>1101</v>
      </c>
      <c r="E62" s="10" t="s">
        <v>1063</v>
      </c>
      <c r="F62" s="40">
        <v>2</v>
      </c>
      <c r="G62" s="40">
        <v>0</v>
      </c>
      <c r="H62" s="40">
        <f t="shared" si="36"/>
        <v>0</v>
      </c>
      <c r="I62" s="40">
        <f t="shared" si="37"/>
        <v>0</v>
      </c>
      <c r="J62" s="40">
        <f t="shared" si="38"/>
        <v>0</v>
      </c>
      <c r="K62" s="40">
        <v>0.002</v>
      </c>
      <c r="L62" s="40">
        <f t="shared" si="39"/>
        <v>0.004</v>
      </c>
      <c r="M62" s="41"/>
      <c r="N62" s="41" t="s">
        <v>44</v>
      </c>
      <c r="O62" s="40">
        <f t="shared" si="40"/>
        <v>0</v>
      </c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40">
        <f t="shared" si="41"/>
        <v>0</v>
      </c>
      <c r="AA62" s="40">
        <f t="shared" si="42"/>
        <v>0</v>
      </c>
      <c r="AB62" s="40">
        <f t="shared" si="43"/>
        <v>0</v>
      </c>
      <c r="AC62" s="54"/>
      <c r="AD62" s="40">
        <v>21</v>
      </c>
      <c r="AE62" s="40">
        <f t="shared" si="44"/>
        <v>0</v>
      </c>
      <c r="AF62" s="40">
        <f t="shared" si="45"/>
        <v>0</v>
      </c>
      <c r="AG62" s="54"/>
      <c r="AH62" s="54"/>
      <c r="AI62" s="54"/>
      <c r="AJ62" s="54"/>
      <c r="AK62" s="54"/>
      <c r="AL62" s="54"/>
      <c r="AM62" s="40">
        <f t="shared" si="46"/>
        <v>0</v>
      </c>
      <c r="AN62" s="40">
        <f t="shared" si="47"/>
        <v>0</v>
      </c>
      <c r="AO62" s="41" t="s">
        <v>1055</v>
      </c>
      <c r="AP62" s="41" t="s">
        <v>1056</v>
      </c>
      <c r="AQ62" s="54"/>
      <c r="AR62" s="54"/>
      <c r="AS62" s="54"/>
      <c r="AT62" s="54"/>
    </row>
    <row r="63" spans="1:46" ht="14.25">
      <c r="A63" s="10" t="s">
        <v>267</v>
      </c>
      <c r="B63" s="10"/>
      <c r="C63" s="10" t="s">
        <v>1102</v>
      </c>
      <c r="D63" s="10" t="s">
        <v>1103</v>
      </c>
      <c r="E63" s="10" t="s">
        <v>1063</v>
      </c>
      <c r="F63" s="40">
        <v>1</v>
      </c>
      <c r="G63" s="40">
        <v>0</v>
      </c>
      <c r="H63" s="40">
        <f t="shared" si="36"/>
        <v>0</v>
      </c>
      <c r="I63" s="40">
        <f t="shared" si="37"/>
        <v>0</v>
      </c>
      <c r="J63" s="40">
        <f t="shared" si="38"/>
        <v>0</v>
      </c>
      <c r="K63" s="40">
        <v>0</v>
      </c>
      <c r="L63" s="40">
        <f t="shared" si="39"/>
        <v>0</v>
      </c>
      <c r="M63" s="41"/>
      <c r="N63" s="41" t="s">
        <v>44</v>
      </c>
      <c r="O63" s="40">
        <f t="shared" si="40"/>
        <v>0</v>
      </c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40">
        <f t="shared" si="41"/>
        <v>0</v>
      </c>
      <c r="AA63" s="40">
        <f t="shared" si="42"/>
        <v>0</v>
      </c>
      <c r="AB63" s="40">
        <f t="shared" si="43"/>
        <v>0</v>
      </c>
      <c r="AC63" s="54"/>
      <c r="AD63" s="40">
        <v>21</v>
      </c>
      <c r="AE63" s="40">
        <f t="shared" si="44"/>
        <v>0</v>
      </c>
      <c r="AF63" s="40">
        <f t="shared" si="45"/>
        <v>0</v>
      </c>
      <c r="AG63" s="54"/>
      <c r="AH63" s="54"/>
      <c r="AI63" s="54"/>
      <c r="AJ63" s="54"/>
      <c r="AK63" s="54"/>
      <c r="AL63" s="54"/>
      <c r="AM63" s="40">
        <f t="shared" si="46"/>
        <v>0</v>
      </c>
      <c r="AN63" s="40">
        <f t="shared" si="47"/>
        <v>0</v>
      </c>
      <c r="AO63" s="41" t="s">
        <v>1055</v>
      </c>
      <c r="AP63" s="41" t="s">
        <v>1056</v>
      </c>
      <c r="AQ63" s="54"/>
      <c r="AR63" s="54"/>
      <c r="AS63" s="54"/>
      <c r="AT63" s="54"/>
    </row>
    <row r="64" spans="1:46" ht="14.25">
      <c r="A64" s="55" t="s">
        <v>270</v>
      </c>
      <c r="B64" s="55"/>
      <c r="C64" s="55" t="s">
        <v>1104</v>
      </c>
      <c r="D64" s="55" t="s">
        <v>1105</v>
      </c>
      <c r="E64" s="55" t="s">
        <v>1106</v>
      </c>
      <c r="F64" s="56">
        <v>1</v>
      </c>
      <c r="G64" s="56">
        <v>0</v>
      </c>
      <c r="H64" s="56">
        <f t="shared" si="36"/>
        <v>0</v>
      </c>
      <c r="I64" s="56">
        <f t="shared" si="37"/>
        <v>0</v>
      </c>
      <c r="J64" s="56">
        <f t="shared" si="38"/>
        <v>0</v>
      </c>
      <c r="K64" s="56">
        <v>0</v>
      </c>
      <c r="L64" s="56">
        <f t="shared" si="39"/>
        <v>0</v>
      </c>
      <c r="M64" s="57"/>
      <c r="N64" s="41" t="s">
        <v>44</v>
      </c>
      <c r="O64" s="40">
        <f t="shared" si="40"/>
        <v>0</v>
      </c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40">
        <f t="shared" si="41"/>
        <v>0</v>
      </c>
      <c r="AA64" s="40">
        <f t="shared" si="42"/>
        <v>0</v>
      </c>
      <c r="AB64" s="40">
        <f t="shared" si="43"/>
        <v>0</v>
      </c>
      <c r="AC64" s="54"/>
      <c r="AD64" s="40">
        <v>21</v>
      </c>
      <c r="AE64" s="40">
        <f t="shared" si="44"/>
        <v>0</v>
      </c>
      <c r="AF64" s="40">
        <f t="shared" si="45"/>
        <v>0</v>
      </c>
      <c r="AG64" s="54"/>
      <c r="AH64" s="54"/>
      <c r="AI64" s="54"/>
      <c r="AJ64" s="54"/>
      <c r="AK64" s="54"/>
      <c r="AL64" s="54"/>
      <c r="AM64" s="40">
        <f t="shared" si="46"/>
        <v>0</v>
      </c>
      <c r="AN64" s="40">
        <f t="shared" si="47"/>
        <v>0</v>
      </c>
      <c r="AO64" s="41" t="s">
        <v>1055</v>
      </c>
      <c r="AP64" s="41" t="s">
        <v>1056</v>
      </c>
      <c r="AQ64" s="54"/>
      <c r="AR64" s="54"/>
      <c r="AS64" s="54"/>
      <c r="AT64" s="54"/>
    </row>
    <row r="65" spans="1:46" ht="14.25">
      <c r="A65" s="49"/>
      <c r="B65" s="49"/>
      <c r="C65" s="49"/>
      <c r="D65" s="49"/>
      <c r="E65" s="49"/>
      <c r="F65" s="49"/>
      <c r="G65" s="49"/>
      <c r="H65" s="50" t="s">
        <v>998</v>
      </c>
      <c r="I65" s="50"/>
      <c r="J65" s="51">
        <f>J12+J14+J25+J32+J39</f>
        <v>0</v>
      </c>
      <c r="K65" s="49"/>
      <c r="L65" s="49"/>
      <c r="M65" s="49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2">
        <f>SUM(Z13:Z64)</f>
        <v>0</v>
      </c>
      <c r="AA65" s="52">
        <f>SUM(AA13:AA64)</f>
        <v>0</v>
      </c>
      <c r="AB65" s="52">
        <f>SUM(AB13:AB64)</f>
        <v>0</v>
      </c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</row>
    <row r="66" spans="1:46" ht="11.25" customHeight="1">
      <c r="A66" s="53" t="s">
        <v>999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</row>
  </sheetData>
  <sheetProtection selectLockedCells="1" selectUnlockedCells="1"/>
  <mergeCells count="33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G14"/>
    <mergeCell ref="D25:G25"/>
    <mergeCell ref="D32:G32"/>
    <mergeCell ref="D39:G39"/>
    <mergeCell ref="H65:I6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2"/>
  <sheetViews>
    <sheetView workbookViewId="0" topLeftCell="A1">
      <selection activeCell="A1" sqref="A1"/>
    </sheetView>
  </sheetViews>
  <sheetFormatPr defaultColWidth="11.421875" defaultRowHeight="12.75"/>
  <cols>
    <col min="1" max="2" width="9.140625" style="0" customWidth="1"/>
    <col min="3" max="3" width="13.28125" style="0" customWidth="1"/>
    <col min="4" max="4" width="111.5742187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  <col min="9" max="16384" width="11.57421875" style="0" customWidth="1"/>
  </cols>
  <sheetData>
    <row r="1" spans="1:8" ht="21.75" customHeight="1">
      <c r="A1" s="1" t="s">
        <v>1107</v>
      </c>
      <c r="B1" s="1"/>
      <c r="C1" s="1"/>
      <c r="D1" s="1"/>
      <c r="E1" s="1"/>
      <c r="F1" s="1"/>
      <c r="G1" s="1"/>
      <c r="H1" s="1"/>
    </row>
    <row r="2" spans="1:9" ht="12.75" customHeight="1">
      <c r="A2" s="2" t="s">
        <v>1</v>
      </c>
      <c r="B2" s="2"/>
      <c r="C2" s="3" t="s">
        <v>2</v>
      </c>
      <c r="D2" s="3"/>
      <c r="E2" s="5" t="s">
        <v>4</v>
      </c>
      <c r="F2" s="6" t="s">
        <v>5</v>
      </c>
      <c r="G2" s="6"/>
      <c r="H2" s="6"/>
      <c r="I2" s="7"/>
    </row>
    <row r="3" spans="1:9" ht="12.75">
      <c r="A3" s="2"/>
      <c r="B3" s="2"/>
      <c r="C3" s="3"/>
      <c r="D3" s="3"/>
      <c r="E3" s="5"/>
      <c r="F3" s="5"/>
      <c r="G3" s="6"/>
      <c r="H3" s="6"/>
      <c r="I3" s="7"/>
    </row>
    <row r="4" spans="1:9" ht="12.75" customHeight="1">
      <c r="A4" s="8" t="s">
        <v>6</v>
      </c>
      <c r="B4" s="8"/>
      <c r="C4" s="9" t="s">
        <v>7</v>
      </c>
      <c r="D4" s="9"/>
      <c r="E4" s="9" t="s">
        <v>9</v>
      </c>
      <c r="F4" s="12" t="s">
        <v>10</v>
      </c>
      <c r="G4" s="12"/>
      <c r="H4" s="12"/>
      <c r="I4" s="7"/>
    </row>
    <row r="5" spans="1:9" ht="12.75">
      <c r="A5" s="8"/>
      <c r="B5" s="8"/>
      <c r="C5" s="9"/>
      <c r="D5" s="9"/>
      <c r="E5" s="9"/>
      <c r="F5" s="9"/>
      <c r="G5" s="12"/>
      <c r="H5" s="12"/>
      <c r="I5" s="7"/>
    </row>
    <row r="6" spans="1:9" ht="12.75" customHeight="1">
      <c r="A6" s="8" t="s">
        <v>11</v>
      </c>
      <c r="B6" s="8"/>
      <c r="C6" s="9" t="s">
        <v>12</v>
      </c>
      <c r="D6" s="9"/>
      <c r="E6" s="9" t="s">
        <v>14</v>
      </c>
      <c r="F6" s="12"/>
      <c r="G6" s="12"/>
      <c r="H6" s="12"/>
      <c r="I6" s="7"/>
    </row>
    <row r="7" spans="1:9" ht="12.75">
      <c r="A7" s="8"/>
      <c r="B7" s="8"/>
      <c r="C7" s="9"/>
      <c r="D7" s="9"/>
      <c r="E7" s="9"/>
      <c r="F7" s="9"/>
      <c r="G7" s="12"/>
      <c r="H7" s="12"/>
      <c r="I7" s="7"/>
    </row>
    <row r="8" spans="1:9" ht="12.75" customHeight="1">
      <c r="A8" s="14" t="s">
        <v>17</v>
      </c>
      <c r="B8" s="14"/>
      <c r="C8" s="15"/>
      <c r="D8" s="15"/>
      <c r="E8" s="16" t="s">
        <v>16</v>
      </c>
      <c r="F8" s="58">
        <v>41737</v>
      </c>
      <c r="G8" s="58"/>
      <c r="H8" s="58"/>
      <c r="I8" s="7"/>
    </row>
    <row r="9" spans="1:9" ht="12.75">
      <c r="A9" s="14"/>
      <c r="B9" s="14"/>
      <c r="C9" s="15"/>
      <c r="D9" s="15"/>
      <c r="E9" s="16"/>
      <c r="F9" s="16"/>
      <c r="G9" s="58"/>
      <c r="H9" s="58"/>
      <c r="I9" s="7"/>
    </row>
    <row r="10" spans="1:9" ht="12.75">
      <c r="A10" s="59" t="s">
        <v>18</v>
      </c>
      <c r="B10" s="60" t="s">
        <v>19</v>
      </c>
      <c r="C10" s="60" t="s">
        <v>20</v>
      </c>
      <c r="D10" s="60" t="s">
        <v>21</v>
      </c>
      <c r="E10" s="60" t="s">
        <v>22</v>
      </c>
      <c r="F10" s="60" t="s">
        <v>29</v>
      </c>
      <c r="G10" s="61" t="s">
        <v>23</v>
      </c>
      <c r="H10" s="62" t="s">
        <v>1108</v>
      </c>
      <c r="I10" s="25"/>
    </row>
    <row r="11" spans="1:8" ht="12.75">
      <c r="A11" s="63" t="s">
        <v>47</v>
      </c>
      <c r="B11" s="63"/>
      <c r="C11" s="63" t="s">
        <v>48</v>
      </c>
      <c r="D11" s="63" t="s">
        <v>49</v>
      </c>
      <c r="E11" s="63" t="s">
        <v>50</v>
      </c>
      <c r="F11" s="63"/>
      <c r="G11" s="64">
        <v>1</v>
      </c>
      <c r="H11" s="65"/>
    </row>
    <row r="12" spans="1:8" ht="12.75">
      <c r="A12" s="10" t="s">
        <v>51</v>
      </c>
      <c r="B12" s="10"/>
      <c r="C12" s="10" t="s">
        <v>52</v>
      </c>
      <c r="D12" s="10" t="s">
        <v>53</v>
      </c>
      <c r="E12" s="10" t="s">
        <v>50</v>
      </c>
      <c r="F12" s="10"/>
      <c r="G12" s="40">
        <v>1</v>
      </c>
      <c r="H12" s="41"/>
    </row>
    <row r="13" spans="1:8" ht="12.75">
      <c r="A13" s="10" t="s">
        <v>54</v>
      </c>
      <c r="B13" s="10"/>
      <c r="C13" s="10" t="s">
        <v>55</v>
      </c>
      <c r="D13" s="10" t="s">
        <v>56</v>
      </c>
      <c r="E13" s="10" t="s">
        <v>50</v>
      </c>
      <c r="F13" s="10"/>
      <c r="G13" s="40">
        <v>1</v>
      </c>
      <c r="H13" s="41"/>
    </row>
    <row r="14" spans="1:8" ht="12.75">
      <c r="A14" s="10" t="s">
        <v>57</v>
      </c>
      <c r="B14" s="10"/>
      <c r="C14" s="10" t="s">
        <v>58</v>
      </c>
      <c r="D14" s="10" t="s">
        <v>59</v>
      </c>
      <c r="E14" s="10" t="s">
        <v>50</v>
      </c>
      <c r="F14" s="10"/>
      <c r="G14" s="40">
        <v>1</v>
      </c>
      <c r="H14" s="41"/>
    </row>
    <row r="15" spans="1:8" ht="12.75">
      <c r="A15" s="10" t="s">
        <v>60</v>
      </c>
      <c r="B15" s="10"/>
      <c r="C15" s="10" t="s">
        <v>61</v>
      </c>
      <c r="D15" s="10" t="s">
        <v>62</v>
      </c>
      <c r="E15" s="10" t="s">
        <v>50</v>
      </c>
      <c r="F15" s="10"/>
      <c r="G15" s="40">
        <v>1</v>
      </c>
      <c r="H15" s="41"/>
    </row>
    <row r="16" spans="1:8" ht="12.75">
      <c r="A16" s="10" t="s">
        <v>63</v>
      </c>
      <c r="B16" s="10"/>
      <c r="C16" s="10" t="s">
        <v>64</v>
      </c>
      <c r="D16" s="10" t="s">
        <v>65</v>
      </c>
      <c r="E16" s="10" t="s">
        <v>50</v>
      </c>
      <c r="F16" s="10"/>
      <c r="G16" s="40">
        <v>1</v>
      </c>
      <c r="H16" s="41"/>
    </row>
    <row r="17" spans="1:8" ht="12.75">
      <c r="A17" s="10" t="s">
        <v>68</v>
      </c>
      <c r="B17" s="10"/>
      <c r="C17" s="10" t="s">
        <v>69</v>
      </c>
      <c r="D17" s="10" t="s">
        <v>70</v>
      </c>
      <c r="E17" s="10" t="s">
        <v>71</v>
      </c>
      <c r="F17" s="10" t="s">
        <v>73</v>
      </c>
      <c r="G17" s="40">
        <v>8.82</v>
      </c>
      <c r="H17" s="41" t="s">
        <v>72</v>
      </c>
    </row>
    <row r="18" spans="1:7" ht="12.75">
      <c r="A18" s="10"/>
      <c r="B18" s="10"/>
      <c r="C18" s="10"/>
      <c r="D18" s="10"/>
      <c r="E18" s="10"/>
      <c r="F18" s="10" t="s">
        <v>74</v>
      </c>
      <c r="G18" s="40">
        <v>7.14</v>
      </c>
    </row>
    <row r="19" spans="1:8" ht="12.75">
      <c r="A19" s="10" t="s">
        <v>75</v>
      </c>
      <c r="B19" s="10"/>
      <c r="C19" s="10" t="s">
        <v>76</v>
      </c>
      <c r="D19" s="10" t="s">
        <v>77</v>
      </c>
      <c r="E19" s="10" t="s">
        <v>71</v>
      </c>
      <c r="F19" s="10" t="s">
        <v>73</v>
      </c>
      <c r="G19" s="40">
        <v>8.82</v>
      </c>
      <c r="H19" s="41" t="s">
        <v>72</v>
      </c>
    </row>
    <row r="20" spans="1:7" ht="12.75">
      <c r="A20" s="10"/>
      <c r="B20" s="10"/>
      <c r="C20" s="10"/>
      <c r="D20" s="10"/>
      <c r="E20" s="10"/>
      <c r="F20" s="10" t="s">
        <v>74</v>
      </c>
      <c r="G20" s="40">
        <v>7.14</v>
      </c>
    </row>
    <row r="21" spans="1:8" ht="12.75">
      <c r="A21" s="10" t="s">
        <v>80</v>
      </c>
      <c r="B21" s="10"/>
      <c r="C21" s="10" t="s">
        <v>81</v>
      </c>
      <c r="D21" s="10" t="s">
        <v>82</v>
      </c>
      <c r="E21" s="10" t="s">
        <v>83</v>
      </c>
      <c r="F21" s="10" t="s">
        <v>84</v>
      </c>
      <c r="G21" s="40">
        <v>7.96</v>
      </c>
      <c r="H21" s="41" t="s">
        <v>72</v>
      </c>
    </row>
    <row r="22" spans="1:8" ht="12.75">
      <c r="A22" s="10" t="s">
        <v>87</v>
      </c>
      <c r="B22" s="10"/>
      <c r="C22" s="10" t="s">
        <v>88</v>
      </c>
      <c r="D22" s="10" t="s">
        <v>89</v>
      </c>
      <c r="E22" s="10" t="s">
        <v>83</v>
      </c>
      <c r="F22" s="10" t="s">
        <v>90</v>
      </c>
      <c r="G22" s="40">
        <v>5.97</v>
      </c>
      <c r="H22" s="41" t="s">
        <v>72</v>
      </c>
    </row>
    <row r="23" spans="1:8" ht="12.75">
      <c r="A23" s="10" t="s">
        <v>66</v>
      </c>
      <c r="B23" s="10"/>
      <c r="C23" s="10" t="s">
        <v>93</v>
      </c>
      <c r="D23" s="10" t="s">
        <v>94</v>
      </c>
      <c r="E23" s="10" t="s">
        <v>83</v>
      </c>
      <c r="F23" s="10" t="s">
        <v>84</v>
      </c>
      <c r="G23" s="40">
        <v>7.96</v>
      </c>
      <c r="H23" s="41"/>
    </row>
    <row r="24" spans="1:8" ht="12.75">
      <c r="A24" s="10" t="s">
        <v>78</v>
      </c>
      <c r="B24" s="10"/>
      <c r="C24" s="10" t="s">
        <v>97</v>
      </c>
      <c r="D24" s="10" t="s">
        <v>98</v>
      </c>
      <c r="E24" s="10" t="s">
        <v>71</v>
      </c>
      <c r="F24" s="10" t="s">
        <v>99</v>
      </c>
      <c r="G24" s="40">
        <v>159.2</v>
      </c>
      <c r="H24" s="41" t="s">
        <v>72</v>
      </c>
    </row>
    <row r="25" spans="1:8" ht="12.75">
      <c r="A25" s="10" t="s">
        <v>85</v>
      </c>
      <c r="B25" s="10"/>
      <c r="C25" s="10" t="s">
        <v>102</v>
      </c>
      <c r="D25" s="10" t="s">
        <v>103</v>
      </c>
      <c r="E25" s="10" t="s">
        <v>83</v>
      </c>
      <c r="F25" s="10" t="s">
        <v>104</v>
      </c>
      <c r="G25" s="40">
        <v>0.43</v>
      </c>
      <c r="H25" s="41" t="s">
        <v>72</v>
      </c>
    </row>
    <row r="26" spans="1:8" ht="12.75">
      <c r="A26" s="10" t="s">
        <v>105</v>
      </c>
      <c r="B26" s="10"/>
      <c r="C26" s="10" t="s">
        <v>106</v>
      </c>
      <c r="D26" s="10" t="s">
        <v>107</v>
      </c>
      <c r="E26" s="10" t="s">
        <v>108</v>
      </c>
      <c r="F26" s="10" t="s">
        <v>109</v>
      </c>
      <c r="G26" s="40">
        <v>2.85</v>
      </c>
      <c r="H26" s="41"/>
    </row>
    <row r="27" spans="1:8" ht="12.75">
      <c r="A27" s="10" t="s">
        <v>110</v>
      </c>
      <c r="B27" s="10"/>
      <c r="C27" s="10" t="s">
        <v>111</v>
      </c>
      <c r="D27" s="10" t="s">
        <v>112</v>
      </c>
      <c r="E27" s="10" t="s">
        <v>113</v>
      </c>
      <c r="F27" s="10" t="s">
        <v>114</v>
      </c>
      <c r="G27" s="40">
        <v>0.03</v>
      </c>
      <c r="H27" s="41" t="s">
        <v>72</v>
      </c>
    </row>
    <row r="28" spans="1:8" ht="12.75">
      <c r="A28" s="10" t="s">
        <v>115</v>
      </c>
      <c r="B28" s="10"/>
      <c r="C28" s="10" t="s">
        <v>116</v>
      </c>
      <c r="D28" s="10" t="s">
        <v>117</v>
      </c>
      <c r="E28" s="10" t="s">
        <v>71</v>
      </c>
      <c r="F28" s="10" t="s">
        <v>118</v>
      </c>
      <c r="G28" s="40">
        <v>4.29</v>
      </c>
      <c r="H28" s="41" t="s">
        <v>72</v>
      </c>
    </row>
    <row r="29" spans="1:8" ht="12.75">
      <c r="A29" s="10" t="s">
        <v>91</v>
      </c>
      <c r="B29" s="10"/>
      <c r="C29" s="10" t="s">
        <v>119</v>
      </c>
      <c r="D29" s="10" t="s">
        <v>120</v>
      </c>
      <c r="E29" s="10" t="s">
        <v>71</v>
      </c>
      <c r="F29" s="10" t="s">
        <v>118</v>
      </c>
      <c r="G29" s="40">
        <v>4.29</v>
      </c>
      <c r="H29" s="41" t="s">
        <v>72</v>
      </c>
    </row>
    <row r="30" spans="1:8" ht="12.75">
      <c r="A30" s="10" t="s">
        <v>95</v>
      </c>
      <c r="B30" s="10"/>
      <c r="C30" s="10" t="s">
        <v>123</v>
      </c>
      <c r="D30" s="10" t="s">
        <v>124</v>
      </c>
      <c r="E30" s="10" t="s">
        <v>71</v>
      </c>
      <c r="F30" s="10" t="s">
        <v>125</v>
      </c>
      <c r="G30" s="40">
        <v>6.24</v>
      </c>
      <c r="H30" s="41" t="s">
        <v>72</v>
      </c>
    </row>
    <row r="31" spans="1:8" ht="12.75">
      <c r="A31" s="10" t="s">
        <v>128</v>
      </c>
      <c r="B31" s="10"/>
      <c r="C31" s="10" t="s">
        <v>129</v>
      </c>
      <c r="D31" s="10" t="s">
        <v>130</v>
      </c>
      <c r="E31" s="10" t="s">
        <v>131</v>
      </c>
      <c r="F31" s="10" t="s">
        <v>132</v>
      </c>
      <c r="G31" s="40">
        <v>1</v>
      </c>
      <c r="H31" s="41" t="s">
        <v>72</v>
      </c>
    </row>
    <row r="32" spans="1:8" ht="12.75">
      <c r="A32" s="10" t="s">
        <v>133</v>
      </c>
      <c r="B32" s="10"/>
      <c r="C32" s="10" t="s">
        <v>134</v>
      </c>
      <c r="D32" s="10" t="s">
        <v>135</v>
      </c>
      <c r="E32" s="10" t="s">
        <v>131</v>
      </c>
      <c r="F32" s="10"/>
      <c r="G32" s="40">
        <v>1</v>
      </c>
      <c r="H32" s="41" t="s">
        <v>72</v>
      </c>
    </row>
    <row r="33" spans="1:8" ht="12.75">
      <c r="A33" s="10" t="s">
        <v>136</v>
      </c>
      <c r="B33" s="10"/>
      <c r="C33" s="10" t="s">
        <v>137</v>
      </c>
      <c r="D33" s="10" t="s">
        <v>138</v>
      </c>
      <c r="E33" s="10" t="s">
        <v>131</v>
      </c>
      <c r="F33" s="10" t="s">
        <v>139</v>
      </c>
      <c r="G33" s="40">
        <v>5</v>
      </c>
      <c r="H33" s="41"/>
    </row>
    <row r="34" spans="1:8" ht="12.75">
      <c r="A34" s="10" t="s">
        <v>140</v>
      </c>
      <c r="B34" s="10"/>
      <c r="C34" s="10" t="s">
        <v>141</v>
      </c>
      <c r="D34" s="10" t="s">
        <v>142</v>
      </c>
      <c r="E34" s="10" t="s">
        <v>143</v>
      </c>
      <c r="F34" s="10" t="s">
        <v>144</v>
      </c>
      <c r="G34" s="40">
        <v>1.25</v>
      </c>
      <c r="H34" s="41" t="s">
        <v>72</v>
      </c>
    </row>
    <row r="35" spans="1:8" ht="12.75">
      <c r="A35" s="10" t="s">
        <v>145</v>
      </c>
      <c r="B35" s="10"/>
      <c r="C35" s="10" t="s">
        <v>146</v>
      </c>
      <c r="D35" s="10" t="s">
        <v>147</v>
      </c>
      <c r="E35" s="10" t="s">
        <v>131</v>
      </c>
      <c r="F35" s="10" t="s">
        <v>148</v>
      </c>
      <c r="G35" s="40">
        <v>2</v>
      </c>
      <c r="H35" s="41"/>
    </row>
    <row r="36" spans="1:8" ht="12.75">
      <c r="A36" s="10" t="s">
        <v>149</v>
      </c>
      <c r="B36" s="10"/>
      <c r="C36" s="10" t="s">
        <v>150</v>
      </c>
      <c r="D36" s="10" t="s">
        <v>151</v>
      </c>
      <c r="E36" s="10" t="s">
        <v>131</v>
      </c>
      <c r="F36" s="10" t="s">
        <v>148</v>
      </c>
      <c r="G36" s="40">
        <v>2</v>
      </c>
      <c r="H36" s="41"/>
    </row>
    <row r="37" spans="1:8" ht="12.75">
      <c r="A37" s="10" t="s">
        <v>152</v>
      </c>
      <c r="B37" s="10"/>
      <c r="C37" s="10" t="s">
        <v>153</v>
      </c>
      <c r="D37" s="10" t="s">
        <v>154</v>
      </c>
      <c r="E37" s="10" t="s">
        <v>83</v>
      </c>
      <c r="F37" s="10" t="s">
        <v>155</v>
      </c>
      <c r="G37" s="40">
        <v>0.33</v>
      </c>
      <c r="H37" s="41"/>
    </row>
    <row r="38" spans="1:7" ht="12.75">
      <c r="A38" s="10"/>
      <c r="B38" s="10"/>
      <c r="C38" s="10"/>
      <c r="D38" s="10"/>
      <c r="E38" s="10"/>
      <c r="F38" s="10" t="s">
        <v>156</v>
      </c>
      <c r="G38" s="40">
        <v>0.13</v>
      </c>
    </row>
    <row r="39" spans="1:7" ht="12.75">
      <c r="A39" s="10"/>
      <c r="B39" s="10"/>
      <c r="C39" s="10"/>
      <c r="D39" s="10"/>
      <c r="E39" s="10"/>
      <c r="F39" s="10" t="s">
        <v>157</v>
      </c>
      <c r="G39" s="40">
        <v>0.07</v>
      </c>
    </row>
    <row r="40" spans="1:8" ht="12.75">
      <c r="A40" s="10" t="s">
        <v>160</v>
      </c>
      <c r="B40" s="10"/>
      <c r="C40" s="10" t="s">
        <v>161</v>
      </c>
      <c r="D40" s="10" t="s">
        <v>162</v>
      </c>
      <c r="E40" s="10" t="s">
        <v>71</v>
      </c>
      <c r="F40" s="10" t="s">
        <v>163</v>
      </c>
      <c r="G40" s="40">
        <v>39.8</v>
      </c>
      <c r="H40" s="9" t="s">
        <v>1109</v>
      </c>
    </row>
    <row r="41" spans="1:8" ht="12.75">
      <c r="A41" s="10" t="s">
        <v>164</v>
      </c>
      <c r="B41" s="10"/>
      <c r="C41" s="10" t="s">
        <v>165</v>
      </c>
      <c r="D41" s="10" t="s">
        <v>166</v>
      </c>
      <c r="E41" s="10" t="s">
        <v>71</v>
      </c>
      <c r="F41" s="10" t="s">
        <v>73</v>
      </c>
      <c r="G41" s="40">
        <v>8.82</v>
      </c>
      <c r="H41" s="9" t="s">
        <v>1110</v>
      </c>
    </row>
    <row r="42" spans="1:7" ht="12.75">
      <c r="A42" s="10"/>
      <c r="B42" s="10"/>
      <c r="C42" s="10"/>
      <c r="D42" s="10"/>
      <c r="E42" s="10"/>
      <c r="F42" s="10" t="s">
        <v>74</v>
      </c>
      <c r="G42" s="40">
        <v>7.14</v>
      </c>
    </row>
    <row r="43" spans="1:8" ht="12.75">
      <c r="A43" s="10" t="s">
        <v>169</v>
      </c>
      <c r="B43" s="10"/>
      <c r="C43" s="10" t="s">
        <v>170</v>
      </c>
      <c r="D43" s="10" t="s">
        <v>171</v>
      </c>
      <c r="E43" s="10" t="s">
        <v>71</v>
      </c>
      <c r="F43" s="10" t="s">
        <v>172</v>
      </c>
      <c r="G43" s="40">
        <v>2.51</v>
      </c>
      <c r="H43" s="41"/>
    </row>
    <row r="44" spans="1:8" ht="12.75">
      <c r="A44" s="10" t="s">
        <v>173</v>
      </c>
      <c r="B44" s="10"/>
      <c r="C44" s="10" t="s">
        <v>174</v>
      </c>
      <c r="D44" s="10" t="s">
        <v>175</v>
      </c>
      <c r="E44" s="10" t="s">
        <v>71</v>
      </c>
      <c r="F44" s="10" t="s">
        <v>176</v>
      </c>
      <c r="G44" s="40">
        <v>11.94</v>
      </c>
      <c r="H44" s="9" t="s">
        <v>1111</v>
      </c>
    </row>
    <row r="45" spans="1:7" ht="12.75">
      <c r="A45" s="10"/>
      <c r="B45" s="10"/>
      <c r="C45" s="10"/>
      <c r="D45" s="10"/>
      <c r="E45" s="10"/>
      <c r="F45" s="10" t="s">
        <v>177</v>
      </c>
      <c r="G45" s="40">
        <v>1.08</v>
      </c>
    </row>
    <row r="46" spans="1:7" ht="12.75">
      <c r="A46" s="10"/>
      <c r="B46" s="10"/>
      <c r="C46" s="10"/>
      <c r="D46" s="10"/>
      <c r="E46" s="10"/>
      <c r="F46" s="10" t="s">
        <v>178</v>
      </c>
      <c r="G46" s="40">
        <v>0.64</v>
      </c>
    </row>
    <row r="47" spans="1:7" ht="12.75">
      <c r="A47" s="10"/>
      <c r="B47" s="10"/>
      <c r="C47" s="10"/>
      <c r="D47" s="10"/>
      <c r="E47" s="10"/>
      <c r="F47" s="10" t="s">
        <v>179</v>
      </c>
      <c r="G47" s="40">
        <v>7.25</v>
      </c>
    </row>
    <row r="48" spans="1:7" ht="12.75">
      <c r="A48" s="10"/>
      <c r="B48" s="10"/>
      <c r="C48" s="10"/>
      <c r="D48" s="10"/>
      <c r="E48" s="10"/>
      <c r="F48" s="10" t="s">
        <v>180</v>
      </c>
      <c r="G48" s="40">
        <v>0.77</v>
      </c>
    </row>
    <row r="49" spans="1:8" ht="12.75">
      <c r="A49" s="10" t="s">
        <v>181</v>
      </c>
      <c r="B49" s="10"/>
      <c r="C49" s="10" t="s">
        <v>182</v>
      </c>
      <c r="D49" s="10" t="s">
        <v>183</v>
      </c>
      <c r="E49" s="10" t="s">
        <v>143</v>
      </c>
      <c r="F49" s="10" t="s">
        <v>184</v>
      </c>
      <c r="G49" s="40">
        <v>140.3</v>
      </c>
      <c r="H49" s="9" t="s">
        <v>1112</v>
      </c>
    </row>
    <row r="50" spans="1:7" ht="12.75">
      <c r="A50" s="10"/>
      <c r="B50" s="10"/>
      <c r="C50" s="10"/>
      <c r="D50" s="10"/>
      <c r="E50" s="10"/>
      <c r="F50" s="10" t="s">
        <v>185</v>
      </c>
      <c r="G50" s="40">
        <v>17</v>
      </c>
    </row>
    <row r="51" spans="1:7" ht="12.75">
      <c r="A51" s="10"/>
      <c r="B51" s="10"/>
      <c r="C51" s="10"/>
      <c r="D51" s="10"/>
      <c r="E51" s="10"/>
      <c r="F51" s="10" t="s">
        <v>186</v>
      </c>
      <c r="G51" s="40">
        <v>6.35</v>
      </c>
    </row>
    <row r="52" spans="1:7" ht="12.75">
      <c r="A52" s="10"/>
      <c r="B52" s="10"/>
      <c r="C52" s="10"/>
      <c r="D52" s="10"/>
      <c r="E52" s="10"/>
      <c r="F52" s="10" t="s">
        <v>187</v>
      </c>
      <c r="G52" s="40">
        <v>72.5</v>
      </c>
    </row>
    <row r="53" spans="1:7" ht="12.75">
      <c r="A53" s="10"/>
      <c r="B53" s="10"/>
      <c r="C53" s="10"/>
      <c r="D53" s="10"/>
      <c r="E53" s="10"/>
      <c r="F53" s="10" t="s">
        <v>188</v>
      </c>
      <c r="G53" s="40">
        <v>7.65</v>
      </c>
    </row>
    <row r="54" spans="1:8" ht="12.75">
      <c r="A54" s="10" t="s">
        <v>100</v>
      </c>
      <c r="B54" s="10"/>
      <c r="C54" s="10" t="s">
        <v>191</v>
      </c>
      <c r="D54" s="10" t="s">
        <v>192</v>
      </c>
      <c r="E54" s="10" t="s">
        <v>71</v>
      </c>
      <c r="F54" s="10" t="s">
        <v>193</v>
      </c>
      <c r="G54" s="40">
        <v>65.03</v>
      </c>
      <c r="H54" s="9" t="s">
        <v>1113</v>
      </c>
    </row>
    <row r="55" spans="1:7" ht="12.75">
      <c r="A55" s="10"/>
      <c r="B55" s="10"/>
      <c r="C55" s="10"/>
      <c r="D55" s="10"/>
      <c r="E55" s="10"/>
      <c r="F55" s="10" t="s">
        <v>194</v>
      </c>
      <c r="G55" s="40">
        <v>-7.91</v>
      </c>
    </row>
    <row r="56" spans="1:8" ht="12.75">
      <c r="A56" s="10" t="s">
        <v>195</v>
      </c>
      <c r="B56" s="10"/>
      <c r="C56" s="10" t="s">
        <v>196</v>
      </c>
      <c r="D56" s="10" t="s">
        <v>197</v>
      </c>
      <c r="E56" s="10" t="s">
        <v>143</v>
      </c>
      <c r="F56" s="10" t="s">
        <v>198</v>
      </c>
      <c r="G56" s="40">
        <v>18.6</v>
      </c>
      <c r="H56" s="41"/>
    </row>
    <row r="57" spans="1:8" ht="12.75">
      <c r="A57" s="10" t="s">
        <v>199</v>
      </c>
      <c r="B57" s="10"/>
      <c r="C57" s="10" t="s">
        <v>200</v>
      </c>
      <c r="D57" s="10" t="s">
        <v>201</v>
      </c>
      <c r="E57" s="10" t="s">
        <v>71</v>
      </c>
      <c r="F57" s="10" t="s">
        <v>202</v>
      </c>
      <c r="G57" s="40">
        <v>8.1</v>
      </c>
      <c r="H57" s="9" t="s">
        <v>1113</v>
      </c>
    </row>
    <row r="58" spans="1:8" ht="12.75">
      <c r="A58" s="10" t="s">
        <v>121</v>
      </c>
      <c r="B58" s="10"/>
      <c r="C58" s="10" t="s">
        <v>203</v>
      </c>
      <c r="D58" s="10" t="s">
        <v>204</v>
      </c>
      <c r="E58" s="10" t="s">
        <v>143</v>
      </c>
      <c r="F58" s="10" t="s">
        <v>205</v>
      </c>
      <c r="G58" s="40">
        <v>91.1</v>
      </c>
      <c r="H58" s="41" t="s">
        <v>72</v>
      </c>
    </row>
    <row r="59" spans="1:8" ht="12.75">
      <c r="A59" s="10" t="s">
        <v>206</v>
      </c>
      <c r="B59" s="10"/>
      <c r="C59" s="10" t="s">
        <v>207</v>
      </c>
      <c r="D59" s="10" t="s">
        <v>208</v>
      </c>
      <c r="E59" s="10" t="s">
        <v>143</v>
      </c>
      <c r="F59" s="10" t="s">
        <v>209</v>
      </c>
      <c r="G59" s="40">
        <v>100.2</v>
      </c>
      <c r="H59" s="41" t="s">
        <v>72</v>
      </c>
    </row>
    <row r="60" spans="1:8" ht="12.75">
      <c r="A60" s="10" t="s">
        <v>210</v>
      </c>
      <c r="B60" s="10"/>
      <c r="C60" s="10" t="s">
        <v>211</v>
      </c>
      <c r="D60" s="10" t="s">
        <v>212</v>
      </c>
      <c r="E60" s="10" t="s">
        <v>71</v>
      </c>
      <c r="F60" s="10" t="s">
        <v>213</v>
      </c>
      <c r="G60" s="40">
        <v>1483.08</v>
      </c>
      <c r="H60" s="9" t="s">
        <v>1114</v>
      </c>
    </row>
    <row r="61" spans="1:7" ht="12.75">
      <c r="A61" s="10"/>
      <c r="B61" s="10"/>
      <c r="C61" s="10"/>
      <c r="D61" s="10"/>
      <c r="E61" s="10"/>
      <c r="F61" s="10" t="s">
        <v>214</v>
      </c>
      <c r="G61" s="40">
        <v>-44.78</v>
      </c>
    </row>
    <row r="62" spans="1:7" ht="12.75">
      <c r="A62" s="10"/>
      <c r="B62" s="10"/>
      <c r="C62" s="10"/>
      <c r="D62" s="10"/>
      <c r="E62" s="10"/>
      <c r="F62" s="10" t="s">
        <v>215</v>
      </c>
      <c r="G62" s="40">
        <v>-305.83</v>
      </c>
    </row>
    <row r="63" spans="1:7" ht="12.75">
      <c r="A63" s="10"/>
      <c r="B63" s="10"/>
      <c r="C63" s="10"/>
      <c r="D63" s="10"/>
      <c r="E63" s="10"/>
      <c r="F63" s="10" t="s">
        <v>216</v>
      </c>
      <c r="G63" s="40">
        <v>-212.45</v>
      </c>
    </row>
    <row r="64" spans="1:8" ht="12.75">
      <c r="A64" s="10" t="s">
        <v>217</v>
      </c>
      <c r="B64" s="10"/>
      <c r="C64" s="10" t="s">
        <v>218</v>
      </c>
      <c r="D64" s="10" t="s">
        <v>219</v>
      </c>
      <c r="E64" s="10" t="s">
        <v>71</v>
      </c>
      <c r="F64" s="10" t="s">
        <v>220</v>
      </c>
      <c r="G64" s="40">
        <v>192.92</v>
      </c>
      <c r="H64" s="9" t="s">
        <v>1114</v>
      </c>
    </row>
    <row r="65" spans="1:8" ht="12.75">
      <c r="A65" s="10" t="s">
        <v>221</v>
      </c>
      <c r="B65" s="10"/>
      <c r="C65" s="10" t="s">
        <v>222</v>
      </c>
      <c r="D65" s="10" t="s">
        <v>223</v>
      </c>
      <c r="E65" s="10" t="s">
        <v>71</v>
      </c>
      <c r="F65" s="10" t="s">
        <v>224</v>
      </c>
      <c r="G65" s="40">
        <v>69.17</v>
      </c>
      <c r="H65" s="9" t="s">
        <v>1115</v>
      </c>
    </row>
    <row r="66" spans="1:8" ht="12.75">
      <c r="A66" s="10" t="s">
        <v>225</v>
      </c>
      <c r="B66" s="10"/>
      <c r="C66" s="10" t="s">
        <v>226</v>
      </c>
      <c r="D66" s="10" t="s">
        <v>227</v>
      </c>
      <c r="E66" s="10" t="s">
        <v>71</v>
      </c>
      <c r="F66" s="10" t="s">
        <v>228</v>
      </c>
      <c r="G66" s="40">
        <v>1149.11</v>
      </c>
      <c r="H66" s="9" t="s">
        <v>1114</v>
      </c>
    </row>
    <row r="67" spans="1:7" ht="12.75">
      <c r="A67" s="10"/>
      <c r="B67" s="10"/>
      <c r="C67" s="10"/>
      <c r="D67" s="10"/>
      <c r="E67" s="10"/>
      <c r="F67" s="10" t="s">
        <v>229</v>
      </c>
      <c r="G67" s="40">
        <v>-174.76</v>
      </c>
    </row>
    <row r="68" spans="1:7" ht="12.75">
      <c r="A68" s="10"/>
      <c r="B68" s="10"/>
      <c r="C68" s="10"/>
      <c r="D68" s="10"/>
      <c r="E68" s="10"/>
      <c r="F68" s="10" t="s">
        <v>230</v>
      </c>
      <c r="G68" s="40">
        <v>212.45</v>
      </c>
    </row>
    <row r="69" spans="1:8" ht="12.75">
      <c r="A69" s="10" t="s">
        <v>231</v>
      </c>
      <c r="B69" s="10"/>
      <c r="C69" s="10" t="s">
        <v>232</v>
      </c>
      <c r="D69" s="10" t="s">
        <v>233</v>
      </c>
      <c r="E69" s="10" t="s">
        <v>71</v>
      </c>
      <c r="F69" s="10" t="s">
        <v>234</v>
      </c>
      <c r="G69" s="40">
        <v>96.24</v>
      </c>
      <c r="H69" s="9" t="s">
        <v>1114</v>
      </c>
    </row>
    <row r="70" spans="1:8" ht="12.75">
      <c r="A70" s="10" t="s">
        <v>235</v>
      </c>
      <c r="B70" s="10"/>
      <c r="C70" s="10" t="s">
        <v>236</v>
      </c>
      <c r="D70" s="10" t="s">
        <v>237</v>
      </c>
      <c r="E70" s="10" t="s">
        <v>71</v>
      </c>
      <c r="F70" s="10" t="s">
        <v>238</v>
      </c>
      <c r="G70" s="40">
        <v>34.92</v>
      </c>
      <c r="H70" s="9" t="s">
        <v>1115</v>
      </c>
    </row>
    <row r="71" spans="1:8" ht="12.75">
      <c r="A71" s="10" t="s">
        <v>239</v>
      </c>
      <c r="B71" s="10"/>
      <c r="C71" s="10" t="s">
        <v>240</v>
      </c>
      <c r="D71" s="10" t="s">
        <v>241</v>
      </c>
      <c r="E71" s="10" t="s">
        <v>71</v>
      </c>
      <c r="F71" s="10" t="s">
        <v>242</v>
      </c>
      <c r="G71" s="40">
        <v>2892.4</v>
      </c>
      <c r="H71" s="41" t="s">
        <v>72</v>
      </c>
    </row>
    <row r="72" spans="1:7" ht="12.75">
      <c r="A72" s="10"/>
      <c r="B72" s="10"/>
      <c r="C72" s="10"/>
      <c r="D72" s="10"/>
      <c r="E72" s="10"/>
      <c r="F72" s="10" t="s">
        <v>243</v>
      </c>
      <c r="G72" s="40">
        <v>50.63</v>
      </c>
    </row>
    <row r="73" spans="1:8" ht="12.75">
      <c r="A73" s="10" t="s">
        <v>126</v>
      </c>
      <c r="B73" s="10"/>
      <c r="C73" s="10" t="s">
        <v>244</v>
      </c>
      <c r="D73" s="10" t="s">
        <v>245</v>
      </c>
      <c r="E73" s="10" t="s">
        <v>71</v>
      </c>
      <c r="F73" s="10"/>
      <c r="G73" s="40">
        <v>50</v>
      </c>
      <c r="H73" s="9" t="s">
        <v>1116</v>
      </c>
    </row>
    <row r="74" spans="1:8" ht="12.75">
      <c r="A74" s="10" t="s">
        <v>246</v>
      </c>
      <c r="B74" s="10"/>
      <c r="C74" s="10" t="s">
        <v>247</v>
      </c>
      <c r="D74" s="10" t="s">
        <v>248</v>
      </c>
      <c r="E74" s="10" t="s">
        <v>71</v>
      </c>
      <c r="F74" s="10" t="s">
        <v>249</v>
      </c>
      <c r="G74" s="40">
        <v>517.84</v>
      </c>
      <c r="H74" s="41" t="s">
        <v>72</v>
      </c>
    </row>
    <row r="75" spans="1:7" ht="12.75">
      <c r="A75" s="10"/>
      <c r="B75" s="10"/>
      <c r="C75" s="10"/>
      <c r="D75" s="10"/>
      <c r="E75" s="10"/>
      <c r="F75" s="10" t="s">
        <v>44</v>
      </c>
      <c r="G75" s="40">
        <v>0</v>
      </c>
    </row>
    <row r="76" spans="1:8" ht="12.75">
      <c r="A76" s="10" t="s">
        <v>250</v>
      </c>
      <c r="B76" s="10"/>
      <c r="C76" s="10" t="s">
        <v>251</v>
      </c>
      <c r="D76" s="10" t="s">
        <v>252</v>
      </c>
      <c r="E76" s="10" t="s">
        <v>131</v>
      </c>
      <c r="F76" s="10" t="s">
        <v>253</v>
      </c>
      <c r="G76" s="40">
        <v>1824</v>
      </c>
      <c r="H76" s="9" t="s">
        <v>1117</v>
      </c>
    </row>
    <row r="77" spans="1:7" ht="12.75">
      <c r="A77" s="10"/>
      <c r="B77" s="10"/>
      <c r="C77" s="10"/>
      <c r="D77" s="10"/>
      <c r="E77" s="10"/>
      <c r="F77" s="10" t="s">
        <v>254</v>
      </c>
      <c r="G77" s="40">
        <v>432</v>
      </c>
    </row>
    <row r="78" spans="1:7" ht="12.75">
      <c r="A78" s="10"/>
      <c r="B78" s="10"/>
      <c r="C78" s="10"/>
      <c r="D78" s="10"/>
      <c r="E78" s="10"/>
      <c r="F78" s="10" t="s">
        <v>255</v>
      </c>
      <c r="G78" s="40">
        <v>180</v>
      </c>
    </row>
    <row r="79" spans="1:7" ht="12.75">
      <c r="A79" s="10"/>
      <c r="B79" s="10"/>
      <c r="C79" s="10"/>
      <c r="D79" s="10"/>
      <c r="E79" s="10"/>
      <c r="F79" s="10" t="s">
        <v>256</v>
      </c>
      <c r="G79" s="40">
        <v>576</v>
      </c>
    </row>
    <row r="80" spans="1:7" ht="12.75">
      <c r="A80" s="10"/>
      <c r="B80" s="10"/>
      <c r="C80" s="10"/>
      <c r="D80" s="10"/>
      <c r="E80" s="10"/>
      <c r="F80" s="10" t="s">
        <v>257</v>
      </c>
      <c r="G80" s="40">
        <v>336</v>
      </c>
    </row>
    <row r="81" spans="1:8" ht="12.75">
      <c r="A81" s="10" t="s">
        <v>258</v>
      </c>
      <c r="B81" s="10"/>
      <c r="C81" s="10" t="s">
        <v>259</v>
      </c>
      <c r="D81" s="10" t="s">
        <v>260</v>
      </c>
      <c r="E81" s="10" t="s">
        <v>143</v>
      </c>
      <c r="F81" s="10" t="s">
        <v>261</v>
      </c>
      <c r="G81" s="40">
        <v>1577.7</v>
      </c>
      <c r="H81" s="41"/>
    </row>
    <row r="82" spans="1:7" ht="12.75">
      <c r="A82" s="10"/>
      <c r="B82" s="10"/>
      <c r="C82" s="10"/>
      <c r="D82" s="10"/>
      <c r="E82" s="10"/>
      <c r="F82" s="10" t="s">
        <v>262</v>
      </c>
      <c r="G82" s="40">
        <v>230.55</v>
      </c>
    </row>
    <row r="83" spans="1:7" ht="12.75">
      <c r="A83" s="10"/>
      <c r="B83" s="10"/>
      <c r="C83" s="10"/>
      <c r="D83" s="10"/>
      <c r="E83" s="10"/>
      <c r="F83" s="10" t="s">
        <v>263</v>
      </c>
      <c r="G83" s="40">
        <v>176.8</v>
      </c>
    </row>
    <row r="84" spans="1:7" ht="12.75">
      <c r="A84" s="10"/>
      <c r="B84" s="10"/>
      <c r="C84" s="10"/>
      <c r="D84" s="10"/>
      <c r="E84" s="10"/>
      <c r="F84" s="10" t="s">
        <v>264</v>
      </c>
      <c r="G84" s="40">
        <v>18.55</v>
      </c>
    </row>
    <row r="85" spans="1:7" ht="12.75">
      <c r="A85" s="10"/>
      <c r="B85" s="10"/>
      <c r="C85" s="10"/>
      <c r="D85" s="10"/>
      <c r="E85" s="10"/>
      <c r="F85" s="10" t="s">
        <v>265</v>
      </c>
      <c r="G85" s="40">
        <v>10.25</v>
      </c>
    </row>
    <row r="86" spans="1:7" ht="12.75">
      <c r="A86" s="10"/>
      <c r="B86" s="10"/>
      <c r="C86" s="10"/>
      <c r="D86" s="10"/>
      <c r="E86" s="10"/>
      <c r="F86" s="10" t="s">
        <v>205</v>
      </c>
      <c r="G86" s="40">
        <v>91.1</v>
      </c>
    </row>
    <row r="87" spans="1:7" ht="12.75">
      <c r="A87" s="10"/>
      <c r="B87" s="10"/>
      <c r="C87" s="10"/>
      <c r="D87" s="10"/>
      <c r="E87" s="10"/>
      <c r="F87" s="10" t="s">
        <v>266</v>
      </c>
      <c r="G87" s="40">
        <v>86.6</v>
      </c>
    </row>
    <row r="88" spans="1:8" ht="12.75">
      <c r="A88" s="10" t="s">
        <v>267</v>
      </c>
      <c r="B88" s="10"/>
      <c r="C88" s="10" t="s">
        <v>137</v>
      </c>
      <c r="D88" s="10" t="s">
        <v>268</v>
      </c>
      <c r="E88" s="10" t="s">
        <v>143</v>
      </c>
      <c r="F88" s="10" t="s">
        <v>263</v>
      </c>
      <c r="G88" s="40">
        <v>189.18</v>
      </c>
      <c r="H88" s="41"/>
    </row>
    <row r="89" spans="1:7" ht="12.75">
      <c r="A89" s="10"/>
      <c r="B89" s="10"/>
      <c r="C89" s="10"/>
      <c r="D89" s="10"/>
      <c r="E89" s="10"/>
      <c r="F89" s="10" t="s">
        <v>269</v>
      </c>
      <c r="G89" s="40">
        <v>12.38</v>
      </c>
    </row>
    <row r="90" spans="1:8" ht="12.75">
      <c r="A90" s="10" t="s">
        <v>270</v>
      </c>
      <c r="B90" s="10"/>
      <c r="C90" s="10" t="s">
        <v>137</v>
      </c>
      <c r="D90" s="10" t="s">
        <v>271</v>
      </c>
      <c r="E90" s="10" t="s">
        <v>143</v>
      </c>
      <c r="F90" s="10" t="s">
        <v>261</v>
      </c>
      <c r="G90" s="40">
        <v>992.65</v>
      </c>
      <c r="H90" s="41"/>
    </row>
    <row r="91" spans="1:7" ht="12.75">
      <c r="A91" s="10"/>
      <c r="B91" s="10"/>
      <c r="C91" s="10"/>
      <c r="D91" s="10"/>
      <c r="E91" s="10"/>
      <c r="F91" s="10" t="s">
        <v>264</v>
      </c>
      <c r="G91" s="40">
        <v>18.55</v>
      </c>
    </row>
    <row r="92" spans="1:7" ht="12.75">
      <c r="A92" s="10"/>
      <c r="B92" s="10"/>
      <c r="C92" s="10"/>
      <c r="D92" s="10"/>
      <c r="E92" s="10"/>
      <c r="F92" s="10" t="s">
        <v>265</v>
      </c>
      <c r="G92" s="40">
        <v>10.25</v>
      </c>
    </row>
    <row r="93" spans="1:8" ht="12.75">
      <c r="A93" s="10" t="s">
        <v>272</v>
      </c>
      <c r="B93" s="10"/>
      <c r="C93" s="10" t="s">
        <v>273</v>
      </c>
      <c r="D93" s="10" t="s">
        <v>274</v>
      </c>
      <c r="E93" s="10" t="s">
        <v>143</v>
      </c>
      <c r="F93" s="10" t="s">
        <v>266</v>
      </c>
      <c r="G93" s="40">
        <v>86.6</v>
      </c>
      <c r="H93" s="41"/>
    </row>
    <row r="94" spans="1:8" ht="12.75">
      <c r="A94" s="10" t="s">
        <v>275</v>
      </c>
      <c r="B94" s="10"/>
      <c r="C94" s="10" t="s">
        <v>276</v>
      </c>
      <c r="D94" s="10" t="s">
        <v>277</v>
      </c>
      <c r="E94" s="10" t="s">
        <v>71</v>
      </c>
      <c r="F94" s="10" t="s">
        <v>278</v>
      </c>
      <c r="G94" s="40">
        <v>20.8</v>
      </c>
      <c r="H94" s="41" t="s">
        <v>72</v>
      </c>
    </row>
    <row r="95" spans="1:8" ht="12.75">
      <c r="A95" s="10" t="s">
        <v>279</v>
      </c>
      <c r="B95" s="10"/>
      <c r="C95" s="10" t="s">
        <v>280</v>
      </c>
      <c r="D95" s="10" t="s">
        <v>281</v>
      </c>
      <c r="E95" s="10" t="s">
        <v>71</v>
      </c>
      <c r="F95" s="10" t="s">
        <v>282</v>
      </c>
      <c r="G95" s="40">
        <v>50.63</v>
      </c>
      <c r="H95" s="9" t="s">
        <v>1114</v>
      </c>
    </row>
    <row r="96" spans="1:7" ht="12.75">
      <c r="A96" s="10"/>
      <c r="B96" s="10"/>
      <c r="C96" s="10"/>
      <c r="D96" s="10"/>
      <c r="E96" s="10"/>
      <c r="F96" s="10" t="s">
        <v>283</v>
      </c>
      <c r="G96" s="40">
        <v>-1.44</v>
      </c>
    </row>
    <row r="97" spans="1:7" ht="12.75">
      <c r="A97" s="10"/>
      <c r="B97" s="10"/>
      <c r="C97" s="10"/>
      <c r="D97" s="10"/>
      <c r="E97" s="10"/>
      <c r="F97" s="10" t="s">
        <v>284</v>
      </c>
      <c r="G97" s="40">
        <v>-0.58</v>
      </c>
    </row>
    <row r="98" spans="1:8" ht="12.75">
      <c r="A98" s="10" t="s">
        <v>285</v>
      </c>
      <c r="B98" s="10"/>
      <c r="C98" s="10" t="s">
        <v>286</v>
      </c>
      <c r="D98" s="10" t="s">
        <v>287</v>
      </c>
      <c r="E98" s="10" t="s">
        <v>71</v>
      </c>
      <c r="F98" s="10" t="s">
        <v>288</v>
      </c>
      <c r="G98" s="40">
        <v>50.63</v>
      </c>
      <c r="H98" s="41"/>
    </row>
    <row r="99" spans="1:7" ht="12.75">
      <c r="A99" s="10"/>
      <c r="B99" s="10"/>
      <c r="C99" s="10"/>
      <c r="D99" s="10"/>
      <c r="E99" s="10"/>
      <c r="F99" s="10" t="s">
        <v>283</v>
      </c>
      <c r="G99" s="40">
        <v>-1.44</v>
      </c>
    </row>
    <row r="100" spans="1:7" ht="12.75">
      <c r="A100" s="10"/>
      <c r="B100" s="10"/>
      <c r="C100" s="10"/>
      <c r="D100" s="10"/>
      <c r="E100" s="10"/>
      <c r="F100" s="10" t="s">
        <v>284</v>
      </c>
      <c r="G100" s="40">
        <v>-0.58</v>
      </c>
    </row>
    <row r="101" spans="1:8" ht="12.75">
      <c r="A101" s="10" t="s">
        <v>289</v>
      </c>
      <c r="B101" s="10"/>
      <c r="C101" s="10" t="s">
        <v>290</v>
      </c>
      <c r="D101" s="10" t="s">
        <v>291</v>
      </c>
      <c r="E101" s="10" t="s">
        <v>71</v>
      </c>
      <c r="F101" s="10" t="s">
        <v>292</v>
      </c>
      <c r="G101" s="40">
        <v>11.95</v>
      </c>
      <c r="H101" s="41"/>
    </row>
    <row r="102" spans="1:7" ht="12.75">
      <c r="A102" s="10"/>
      <c r="B102" s="10"/>
      <c r="C102" s="10"/>
      <c r="D102" s="10"/>
      <c r="E102" s="10"/>
      <c r="F102" s="10" t="s">
        <v>293</v>
      </c>
      <c r="G102" s="40">
        <v>3.78</v>
      </c>
    </row>
    <row r="103" spans="1:7" ht="12.75">
      <c r="A103" s="10"/>
      <c r="B103" s="10"/>
      <c r="C103" s="10"/>
      <c r="D103" s="10"/>
      <c r="E103" s="10"/>
      <c r="F103" s="10" t="s">
        <v>294</v>
      </c>
      <c r="G103" s="40">
        <v>4.2</v>
      </c>
    </row>
    <row r="104" spans="1:7" ht="12.75">
      <c r="A104" s="10"/>
      <c r="B104" s="10"/>
      <c r="C104" s="10"/>
      <c r="D104" s="10"/>
      <c r="E104" s="10"/>
      <c r="F104" s="10" t="s">
        <v>295</v>
      </c>
      <c r="G104" s="40">
        <v>1.08</v>
      </c>
    </row>
    <row r="105" spans="1:8" ht="12.75">
      <c r="A105" s="10" t="s">
        <v>296</v>
      </c>
      <c r="B105" s="10"/>
      <c r="C105" s="10" t="s">
        <v>297</v>
      </c>
      <c r="D105" s="10" t="s">
        <v>298</v>
      </c>
      <c r="E105" s="10" t="s">
        <v>71</v>
      </c>
      <c r="F105" s="10" t="s">
        <v>299</v>
      </c>
      <c r="G105" s="40">
        <v>98.45</v>
      </c>
      <c r="H105" s="41" t="s">
        <v>72</v>
      </c>
    </row>
    <row r="106" spans="1:7" ht="12.75">
      <c r="A106" s="10"/>
      <c r="B106" s="10"/>
      <c r="C106" s="10"/>
      <c r="D106" s="10"/>
      <c r="E106" s="10"/>
      <c r="F106" s="10" t="s">
        <v>300</v>
      </c>
      <c r="G106" s="40">
        <v>86.5</v>
      </c>
    </row>
    <row r="107" spans="1:8" ht="12.75">
      <c r="A107" s="10" t="s">
        <v>303</v>
      </c>
      <c r="B107" s="10"/>
      <c r="C107" s="10" t="s">
        <v>304</v>
      </c>
      <c r="D107" s="10" t="s">
        <v>305</v>
      </c>
      <c r="E107" s="10" t="s">
        <v>83</v>
      </c>
      <c r="F107" s="10" t="s">
        <v>306</v>
      </c>
      <c r="G107" s="40">
        <v>4.98</v>
      </c>
      <c r="H107" s="41" t="s">
        <v>72</v>
      </c>
    </row>
    <row r="108" spans="1:8" ht="12.75">
      <c r="A108" s="10" t="s">
        <v>307</v>
      </c>
      <c r="B108" s="10"/>
      <c r="C108" s="10" t="s">
        <v>308</v>
      </c>
      <c r="D108" s="10" t="s">
        <v>309</v>
      </c>
      <c r="E108" s="10" t="s">
        <v>83</v>
      </c>
      <c r="F108" s="10" t="s">
        <v>310</v>
      </c>
      <c r="G108" s="40">
        <v>9.96</v>
      </c>
      <c r="H108" s="41" t="s">
        <v>72</v>
      </c>
    </row>
    <row r="109" spans="1:8" ht="12.75">
      <c r="A109" s="10" t="s">
        <v>311</v>
      </c>
      <c r="B109" s="10"/>
      <c r="C109" s="10" t="s">
        <v>312</v>
      </c>
      <c r="D109" s="10" t="s">
        <v>313</v>
      </c>
      <c r="E109" s="10" t="s">
        <v>71</v>
      </c>
      <c r="F109" s="10" t="s">
        <v>314</v>
      </c>
      <c r="G109" s="40">
        <v>5.66</v>
      </c>
      <c r="H109" s="41"/>
    </row>
    <row r="110" spans="1:8" ht="12.75">
      <c r="A110" s="10" t="s">
        <v>318</v>
      </c>
      <c r="B110" s="10"/>
      <c r="C110" s="10" t="s">
        <v>319</v>
      </c>
      <c r="D110" s="10" t="s">
        <v>320</v>
      </c>
      <c r="E110" s="10" t="s">
        <v>71</v>
      </c>
      <c r="F110" s="10" t="s">
        <v>314</v>
      </c>
      <c r="G110" s="40">
        <v>5.66</v>
      </c>
      <c r="H110" s="9" t="s">
        <v>1118</v>
      </c>
    </row>
    <row r="111" spans="1:8" ht="12.75">
      <c r="A111" s="10" t="s">
        <v>158</v>
      </c>
      <c r="B111" s="10"/>
      <c r="C111" s="10" t="s">
        <v>321</v>
      </c>
      <c r="D111" s="10" t="s">
        <v>322</v>
      </c>
      <c r="E111" s="10" t="s">
        <v>113</v>
      </c>
      <c r="F111" s="10"/>
      <c r="G111" s="40">
        <v>0.01698</v>
      </c>
      <c r="H111" s="41" t="s">
        <v>72</v>
      </c>
    </row>
    <row r="112" spans="1:8" ht="12.75">
      <c r="A112" s="10" t="s">
        <v>325</v>
      </c>
      <c r="B112" s="10"/>
      <c r="C112" s="10" t="s">
        <v>326</v>
      </c>
      <c r="D112" s="10" t="s">
        <v>327</v>
      </c>
      <c r="E112" s="10" t="s">
        <v>71</v>
      </c>
      <c r="F112" s="10" t="s">
        <v>328</v>
      </c>
      <c r="G112" s="40">
        <v>404.91</v>
      </c>
      <c r="H112" s="41" t="s">
        <v>72</v>
      </c>
    </row>
    <row r="113" spans="1:7" ht="12.75">
      <c r="A113" s="10"/>
      <c r="B113" s="10"/>
      <c r="C113" s="10"/>
      <c r="D113" s="10"/>
      <c r="E113" s="10"/>
      <c r="F113" s="10" t="s">
        <v>329</v>
      </c>
      <c r="G113" s="40">
        <v>36.81</v>
      </c>
    </row>
    <row r="114" spans="1:8" ht="12.75">
      <c r="A114" s="10" t="s">
        <v>167</v>
      </c>
      <c r="B114" s="10"/>
      <c r="C114" s="10" t="s">
        <v>330</v>
      </c>
      <c r="D114" s="10" t="s">
        <v>331</v>
      </c>
      <c r="E114" s="10" t="s">
        <v>71</v>
      </c>
      <c r="F114" s="10" t="s">
        <v>328</v>
      </c>
      <c r="G114" s="40">
        <v>368.1</v>
      </c>
      <c r="H114" s="41" t="s">
        <v>72</v>
      </c>
    </row>
    <row r="115" spans="1:8" ht="12.75">
      <c r="A115" s="10" t="s">
        <v>189</v>
      </c>
      <c r="B115" s="10"/>
      <c r="C115" s="10" t="s">
        <v>332</v>
      </c>
      <c r="D115" s="10" t="s">
        <v>333</v>
      </c>
      <c r="E115" s="10" t="s">
        <v>71</v>
      </c>
      <c r="F115" s="10" t="s">
        <v>334</v>
      </c>
      <c r="G115" s="40">
        <v>404.91</v>
      </c>
      <c r="H115" s="9" t="s">
        <v>1119</v>
      </c>
    </row>
    <row r="116" spans="1:7" ht="12.75">
      <c r="A116" s="10"/>
      <c r="B116" s="10"/>
      <c r="C116" s="10"/>
      <c r="D116" s="10"/>
      <c r="E116" s="10"/>
      <c r="F116" s="10" t="s">
        <v>335</v>
      </c>
      <c r="G116" s="40">
        <v>0</v>
      </c>
    </row>
    <row r="117" spans="1:8" ht="12.75">
      <c r="A117" s="10" t="s">
        <v>301</v>
      </c>
      <c r="B117" s="10"/>
      <c r="C117" s="10" t="s">
        <v>336</v>
      </c>
      <c r="D117" s="10" t="s">
        <v>337</v>
      </c>
      <c r="E117" s="10" t="s">
        <v>71</v>
      </c>
      <c r="F117" s="10" t="s">
        <v>338</v>
      </c>
      <c r="G117" s="40">
        <v>133.21</v>
      </c>
      <c r="H117" s="41" t="s">
        <v>72</v>
      </c>
    </row>
    <row r="118" spans="1:7" ht="12.75">
      <c r="A118" s="10"/>
      <c r="B118" s="10"/>
      <c r="C118" s="10"/>
      <c r="D118" s="10"/>
      <c r="E118" s="10"/>
      <c r="F118" s="10" t="s">
        <v>339</v>
      </c>
      <c r="G118" s="40">
        <v>12.11</v>
      </c>
    </row>
    <row r="119" spans="1:8" ht="12.75">
      <c r="A119" s="10" t="s">
        <v>340</v>
      </c>
      <c r="B119" s="10"/>
      <c r="C119" s="10" t="s">
        <v>341</v>
      </c>
      <c r="D119" s="10" t="s">
        <v>342</v>
      </c>
      <c r="E119" s="10" t="s">
        <v>71</v>
      </c>
      <c r="F119" s="10" t="s">
        <v>343</v>
      </c>
      <c r="G119" s="40">
        <v>21.5</v>
      </c>
      <c r="H119" s="9" t="s">
        <v>1120</v>
      </c>
    </row>
    <row r="120" spans="1:8" ht="12.75">
      <c r="A120" s="10" t="s">
        <v>344</v>
      </c>
      <c r="B120" s="10"/>
      <c r="C120" s="10" t="s">
        <v>345</v>
      </c>
      <c r="D120" s="10" t="s">
        <v>342</v>
      </c>
      <c r="E120" s="10" t="s">
        <v>71</v>
      </c>
      <c r="F120" s="10" t="s">
        <v>346</v>
      </c>
      <c r="G120" s="40">
        <v>99.6</v>
      </c>
      <c r="H120" s="41" t="s">
        <v>72</v>
      </c>
    </row>
    <row r="121" spans="1:8" ht="12.75">
      <c r="A121" s="10" t="s">
        <v>347</v>
      </c>
      <c r="B121" s="10"/>
      <c r="C121" s="10" t="s">
        <v>348</v>
      </c>
      <c r="D121" s="10" t="s">
        <v>349</v>
      </c>
      <c r="E121" s="10" t="s">
        <v>71</v>
      </c>
      <c r="F121" s="10"/>
      <c r="G121" s="40">
        <v>49.8</v>
      </c>
      <c r="H121" s="9" t="s">
        <v>1121</v>
      </c>
    </row>
    <row r="122" spans="1:8" ht="12.75">
      <c r="A122" s="10" t="s">
        <v>350</v>
      </c>
      <c r="B122" s="10"/>
      <c r="C122" s="10" t="s">
        <v>351</v>
      </c>
      <c r="D122" s="10" t="s">
        <v>352</v>
      </c>
      <c r="E122" s="10" t="s">
        <v>131</v>
      </c>
      <c r="F122" s="10" t="s">
        <v>353</v>
      </c>
      <c r="G122" s="40">
        <v>1840</v>
      </c>
      <c r="H122" s="41" t="s">
        <v>72</v>
      </c>
    </row>
    <row r="123" spans="1:8" ht="12.75">
      <c r="A123" s="10" t="s">
        <v>354</v>
      </c>
      <c r="B123" s="10"/>
      <c r="C123" s="10" t="s">
        <v>355</v>
      </c>
      <c r="D123" s="10" t="s">
        <v>356</v>
      </c>
      <c r="E123" s="10" t="s">
        <v>71</v>
      </c>
      <c r="F123" s="10"/>
      <c r="G123" s="40">
        <v>368.1</v>
      </c>
      <c r="H123" s="41"/>
    </row>
    <row r="124" spans="1:8" ht="12.75">
      <c r="A124" s="10" t="s">
        <v>357</v>
      </c>
      <c r="B124" s="10"/>
      <c r="C124" s="10" t="s">
        <v>358</v>
      </c>
      <c r="D124" s="10" t="s">
        <v>359</v>
      </c>
      <c r="E124" s="10" t="s">
        <v>71</v>
      </c>
      <c r="F124" s="10" t="s">
        <v>360</v>
      </c>
      <c r="G124" s="40">
        <v>404.91</v>
      </c>
      <c r="H124" s="41"/>
    </row>
    <row r="125" spans="1:8" ht="12.75">
      <c r="A125" s="10" t="s">
        <v>361</v>
      </c>
      <c r="B125" s="10"/>
      <c r="C125" s="10" t="s">
        <v>362</v>
      </c>
      <c r="D125" s="10" t="s">
        <v>363</v>
      </c>
      <c r="E125" s="10" t="s">
        <v>113</v>
      </c>
      <c r="F125" s="10"/>
      <c r="G125" s="40">
        <v>5.43</v>
      </c>
      <c r="H125" s="41" t="s">
        <v>72</v>
      </c>
    </row>
    <row r="126" spans="1:8" ht="12.75">
      <c r="A126" s="10" t="s">
        <v>366</v>
      </c>
      <c r="B126" s="10"/>
      <c r="C126" s="10" t="s">
        <v>367</v>
      </c>
      <c r="D126" s="10" t="s">
        <v>368</v>
      </c>
      <c r="E126" s="10" t="s">
        <v>71</v>
      </c>
      <c r="F126" s="10" t="s">
        <v>369</v>
      </c>
      <c r="G126" s="40">
        <v>5.88</v>
      </c>
      <c r="H126" s="41" t="s">
        <v>72</v>
      </c>
    </row>
    <row r="127" spans="1:8" ht="12.75">
      <c r="A127" s="10" t="s">
        <v>370</v>
      </c>
      <c r="B127" s="10"/>
      <c r="C127" s="10" t="s">
        <v>371</v>
      </c>
      <c r="D127" s="10" t="s">
        <v>372</v>
      </c>
      <c r="E127" s="10" t="s">
        <v>83</v>
      </c>
      <c r="F127" s="10" t="s">
        <v>373</v>
      </c>
      <c r="G127" s="40">
        <v>0.62</v>
      </c>
      <c r="H127" s="41" t="s">
        <v>72</v>
      </c>
    </row>
    <row r="128" spans="1:7" ht="12.75">
      <c r="A128" s="10"/>
      <c r="B128" s="10"/>
      <c r="C128" s="10"/>
      <c r="D128" s="10"/>
      <c r="E128" s="10"/>
      <c r="F128" s="10" t="s">
        <v>374</v>
      </c>
      <c r="G128" s="40">
        <v>0.03</v>
      </c>
    </row>
    <row r="129" spans="1:8" ht="12.75">
      <c r="A129" s="10" t="s">
        <v>375</v>
      </c>
      <c r="B129" s="10"/>
      <c r="C129" s="10" t="s">
        <v>376</v>
      </c>
      <c r="D129" s="10" t="s">
        <v>377</v>
      </c>
      <c r="E129" s="10" t="s">
        <v>83</v>
      </c>
      <c r="F129" s="10" t="s">
        <v>306</v>
      </c>
      <c r="G129" s="40">
        <v>97.99</v>
      </c>
      <c r="H129" s="41" t="s">
        <v>72</v>
      </c>
    </row>
    <row r="130" spans="1:7" ht="12.75">
      <c r="A130" s="10"/>
      <c r="B130" s="10"/>
      <c r="C130" s="10"/>
      <c r="D130" s="10"/>
      <c r="E130" s="10"/>
      <c r="F130" s="10" t="s">
        <v>378</v>
      </c>
      <c r="G130" s="40">
        <v>88.34</v>
      </c>
    </row>
    <row r="131" spans="1:7" ht="12.75">
      <c r="A131" s="10"/>
      <c r="B131" s="10"/>
      <c r="C131" s="10"/>
      <c r="D131" s="10"/>
      <c r="E131" s="10"/>
      <c r="F131" s="10" t="s">
        <v>379</v>
      </c>
      <c r="G131" s="40">
        <v>4.67</v>
      </c>
    </row>
    <row r="132" spans="1:8" ht="12.75">
      <c r="A132" s="10" t="s">
        <v>380</v>
      </c>
      <c r="B132" s="10"/>
      <c r="C132" s="10" t="s">
        <v>381</v>
      </c>
      <c r="D132" s="10" t="s">
        <v>382</v>
      </c>
      <c r="E132" s="10" t="s">
        <v>71</v>
      </c>
      <c r="F132" s="10" t="s">
        <v>383</v>
      </c>
      <c r="G132" s="40">
        <v>49.8</v>
      </c>
      <c r="H132" s="41" t="s">
        <v>72</v>
      </c>
    </row>
    <row r="133" spans="1:8" ht="12.75">
      <c r="A133" s="10" t="s">
        <v>384</v>
      </c>
      <c r="B133" s="10"/>
      <c r="C133" s="10" t="s">
        <v>367</v>
      </c>
      <c r="D133" s="10" t="s">
        <v>368</v>
      </c>
      <c r="E133" s="10" t="s">
        <v>71</v>
      </c>
      <c r="F133" s="10" t="s">
        <v>385</v>
      </c>
      <c r="G133" s="40">
        <v>257</v>
      </c>
      <c r="H133" s="41" t="s">
        <v>72</v>
      </c>
    </row>
    <row r="134" spans="1:8" ht="12.75">
      <c r="A134" s="10" t="s">
        <v>386</v>
      </c>
      <c r="B134" s="10"/>
      <c r="C134" s="10" t="s">
        <v>387</v>
      </c>
      <c r="D134" s="10" t="s">
        <v>388</v>
      </c>
      <c r="E134" s="10" t="s">
        <v>71</v>
      </c>
      <c r="F134" s="10" t="s">
        <v>389</v>
      </c>
      <c r="G134" s="40">
        <v>65.5</v>
      </c>
      <c r="H134" s="41"/>
    </row>
    <row r="135" spans="1:8" ht="12.75">
      <c r="A135" s="10" t="s">
        <v>390</v>
      </c>
      <c r="B135" s="10"/>
      <c r="C135" s="10" t="s">
        <v>391</v>
      </c>
      <c r="D135" s="10" t="s">
        <v>392</v>
      </c>
      <c r="E135" s="10" t="s">
        <v>71</v>
      </c>
      <c r="F135" s="10" t="s">
        <v>393</v>
      </c>
      <c r="G135" s="40">
        <v>45.6</v>
      </c>
      <c r="H135" s="41"/>
    </row>
    <row r="136" spans="1:8" ht="12.75">
      <c r="A136" s="10" t="s">
        <v>394</v>
      </c>
      <c r="B136" s="10"/>
      <c r="C136" s="10" t="s">
        <v>362</v>
      </c>
      <c r="D136" s="10" t="s">
        <v>363</v>
      </c>
      <c r="E136" s="10" t="s">
        <v>113</v>
      </c>
      <c r="F136" s="10"/>
      <c r="G136" s="40">
        <v>1.98</v>
      </c>
      <c r="H136" s="41" t="s">
        <v>72</v>
      </c>
    </row>
    <row r="137" spans="1:8" ht="12.75">
      <c r="A137" s="10" t="s">
        <v>397</v>
      </c>
      <c r="B137" s="10"/>
      <c r="C137" s="10" t="s">
        <v>398</v>
      </c>
      <c r="D137" s="10" t="s">
        <v>399</v>
      </c>
      <c r="E137" s="10" t="s">
        <v>131</v>
      </c>
      <c r="F137" s="10"/>
      <c r="G137" s="40">
        <v>2</v>
      </c>
      <c r="H137" s="9" t="s">
        <v>1122</v>
      </c>
    </row>
    <row r="138" spans="1:8" ht="12.75">
      <c r="A138" s="10" t="s">
        <v>400</v>
      </c>
      <c r="B138" s="10"/>
      <c r="C138" s="10" t="s">
        <v>401</v>
      </c>
      <c r="D138" s="10" t="s">
        <v>402</v>
      </c>
      <c r="E138" s="10" t="s">
        <v>131</v>
      </c>
      <c r="F138" s="10" t="s">
        <v>60</v>
      </c>
      <c r="G138" s="40">
        <v>5</v>
      </c>
      <c r="H138" s="9" t="s">
        <v>1123</v>
      </c>
    </row>
    <row r="139" spans="1:8" ht="12.75">
      <c r="A139" s="10" t="s">
        <v>403</v>
      </c>
      <c r="B139" s="10"/>
      <c r="C139" s="10" t="s">
        <v>404</v>
      </c>
      <c r="D139" s="10" t="s">
        <v>405</v>
      </c>
      <c r="E139" s="10" t="s">
        <v>131</v>
      </c>
      <c r="F139" s="10"/>
      <c r="G139" s="40">
        <v>5</v>
      </c>
      <c r="H139" s="41"/>
    </row>
    <row r="140" spans="1:8" ht="12.75">
      <c r="A140" s="10" t="s">
        <v>406</v>
      </c>
      <c r="B140" s="10"/>
      <c r="C140" s="10" t="s">
        <v>407</v>
      </c>
      <c r="D140" s="10" t="s">
        <v>408</v>
      </c>
      <c r="E140" s="10" t="s">
        <v>50</v>
      </c>
      <c r="F140" s="10"/>
      <c r="G140" s="40">
        <v>2</v>
      </c>
      <c r="H140" s="41"/>
    </row>
    <row r="141" spans="1:8" ht="12.75">
      <c r="A141" s="10" t="s">
        <v>409</v>
      </c>
      <c r="B141" s="10"/>
      <c r="C141" s="10" t="s">
        <v>410</v>
      </c>
      <c r="D141" s="10" t="s">
        <v>411</v>
      </c>
      <c r="E141" s="10" t="s">
        <v>113</v>
      </c>
      <c r="F141" s="10"/>
      <c r="G141" s="40">
        <v>0.071</v>
      </c>
      <c r="H141" s="41" t="s">
        <v>72</v>
      </c>
    </row>
    <row r="142" spans="1:8" ht="12.75">
      <c r="A142" s="10" t="s">
        <v>414</v>
      </c>
      <c r="B142" s="10"/>
      <c r="C142" s="10" t="s">
        <v>415</v>
      </c>
      <c r="D142" s="10" t="s">
        <v>416</v>
      </c>
      <c r="E142" s="10" t="s">
        <v>71</v>
      </c>
      <c r="F142" s="10" t="s">
        <v>417</v>
      </c>
      <c r="G142" s="40">
        <v>37.15</v>
      </c>
      <c r="H142" s="41" t="s">
        <v>72</v>
      </c>
    </row>
    <row r="143" spans="1:7" ht="12.75">
      <c r="A143" s="10"/>
      <c r="B143" s="10"/>
      <c r="C143" s="10"/>
      <c r="D143" s="10"/>
      <c r="E143" s="10"/>
      <c r="F143" s="10" t="s">
        <v>418</v>
      </c>
      <c r="G143" s="40">
        <v>3.38</v>
      </c>
    </row>
    <row r="144" spans="1:8" ht="12.75">
      <c r="A144" s="10" t="s">
        <v>419</v>
      </c>
      <c r="B144" s="10"/>
      <c r="C144" s="10" t="s">
        <v>420</v>
      </c>
      <c r="D144" s="10" t="s">
        <v>421</v>
      </c>
      <c r="E144" s="10" t="s">
        <v>71</v>
      </c>
      <c r="F144" s="10" t="s">
        <v>417</v>
      </c>
      <c r="G144" s="40">
        <v>33.77</v>
      </c>
      <c r="H144" s="41"/>
    </row>
    <row r="145" spans="1:8" ht="12.75">
      <c r="A145" s="10" t="s">
        <v>422</v>
      </c>
      <c r="B145" s="10"/>
      <c r="C145" s="10" t="s">
        <v>423</v>
      </c>
      <c r="D145" s="10" t="s">
        <v>424</v>
      </c>
      <c r="E145" s="10" t="s">
        <v>143</v>
      </c>
      <c r="F145" s="10" t="s">
        <v>425</v>
      </c>
      <c r="G145" s="40">
        <v>173.2</v>
      </c>
      <c r="H145" s="9" t="s">
        <v>1124</v>
      </c>
    </row>
    <row r="146" spans="1:8" ht="12.75">
      <c r="A146" s="10" t="s">
        <v>426</v>
      </c>
      <c r="B146" s="10"/>
      <c r="C146" s="10" t="s">
        <v>427</v>
      </c>
      <c r="D146" s="10" t="s">
        <v>428</v>
      </c>
      <c r="E146" s="10" t="s">
        <v>83</v>
      </c>
      <c r="F146" s="10" t="s">
        <v>429</v>
      </c>
      <c r="G146" s="40">
        <v>0.86</v>
      </c>
      <c r="H146" s="41" t="s">
        <v>72</v>
      </c>
    </row>
    <row r="147" spans="1:7" ht="12.75">
      <c r="A147" s="10"/>
      <c r="B147" s="10"/>
      <c r="C147" s="10"/>
      <c r="D147" s="10"/>
      <c r="E147" s="10"/>
      <c r="F147" s="10" t="s">
        <v>430</v>
      </c>
      <c r="G147" s="40">
        <v>0.26</v>
      </c>
    </row>
    <row r="148" spans="1:8" ht="12.75">
      <c r="A148" s="10" t="s">
        <v>431</v>
      </c>
      <c r="B148" s="10"/>
      <c r="C148" s="10" t="s">
        <v>432</v>
      </c>
      <c r="D148" s="10" t="s">
        <v>433</v>
      </c>
      <c r="E148" s="10" t="s">
        <v>113</v>
      </c>
      <c r="F148" s="10"/>
      <c r="G148" s="40">
        <v>1.03774</v>
      </c>
      <c r="H148" s="41" t="s">
        <v>72</v>
      </c>
    </row>
    <row r="149" spans="1:8" ht="12.75">
      <c r="A149" s="10" t="s">
        <v>434</v>
      </c>
      <c r="B149" s="10"/>
      <c r="C149" s="10" t="s">
        <v>435</v>
      </c>
      <c r="D149" s="10" t="s">
        <v>436</v>
      </c>
      <c r="E149" s="10" t="s">
        <v>71</v>
      </c>
      <c r="F149" s="10" t="s">
        <v>437</v>
      </c>
      <c r="G149" s="40">
        <v>2.94</v>
      </c>
      <c r="H149" s="41" t="s">
        <v>72</v>
      </c>
    </row>
    <row r="150" spans="1:7" ht="12.75">
      <c r="A150" s="10"/>
      <c r="B150" s="10"/>
      <c r="C150" s="10"/>
      <c r="D150" s="10"/>
      <c r="E150" s="10"/>
      <c r="F150" s="10" t="s">
        <v>438</v>
      </c>
      <c r="G150" s="40">
        <v>0.27</v>
      </c>
    </row>
    <row r="151" spans="1:8" ht="12.75">
      <c r="A151" s="10" t="s">
        <v>439</v>
      </c>
      <c r="B151" s="10"/>
      <c r="C151" s="10" t="s">
        <v>440</v>
      </c>
      <c r="D151" s="10" t="s">
        <v>441</v>
      </c>
      <c r="E151" s="10" t="s">
        <v>71</v>
      </c>
      <c r="F151" s="10" t="s">
        <v>442</v>
      </c>
      <c r="G151" s="40">
        <v>2.67</v>
      </c>
      <c r="H151" s="41"/>
    </row>
    <row r="152" spans="1:8" ht="12.75">
      <c r="A152" s="10" t="s">
        <v>443</v>
      </c>
      <c r="B152" s="10"/>
      <c r="C152" s="10" t="s">
        <v>432</v>
      </c>
      <c r="D152" s="10" t="s">
        <v>433</v>
      </c>
      <c r="E152" s="10" t="s">
        <v>113</v>
      </c>
      <c r="F152" s="10"/>
      <c r="G152" s="40">
        <v>0.68</v>
      </c>
      <c r="H152" s="41" t="s">
        <v>72</v>
      </c>
    </row>
    <row r="153" spans="1:8" ht="12.75">
      <c r="A153" s="10" t="s">
        <v>446</v>
      </c>
      <c r="B153" s="10"/>
      <c r="C153" s="10" t="s">
        <v>447</v>
      </c>
      <c r="D153" s="10" t="s">
        <v>448</v>
      </c>
      <c r="E153" s="10" t="s">
        <v>143</v>
      </c>
      <c r="F153" s="10" t="s">
        <v>449</v>
      </c>
      <c r="G153" s="40">
        <v>200.2</v>
      </c>
      <c r="H153" s="41" t="s">
        <v>72</v>
      </c>
    </row>
    <row r="154" spans="1:7" ht="12.75">
      <c r="A154" s="10"/>
      <c r="B154" s="10"/>
      <c r="C154" s="10"/>
      <c r="D154" s="10"/>
      <c r="E154" s="10"/>
      <c r="F154" s="10" t="s">
        <v>450</v>
      </c>
      <c r="G154" s="40">
        <v>54</v>
      </c>
    </row>
    <row r="155" spans="1:8" ht="12.75">
      <c r="A155" s="10" t="s">
        <v>451</v>
      </c>
      <c r="B155" s="10"/>
      <c r="C155" s="10" t="s">
        <v>452</v>
      </c>
      <c r="D155" s="10" t="s">
        <v>453</v>
      </c>
      <c r="E155" s="10" t="s">
        <v>143</v>
      </c>
      <c r="F155" s="10" t="s">
        <v>454</v>
      </c>
      <c r="G155" s="40">
        <v>110.3</v>
      </c>
      <c r="H155" s="41"/>
    </row>
    <row r="156" spans="1:8" ht="12.75">
      <c r="A156" s="10" t="s">
        <v>455</v>
      </c>
      <c r="B156" s="10"/>
      <c r="C156" s="10" t="s">
        <v>456</v>
      </c>
      <c r="D156" s="10" t="s">
        <v>457</v>
      </c>
      <c r="E156" s="10" t="s">
        <v>143</v>
      </c>
      <c r="F156" s="10" t="s">
        <v>458</v>
      </c>
      <c r="G156" s="40">
        <v>38.9</v>
      </c>
      <c r="H156" s="41"/>
    </row>
    <row r="157" spans="1:8" ht="12.75">
      <c r="A157" s="10" t="s">
        <v>459</v>
      </c>
      <c r="B157" s="10"/>
      <c r="C157" s="10" t="s">
        <v>460</v>
      </c>
      <c r="D157" s="10" t="s">
        <v>461</v>
      </c>
      <c r="E157" s="10" t="s">
        <v>143</v>
      </c>
      <c r="F157" s="10"/>
      <c r="G157" s="40">
        <v>18.2</v>
      </c>
      <c r="H157" s="41"/>
    </row>
    <row r="158" spans="1:8" ht="12.75">
      <c r="A158" s="10" t="s">
        <v>462</v>
      </c>
      <c r="B158" s="10"/>
      <c r="C158" s="10" t="s">
        <v>463</v>
      </c>
      <c r="D158" s="10" t="s">
        <v>464</v>
      </c>
      <c r="E158" s="10" t="s">
        <v>143</v>
      </c>
      <c r="F158" s="10"/>
      <c r="G158" s="40">
        <v>117.7</v>
      </c>
      <c r="H158" s="9" t="s">
        <v>1125</v>
      </c>
    </row>
    <row r="159" spans="1:8" ht="12.75">
      <c r="A159" s="10" t="s">
        <v>465</v>
      </c>
      <c r="B159" s="10"/>
      <c r="C159" s="10" t="s">
        <v>466</v>
      </c>
      <c r="D159" s="10" t="s">
        <v>467</v>
      </c>
      <c r="E159" s="10" t="s">
        <v>71</v>
      </c>
      <c r="F159" s="10" t="s">
        <v>468</v>
      </c>
      <c r="G159" s="40">
        <v>55.92</v>
      </c>
      <c r="H159" s="41"/>
    </row>
    <row r="160" spans="1:7" ht="12.75">
      <c r="A160" s="10"/>
      <c r="B160" s="10"/>
      <c r="C160" s="10"/>
      <c r="D160" s="10"/>
      <c r="E160" s="10"/>
      <c r="F160" s="10" t="s">
        <v>469</v>
      </c>
      <c r="G160" s="40">
        <v>4.67</v>
      </c>
    </row>
    <row r="161" spans="1:7" ht="12.75">
      <c r="A161" s="10"/>
      <c r="B161" s="10"/>
      <c r="C161" s="10"/>
      <c r="D161" s="10"/>
      <c r="E161" s="10"/>
      <c r="F161" s="10" t="s">
        <v>470</v>
      </c>
      <c r="G161" s="40">
        <v>2.73</v>
      </c>
    </row>
    <row r="162" spans="1:7" ht="12.75">
      <c r="A162" s="10"/>
      <c r="B162" s="10"/>
      <c r="C162" s="10"/>
      <c r="D162" s="10"/>
      <c r="E162" s="10"/>
      <c r="F162" s="10" t="s">
        <v>471</v>
      </c>
      <c r="G162" s="40">
        <v>11.77</v>
      </c>
    </row>
    <row r="163" spans="1:7" ht="12.75">
      <c r="A163" s="10"/>
      <c r="B163" s="10"/>
      <c r="C163" s="10"/>
      <c r="D163" s="10"/>
      <c r="E163" s="10"/>
      <c r="F163" s="10" t="s">
        <v>472</v>
      </c>
      <c r="G163" s="40">
        <v>3.66</v>
      </c>
    </row>
    <row r="164" spans="1:8" ht="12.75">
      <c r="A164" s="10" t="s">
        <v>473</v>
      </c>
      <c r="B164" s="10"/>
      <c r="C164" s="10" t="s">
        <v>474</v>
      </c>
      <c r="D164" s="10" t="s">
        <v>475</v>
      </c>
      <c r="E164" s="10" t="s">
        <v>143</v>
      </c>
      <c r="F164" s="10"/>
      <c r="G164" s="40">
        <v>2.9</v>
      </c>
      <c r="H164" s="41"/>
    </row>
    <row r="165" spans="1:8" ht="12.75">
      <c r="A165" s="10" t="s">
        <v>476</v>
      </c>
      <c r="B165" s="10"/>
      <c r="C165" s="10" t="s">
        <v>477</v>
      </c>
      <c r="D165" s="10" t="s">
        <v>478</v>
      </c>
      <c r="E165" s="10" t="s">
        <v>131</v>
      </c>
      <c r="F165" s="10"/>
      <c r="G165" s="40">
        <v>1</v>
      </c>
      <c r="H165" s="41" t="s">
        <v>72</v>
      </c>
    </row>
    <row r="166" spans="1:8" ht="12.75">
      <c r="A166" s="10" t="s">
        <v>479</v>
      </c>
      <c r="B166" s="10"/>
      <c r="C166" s="10" t="s">
        <v>480</v>
      </c>
      <c r="D166" s="10" t="s">
        <v>481</v>
      </c>
      <c r="E166" s="10" t="s">
        <v>143</v>
      </c>
      <c r="F166" s="10"/>
      <c r="G166" s="40">
        <v>1</v>
      </c>
      <c r="H166" s="9" t="s">
        <v>1126</v>
      </c>
    </row>
    <row r="167" spans="1:8" ht="12.75">
      <c r="A167" s="10" t="s">
        <v>482</v>
      </c>
      <c r="B167" s="10"/>
      <c r="C167" s="10" t="s">
        <v>483</v>
      </c>
      <c r="D167" s="10" t="s">
        <v>484</v>
      </c>
      <c r="E167" s="10" t="s">
        <v>131</v>
      </c>
      <c r="F167" s="10"/>
      <c r="G167" s="40">
        <v>1</v>
      </c>
      <c r="H167" s="41"/>
    </row>
    <row r="168" spans="1:8" ht="12.75">
      <c r="A168" s="10" t="s">
        <v>485</v>
      </c>
      <c r="B168" s="10"/>
      <c r="C168" s="10" t="s">
        <v>486</v>
      </c>
      <c r="D168" s="10" t="s">
        <v>487</v>
      </c>
      <c r="E168" s="10" t="s">
        <v>143</v>
      </c>
      <c r="F168" s="10"/>
      <c r="G168" s="40">
        <v>2.9</v>
      </c>
      <c r="H168" s="9" t="s">
        <v>1127</v>
      </c>
    </row>
    <row r="169" spans="1:8" ht="12.75">
      <c r="A169" s="10" t="s">
        <v>488</v>
      </c>
      <c r="B169" s="10"/>
      <c r="C169" s="10" t="s">
        <v>489</v>
      </c>
      <c r="D169" s="10" t="s">
        <v>490</v>
      </c>
      <c r="E169" s="10" t="s">
        <v>131</v>
      </c>
      <c r="F169" s="10"/>
      <c r="G169" s="40">
        <v>2</v>
      </c>
      <c r="H169" s="41" t="s">
        <v>72</v>
      </c>
    </row>
    <row r="170" spans="1:8" ht="12.75">
      <c r="A170" s="10" t="s">
        <v>491</v>
      </c>
      <c r="B170" s="10"/>
      <c r="C170" s="10" t="s">
        <v>492</v>
      </c>
      <c r="D170" s="10" t="s">
        <v>493</v>
      </c>
      <c r="E170" s="10" t="s">
        <v>131</v>
      </c>
      <c r="F170" s="10"/>
      <c r="G170" s="40">
        <v>5</v>
      </c>
      <c r="H170" s="41" t="s">
        <v>72</v>
      </c>
    </row>
    <row r="171" spans="1:8" ht="12.75">
      <c r="A171" s="10" t="s">
        <v>494</v>
      </c>
      <c r="B171" s="10"/>
      <c r="C171" s="10" t="s">
        <v>495</v>
      </c>
      <c r="D171" s="10" t="s">
        <v>496</v>
      </c>
      <c r="E171" s="10" t="s">
        <v>143</v>
      </c>
      <c r="F171" s="10"/>
      <c r="G171" s="40">
        <v>2.9</v>
      </c>
      <c r="H171" s="9" t="s">
        <v>1128</v>
      </c>
    </row>
    <row r="172" spans="1:8" ht="12.75">
      <c r="A172" s="10" t="s">
        <v>497</v>
      </c>
      <c r="B172" s="10"/>
      <c r="C172" s="10" t="s">
        <v>498</v>
      </c>
      <c r="D172" s="10" t="s">
        <v>499</v>
      </c>
      <c r="E172" s="10" t="s">
        <v>143</v>
      </c>
      <c r="F172" s="10"/>
      <c r="G172" s="40">
        <v>1.75</v>
      </c>
      <c r="H172" s="41"/>
    </row>
    <row r="173" spans="1:8" ht="12.75">
      <c r="A173" s="10" t="s">
        <v>500</v>
      </c>
      <c r="B173" s="10"/>
      <c r="C173" s="10" t="s">
        <v>501</v>
      </c>
      <c r="D173" s="10" t="s">
        <v>502</v>
      </c>
      <c r="E173" s="10" t="s">
        <v>143</v>
      </c>
      <c r="F173" s="10" t="s">
        <v>503</v>
      </c>
      <c r="G173" s="40">
        <v>18.6</v>
      </c>
      <c r="H173" s="9" t="s">
        <v>1129</v>
      </c>
    </row>
    <row r="174" spans="1:8" ht="12.75">
      <c r="A174" s="10" t="s">
        <v>504</v>
      </c>
      <c r="B174" s="10"/>
      <c r="C174" s="10" t="s">
        <v>505</v>
      </c>
      <c r="D174" s="10" t="s">
        <v>506</v>
      </c>
      <c r="E174" s="10" t="s">
        <v>143</v>
      </c>
      <c r="F174" s="10"/>
      <c r="G174" s="40">
        <v>18.6</v>
      </c>
      <c r="H174" s="9" t="s">
        <v>1128</v>
      </c>
    </row>
    <row r="175" spans="1:8" ht="12.75">
      <c r="A175" s="10" t="s">
        <v>507</v>
      </c>
      <c r="B175" s="10"/>
      <c r="C175" s="10" t="s">
        <v>508</v>
      </c>
      <c r="D175" s="10" t="s">
        <v>509</v>
      </c>
      <c r="E175" s="10" t="s">
        <v>143</v>
      </c>
      <c r="F175" s="10" t="s">
        <v>510</v>
      </c>
      <c r="G175" s="40">
        <v>10.4</v>
      </c>
      <c r="H175" s="9" t="s">
        <v>1130</v>
      </c>
    </row>
    <row r="176" spans="1:8" ht="12.75">
      <c r="A176" s="10" t="s">
        <v>511</v>
      </c>
      <c r="B176" s="10"/>
      <c r="C176" s="10" t="s">
        <v>505</v>
      </c>
      <c r="D176" s="10" t="s">
        <v>512</v>
      </c>
      <c r="E176" s="10" t="s">
        <v>143</v>
      </c>
      <c r="F176" s="10"/>
      <c r="G176" s="40">
        <v>1.75</v>
      </c>
      <c r="H176" s="9" t="s">
        <v>1131</v>
      </c>
    </row>
    <row r="177" spans="1:8" ht="12.75">
      <c r="A177" s="10" t="s">
        <v>513</v>
      </c>
      <c r="B177" s="10"/>
      <c r="C177" s="10" t="s">
        <v>501</v>
      </c>
      <c r="D177" s="10" t="s">
        <v>514</v>
      </c>
      <c r="E177" s="10" t="s">
        <v>143</v>
      </c>
      <c r="F177" s="10"/>
      <c r="G177" s="40">
        <v>1.75</v>
      </c>
      <c r="H177" s="9" t="s">
        <v>1132</v>
      </c>
    </row>
    <row r="178" spans="1:8" ht="12.75">
      <c r="A178" s="10" t="s">
        <v>515</v>
      </c>
      <c r="B178" s="10"/>
      <c r="C178" s="10" t="s">
        <v>516</v>
      </c>
      <c r="D178" s="10" t="s">
        <v>517</v>
      </c>
      <c r="E178" s="10" t="s">
        <v>143</v>
      </c>
      <c r="F178" s="10" t="s">
        <v>518</v>
      </c>
      <c r="G178" s="40">
        <v>375.6</v>
      </c>
      <c r="H178" s="41" t="s">
        <v>72</v>
      </c>
    </row>
    <row r="179" spans="1:8" ht="12.75">
      <c r="A179" s="10" t="s">
        <v>519</v>
      </c>
      <c r="B179" s="10"/>
      <c r="C179" s="10" t="s">
        <v>520</v>
      </c>
      <c r="D179" s="10" t="s">
        <v>521</v>
      </c>
      <c r="E179" s="10" t="s">
        <v>131</v>
      </c>
      <c r="F179" s="10" t="s">
        <v>459</v>
      </c>
      <c r="G179" s="40">
        <v>95</v>
      </c>
      <c r="H179" s="41"/>
    </row>
    <row r="180" spans="1:8" ht="12.75">
      <c r="A180" s="10" t="s">
        <v>522</v>
      </c>
      <c r="B180" s="10"/>
      <c r="C180" s="10" t="s">
        <v>520</v>
      </c>
      <c r="D180" s="10" t="s">
        <v>523</v>
      </c>
      <c r="E180" s="10" t="s">
        <v>131</v>
      </c>
      <c r="F180" s="10" t="s">
        <v>210</v>
      </c>
      <c r="G180" s="40">
        <v>36</v>
      </c>
      <c r="H180" s="41"/>
    </row>
    <row r="181" spans="1:8" ht="12.75">
      <c r="A181" s="10" t="s">
        <v>524</v>
      </c>
      <c r="B181" s="10"/>
      <c r="C181" s="10" t="s">
        <v>520</v>
      </c>
      <c r="D181" s="10" t="s">
        <v>525</v>
      </c>
      <c r="E181" s="10" t="s">
        <v>131</v>
      </c>
      <c r="F181" s="10" t="s">
        <v>325</v>
      </c>
      <c r="G181" s="40">
        <v>60</v>
      </c>
      <c r="H181" s="41"/>
    </row>
    <row r="182" spans="1:8" ht="12.75">
      <c r="A182" s="10" t="s">
        <v>526</v>
      </c>
      <c r="B182" s="10"/>
      <c r="C182" s="10" t="s">
        <v>527</v>
      </c>
      <c r="D182" s="10" t="s">
        <v>528</v>
      </c>
      <c r="E182" s="10" t="s">
        <v>143</v>
      </c>
      <c r="F182" s="10" t="s">
        <v>47</v>
      </c>
      <c r="G182" s="40">
        <v>1</v>
      </c>
      <c r="H182" s="41"/>
    </row>
    <row r="183" spans="1:8" ht="12.75">
      <c r="A183" s="10" t="s">
        <v>529</v>
      </c>
      <c r="B183" s="10"/>
      <c r="C183" s="10" t="s">
        <v>530</v>
      </c>
      <c r="D183" s="10" t="s">
        <v>531</v>
      </c>
      <c r="E183" s="10" t="s">
        <v>50</v>
      </c>
      <c r="F183" s="10" t="s">
        <v>532</v>
      </c>
      <c r="G183" s="40">
        <v>120</v>
      </c>
      <c r="H183" s="9" t="s">
        <v>1125</v>
      </c>
    </row>
    <row r="184" spans="1:8" ht="12.75">
      <c r="A184" s="10" t="s">
        <v>533</v>
      </c>
      <c r="B184" s="10"/>
      <c r="C184" s="10" t="s">
        <v>534</v>
      </c>
      <c r="D184" s="10" t="s">
        <v>535</v>
      </c>
      <c r="E184" s="10" t="s">
        <v>131</v>
      </c>
      <c r="F184" s="10"/>
      <c r="G184" s="40">
        <v>6</v>
      </c>
      <c r="H184" s="9" t="s">
        <v>1133</v>
      </c>
    </row>
    <row r="185" spans="1:8" ht="12.75">
      <c r="A185" s="10" t="s">
        <v>536</v>
      </c>
      <c r="B185" s="10"/>
      <c r="C185" s="10" t="s">
        <v>540</v>
      </c>
      <c r="D185" s="10" t="s">
        <v>541</v>
      </c>
      <c r="E185" s="10" t="s">
        <v>113</v>
      </c>
      <c r="F185" s="10"/>
      <c r="G185" s="40">
        <v>1.9</v>
      </c>
      <c r="H185" s="41" t="s">
        <v>72</v>
      </c>
    </row>
    <row r="186" spans="1:8" ht="12.75">
      <c r="A186" s="10" t="s">
        <v>539</v>
      </c>
      <c r="B186" s="10"/>
      <c r="C186" s="10" t="s">
        <v>545</v>
      </c>
      <c r="D186" s="10" t="s">
        <v>546</v>
      </c>
      <c r="E186" s="10" t="s">
        <v>131</v>
      </c>
      <c r="F186" s="10" t="s">
        <v>547</v>
      </c>
      <c r="G186" s="40">
        <v>13</v>
      </c>
      <c r="H186" s="41" t="s">
        <v>72</v>
      </c>
    </row>
    <row r="187" spans="1:8" ht="12.75">
      <c r="A187" s="10" t="s">
        <v>544</v>
      </c>
      <c r="B187" s="10"/>
      <c r="C187" s="10" t="s">
        <v>549</v>
      </c>
      <c r="D187" s="10" t="s">
        <v>550</v>
      </c>
      <c r="E187" s="10" t="s">
        <v>131</v>
      </c>
      <c r="F187" s="10" t="s">
        <v>551</v>
      </c>
      <c r="G187" s="40">
        <v>11</v>
      </c>
      <c r="H187" s="41" t="s">
        <v>72</v>
      </c>
    </row>
    <row r="188" spans="1:8" ht="12.75">
      <c r="A188" s="10" t="s">
        <v>548</v>
      </c>
      <c r="B188" s="10"/>
      <c r="C188" s="10" t="s">
        <v>553</v>
      </c>
      <c r="D188" s="10" t="s">
        <v>554</v>
      </c>
      <c r="E188" s="10" t="s">
        <v>131</v>
      </c>
      <c r="F188" s="10" t="s">
        <v>555</v>
      </c>
      <c r="G188" s="40">
        <v>1</v>
      </c>
      <c r="H188" s="41" t="s">
        <v>72</v>
      </c>
    </row>
    <row r="189" spans="1:8" ht="12.75">
      <c r="A189" s="10" t="s">
        <v>552</v>
      </c>
      <c r="B189" s="10"/>
      <c r="C189" s="10" t="s">
        <v>137</v>
      </c>
      <c r="D189" s="10" t="s">
        <v>557</v>
      </c>
      <c r="E189" s="10" t="s">
        <v>131</v>
      </c>
      <c r="F189" s="10" t="s">
        <v>558</v>
      </c>
      <c r="G189" s="40">
        <v>8</v>
      </c>
      <c r="H189" s="41"/>
    </row>
    <row r="190" spans="1:7" ht="12.75">
      <c r="A190" s="10"/>
      <c r="B190" s="10"/>
      <c r="C190" s="10"/>
      <c r="D190" s="10"/>
      <c r="E190" s="10"/>
      <c r="F190" s="10" t="s">
        <v>559</v>
      </c>
      <c r="G190" s="40">
        <v>0</v>
      </c>
    </row>
    <row r="191" spans="1:8" ht="12.75">
      <c r="A191" s="10" t="s">
        <v>556</v>
      </c>
      <c r="B191" s="10"/>
      <c r="C191" s="10" t="s">
        <v>137</v>
      </c>
      <c r="D191" s="10" t="s">
        <v>561</v>
      </c>
      <c r="E191" s="10" t="s">
        <v>131</v>
      </c>
      <c r="F191" s="10" t="s">
        <v>562</v>
      </c>
      <c r="G191" s="40">
        <v>5</v>
      </c>
      <c r="H191" s="41"/>
    </row>
    <row r="192" spans="1:7" ht="12.75">
      <c r="A192" s="10"/>
      <c r="B192" s="10"/>
      <c r="C192" s="10"/>
      <c r="D192" s="10"/>
      <c r="E192" s="10"/>
      <c r="F192" s="10" t="s">
        <v>563</v>
      </c>
      <c r="G192" s="40">
        <v>0</v>
      </c>
    </row>
    <row r="193" spans="1:8" ht="12.75">
      <c r="A193" s="10" t="s">
        <v>560</v>
      </c>
      <c r="B193" s="10"/>
      <c r="C193" s="10" t="s">
        <v>137</v>
      </c>
      <c r="D193" s="10" t="s">
        <v>565</v>
      </c>
      <c r="E193" s="10" t="s">
        <v>131</v>
      </c>
      <c r="F193" s="10" t="s">
        <v>566</v>
      </c>
      <c r="G193" s="40">
        <v>10</v>
      </c>
      <c r="H193" s="41"/>
    </row>
    <row r="194" spans="1:7" ht="12.75">
      <c r="A194" s="10"/>
      <c r="B194" s="10"/>
      <c r="C194" s="10"/>
      <c r="D194" s="10"/>
      <c r="E194" s="10"/>
      <c r="F194" s="10" t="s">
        <v>563</v>
      </c>
      <c r="G194" s="40">
        <v>0</v>
      </c>
    </row>
    <row r="195" spans="1:8" ht="12.75">
      <c r="A195" s="10" t="s">
        <v>564</v>
      </c>
      <c r="B195" s="10"/>
      <c r="C195" s="10" t="s">
        <v>137</v>
      </c>
      <c r="D195" s="10" t="s">
        <v>568</v>
      </c>
      <c r="E195" s="10" t="s">
        <v>131</v>
      </c>
      <c r="F195" s="10" t="s">
        <v>569</v>
      </c>
      <c r="G195" s="40">
        <v>1</v>
      </c>
      <c r="H195" s="41"/>
    </row>
    <row r="196" spans="1:7" ht="12.75">
      <c r="A196" s="10"/>
      <c r="B196" s="10"/>
      <c r="C196" s="10"/>
      <c r="D196" s="10"/>
      <c r="E196" s="10"/>
      <c r="F196" s="10" t="s">
        <v>563</v>
      </c>
      <c r="G196" s="40">
        <v>0</v>
      </c>
    </row>
    <row r="197" spans="1:8" ht="12.75">
      <c r="A197" s="10" t="s">
        <v>567</v>
      </c>
      <c r="B197" s="10"/>
      <c r="C197" s="10" t="s">
        <v>137</v>
      </c>
      <c r="D197" s="10" t="s">
        <v>571</v>
      </c>
      <c r="E197" s="10" t="s">
        <v>131</v>
      </c>
      <c r="F197" s="10" t="s">
        <v>572</v>
      </c>
      <c r="G197" s="40">
        <v>1</v>
      </c>
      <c r="H197" s="41"/>
    </row>
    <row r="198" spans="1:7" ht="12.75">
      <c r="A198" s="10"/>
      <c r="B198" s="10"/>
      <c r="C198" s="10"/>
      <c r="D198" s="10"/>
      <c r="E198" s="10"/>
      <c r="F198" s="10" t="s">
        <v>573</v>
      </c>
      <c r="G198" s="40">
        <v>0</v>
      </c>
    </row>
    <row r="199" spans="1:7" ht="12.75">
      <c r="A199" s="10"/>
      <c r="B199" s="10"/>
      <c r="C199" s="10"/>
      <c r="D199" s="10"/>
      <c r="E199" s="10"/>
      <c r="F199" s="10" t="s">
        <v>574</v>
      </c>
      <c r="G199" s="40">
        <v>0</v>
      </c>
    </row>
    <row r="200" spans="1:7" ht="12.75">
      <c r="A200" s="10"/>
      <c r="B200" s="10"/>
      <c r="C200" s="10"/>
      <c r="D200" s="10"/>
      <c r="E200" s="10"/>
      <c r="F200" s="10" t="s">
        <v>563</v>
      </c>
      <c r="G200" s="40">
        <v>0</v>
      </c>
    </row>
    <row r="201" spans="1:8" ht="12.75">
      <c r="A201" s="10" t="s">
        <v>570</v>
      </c>
      <c r="B201" s="10"/>
      <c r="C201" s="10" t="s">
        <v>576</v>
      </c>
      <c r="D201" s="10" t="s">
        <v>577</v>
      </c>
      <c r="E201" s="10" t="s">
        <v>131</v>
      </c>
      <c r="F201" s="10" t="s">
        <v>63</v>
      </c>
      <c r="G201" s="40">
        <v>6</v>
      </c>
      <c r="H201" s="41" t="s">
        <v>72</v>
      </c>
    </row>
    <row r="202" spans="1:8" ht="12.75">
      <c r="A202" s="10" t="s">
        <v>575</v>
      </c>
      <c r="B202" s="10"/>
      <c r="C202" s="10" t="s">
        <v>579</v>
      </c>
      <c r="D202" s="10" t="s">
        <v>580</v>
      </c>
      <c r="E202" s="10" t="s">
        <v>131</v>
      </c>
      <c r="F202" s="10"/>
      <c r="G202" s="40">
        <v>6</v>
      </c>
      <c r="H202" s="41"/>
    </row>
    <row r="203" spans="1:8" ht="12.75">
      <c r="A203" s="10" t="s">
        <v>578</v>
      </c>
      <c r="B203" s="10"/>
      <c r="C203" s="10" t="s">
        <v>582</v>
      </c>
      <c r="D203" s="10" t="s">
        <v>583</v>
      </c>
      <c r="E203" s="10" t="s">
        <v>113</v>
      </c>
      <c r="F203" s="10"/>
      <c r="G203" s="40">
        <v>0.44</v>
      </c>
      <c r="H203" s="41" t="s">
        <v>72</v>
      </c>
    </row>
    <row r="204" spans="1:8" ht="12.75">
      <c r="A204" s="10" t="s">
        <v>581</v>
      </c>
      <c r="B204" s="10"/>
      <c r="C204" s="10" t="s">
        <v>587</v>
      </c>
      <c r="D204" s="10" t="s">
        <v>588</v>
      </c>
      <c r="E204" s="10" t="s">
        <v>108</v>
      </c>
      <c r="F204" s="10" t="s">
        <v>589</v>
      </c>
      <c r="G204" s="40">
        <v>772.38</v>
      </c>
      <c r="H204" s="41" t="s">
        <v>72</v>
      </c>
    </row>
    <row r="205" spans="1:8" ht="12.75">
      <c r="A205" s="10" t="s">
        <v>586</v>
      </c>
      <c r="B205" s="10"/>
      <c r="C205" s="10" t="s">
        <v>591</v>
      </c>
      <c r="D205" s="10" t="s">
        <v>592</v>
      </c>
      <c r="E205" s="10" t="s">
        <v>593</v>
      </c>
      <c r="F205" s="10" t="s">
        <v>594</v>
      </c>
      <c r="G205" s="40">
        <v>0.2</v>
      </c>
      <c r="H205" s="41" t="s">
        <v>72</v>
      </c>
    </row>
    <row r="206" spans="1:7" ht="12.75">
      <c r="A206" s="10"/>
      <c r="B206" s="10"/>
      <c r="C206" s="10"/>
      <c r="D206" s="10"/>
      <c r="E206" s="10"/>
      <c r="F206" s="10" t="s">
        <v>595</v>
      </c>
      <c r="G206" s="40">
        <v>0.01</v>
      </c>
    </row>
    <row r="207" spans="1:8" ht="12.75">
      <c r="A207" s="10" t="s">
        <v>590</v>
      </c>
      <c r="B207" s="10"/>
      <c r="C207" s="10" t="s">
        <v>597</v>
      </c>
      <c r="D207" s="10" t="s">
        <v>598</v>
      </c>
      <c r="E207" s="10" t="s">
        <v>593</v>
      </c>
      <c r="F207" s="10" t="s">
        <v>599</v>
      </c>
      <c r="G207" s="40">
        <v>0.62</v>
      </c>
      <c r="H207" s="41" t="s">
        <v>72</v>
      </c>
    </row>
    <row r="208" spans="1:7" ht="12.75">
      <c r="A208" s="10"/>
      <c r="B208" s="10"/>
      <c r="C208" s="10"/>
      <c r="D208" s="10"/>
      <c r="E208" s="10"/>
      <c r="F208" s="10" t="s">
        <v>600</v>
      </c>
      <c r="G208" s="40">
        <v>0.04</v>
      </c>
    </row>
    <row r="209" spans="1:8" ht="12.75">
      <c r="A209" s="10" t="s">
        <v>596</v>
      </c>
      <c r="B209" s="10"/>
      <c r="C209" s="10" t="s">
        <v>602</v>
      </c>
      <c r="D209" s="10" t="s">
        <v>603</v>
      </c>
      <c r="E209" s="10" t="s">
        <v>108</v>
      </c>
      <c r="F209" s="10" t="s">
        <v>604</v>
      </c>
      <c r="G209" s="40">
        <v>858.88</v>
      </c>
      <c r="H209" s="41"/>
    </row>
    <row r="210" spans="1:7" ht="12.75">
      <c r="A210" s="10"/>
      <c r="B210" s="10"/>
      <c r="C210" s="10"/>
      <c r="D210" s="10"/>
      <c r="E210" s="10"/>
      <c r="F210" s="10" t="s">
        <v>300</v>
      </c>
      <c r="G210" s="40">
        <v>86.5</v>
      </c>
    </row>
    <row r="211" spans="1:8" ht="12.75">
      <c r="A211" s="10" t="s">
        <v>601</v>
      </c>
      <c r="B211" s="10"/>
      <c r="C211" s="10" t="s">
        <v>606</v>
      </c>
      <c r="D211" s="10" t="s">
        <v>607</v>
      </c>
      <c r="E211" s="10" t="s">
        <v>131</v>
      </c>
      <c r="F211" s="10"/>
      <c r="G211" s="40">
        <v>252</v>
      </c>
      <c r="H211" s="41"/>
    </row>
    <row r="212" spans="1:8" ht="12.75">
      <c r="A212" s="10" t="s">
        <v>605</v>
      </c>
      <c r="B212" s="10"/>
      <c r="C212" s="10" t="s">
        <v>609</v>
      </c>
      <c r="D212" s="10" t="s">
        <v>610</v>
      </c>
      <c r="E212" s="10" t="s">
        <v>143</v>
      </c>
      <c r="F212" s="10" t="s">
        <v>611</v>
      </c>
      <c r="G212" s="40">
        <v>12.84</v>
      </c>
      <c r="H212" s="41" t="s">
        <v>72</v>
      </c>
    </row>
    <row r="213" spans="1:7" ht="12.75">
      <c r="A213" s="10"/>
      <c r="B213" s="10"/>
      <c r="C213" s="10"/>
      <c r="D213" s="10"/>
      <c r="E213" s="10"/>
      <c r="F213" s="10" t="s">
        <v>612</v>
      </c>
      <c r="G213" s="40">
        <v>0.84</v>
      </c>
    </row>
    <row r="214" spans="1:8" ht="12.75">
      <c r="A214" s="10" t="s">
        <v>608</v>
      </c>
      <c r="B214" s="10"/>
      <c r="C214" s="10" t="s">
        <v>614</v>
      </c>
      <c r="D214" s="10" t="s">
        <v>615</v>
      </c>
      <c r="E214" s="10" t="s">
        <v>593</v>
      </c>
      <c r="F214" s="10" t="s">
        <v>616</v>
      </c>
      <c r="G214" s="40">
        <v>0.01</v>
      </c>
      <c r="H214" s="41" t="s">
        <v>72</v>
      </c>
    </row>
    <row r="215" spans="1:7" ht="12.75">
      <c r="A215" s="10"/>
      <c r="B215" s="10"/>
      <c r="C215" s="10"/>
      <c r="D215" s="10"/>
      <c r="E215" s="10"/>
      <c r="F215" s="10" t="s">
        <v>617</v>
      </c>
      <c r="G215" s="40">
        <v>0</v>
      </c>
    </row>
    <row r="216" spans="1:8" ht="12.75">
      <c r="A216" s="10" t="s">
        <v>613</v>
      </c>
      <c r="B216" s="10"/>
      <c r="C216" s="10" t="s">
        <v>619</v>
      </c>
      <c r="D216" s="10" t="s">
        <v>620</v>
      </c>
      <c r="E216" s="10" t="s">
        <v>108</v>
      </c>
      <c r="F216" s="10" t="s">
        <v>621</v>
      </c>
      <c r="G216" s="40">
        <v>49.8</v>
      </c>
      <c r="H216" s="41" t="s">
        <v>72</v>
      </c>
    </row>
    <row r="217" spans="1:8" ht="12.75">
      <c r="A217" s="10" t="s">
        <v>618</v>
      </c>
      <c r="B217" s="10"/>
      <c r="C217" s="10" t="s">
        <v>623</v>
      </c>
      <c r="D217" s="10" t="s">
        <v>624</v>
      </c>
      <c r="E217" s="10" t="s">
        <v>625</v>
      </c>
      <c r="F217" s="10"/>
      <c r="G217" s="40">
        <v>60</v>
      </c>
      <c r="H217" s="9" t="s">
        <v>1134</v>
      </c>
    </row>
    <row r="218" spans="1:8" ht="12.75">
      <c r="A218" s="10" t="s">
        <v>622</v>
      </c>
      <c r="B218" s="10"/>
      <c r="C218" s="10" t="s">
        <v>627</v>
      </c>
      <c r="D218" s="10" t="s">
        <v>628</v>
      </c>
      <c r="E218" s="10" t="s">
        <v>113</v>
      </c>
      <c r="F218" s="10"/>
      <c r="G218" s="40">
        <v>1.45</v>
      </c>
      <c r="H218" s="41" t="s">
        <v>72</v>
      </c>
    </row>
    <row r="219" spans="1:8" ht="12.75">
      <c r="A219" s="10" t="s">
        <v>626</v>
      </c>
      <c r="B219" s="10"/>
      <c r="C219" s="10" t="s">
        <v>630</v>
      </c>
      <c r="D219" s="10" t="s">
        <v>631</v>
      </c>
      <c r="E219" s="10" t="s">
        <v>108</v>
      </c>
      <c r="F219" s="10" t="s">
        <v>632</v>
      </c>
      <c r="G219" s="40">
        <v>126.5</v>
      </c>
      <c r="H219" s="41" t="s">
        <v>72</v>
      </c>
    </row>
    <row r="220" spans="1:8" ht="12.75">
      <c r="A220" s="10" t="s">
        <v>629</v>
      </c>
      <c r="B220" s="10"/>
      <c r="C220" s="10" t="s">
        <v>137</v>
      </c>
      <c r="D220" s="10" t="s">
        <v>634</v>
      </c>
      <c r="E220" s="10" t="s">
        <v>131</v>
      </c>
      <c r="F220" s="10"/>
      <c r="G220" s="40">
        <v>8</v>
      </c>
      <c r="H220" s="41"/>
    </row>
    <row r="221" spans="1:8" ht="12.75">
      <c r="A221" s="10" t="s">
        <v>633</v>
      </c>
      <c r="B221" s="10"/>
      <c r="C221" s="10" t="s">
        <v>636</v>
      </c>
      <c r="D221" s="10" t="s">
        <v>637</v>
      </c>
      <c r="E221" s="10" t="s">
        <v>71</v>
      </c>
      <c r="F221" s="10" t="s">
        <v>638</v>
      </c>
      <c r="G221" s="40">
        <v>6.86</v>
      </c>
      <c r="H221" s="41" t="s">
        <v>72</v>
      </c>
    </row>
    <row r="222" spans="1:7" ht="12.75">
      <c r="A222" s="10"/>
      <c r="B222" s="10"/>
      <c r="C222" s="10"/>
      <c r="D222" s="10"/>
      <c r="E222" s="10"/>
      <c r="F222" s="10" t="s">
        <v>639</v>
      </c>
      <c r="G222" s="40">
        <v>2.06</v>
      </c>
    </row>
    <row r="223" spans="1:8" ht="12.75">
      <c r="A223" s="10" t="s">
        <v>635</v>
      </c>
      <c r="B223" s="10"/>
      <c r="C223" s="10" t="s">
        <v>137</v>
      </c>
      <c r="D223" s="10" t="s">
        <v>641</v>
      </c>
      <c r="E223" s="10" t="s">
        <v>131</v>
      </c>
      <c r="F223" s="10"/>
      <c r="G223" s="40">
        <v>5</v>
      </c>
      <c r="H223" s="41"/>
    </row>
    <row r="224" spans="1:8" ht="12.75">
      <c r="A224" s="10" t="s">
        <v>640</v>
      </c>
      <c r="B224" s="10"/>
      <c r="C224" s="10" t="s">
        <v>146</v>
      </c>
      <c r="D224" s="10" t="s">
        <v>643</v>
      </c>
      <c r="E224" s="10" t="s">
        <v>131</v>
      </c>
      <c r="F224" s="10" t="s">
        <v>370</v>
      </c>
      <c r="G224" s="40">
        <v>72</v>
      </c>
      <c r="H224" s="41"/>
    </row>
    <row r="225" spans="1:8" ht="12.75">
      <c r="A225" s="10" t="s">
        <v>642</v>
      </c>
      <c r="B225" s="10"/>
      <c r="C225" s="10" t="s">
        <v>645</v>
      </c>
      <c r="D225" s="10" t="s">
        <v>646</v>
      </c>
      <c r="E225" s="10" t="s">
        <v>131</v>
      </c>
      <c r="F225" s="10" t="s">
        <v>370</v>
      </c>
      <c r="G225" s="40">
        <v>72</v>
      </c>
      <c r="H225" s="41"/>
    </row>
    <row r="226" spans="1:8" ht="12.75">
      <c r="A226" s="10" t="s">
        <v>644</v>
      </c>
      <c r="B226" s="10"/>
      <c r="C226" s="10" t="s">
        <v>648</v>
      </c>
      <c r="D226" s="10" t="s">
        <v>649</v>
      </c>
      <c r="E226" s="10" t="s">
        <v>131</v>
      </c>
      <c r="F226" s="10"/>
      <c r="G226" s="40">
        <v>1</v>
      </c>
      <c r="H226" s="41"/>
    </row>
    <row r="227" spans="1:8" ht="12.75">
      <c r="A227" s="10" t="s">
        <v>647</v>
      </c>
      <c r="B227" s="10"/>
      <c r="C227" s="10" t="s">
        <v>651</v>
      </c>
      <c r="D227" s="10" t="s">
        <v>652</v>
      </c>
      <c r="E227" s="10" t="s">
        <v>131</v>
      </c>
      <c r="F227" s="10"/>
      <c r="G227" s="40">
        <v>2</v>
      </c>
      <c r="H227" s="41"/>
    </row>
    <row r="228" spans="1:8" ht="12.75">
      <c r="A228" s="10" t="s">
        <v>650</v>
      </c>
      <c r="B228" s="10"/>
      <c r="C228" s="10" t="s">
        <v>648</v>
      </c>
      <c r="D228" s="10" t="s">
        <v>654</v>
      </c>
      <c r="E228" s="10" t="s">
        <v>131</v>
      </c>
      <c r="F228" s="10"/>
      <c r="G228" s="40">
        <v>1</v>
      </c>
      <c r="H228" s="41"/>
    </row>
    <row r="229" spans="1:8" ht="12.75">
      <c r="A229" s="10" t="s">
        <v>653</v>
      </c>
      <c r="B229" s="10"/>
      <c r="C229" s="10" t="s">
        <v>273</v>
      </c>
      <c r="D229" s="10" t="s">
        <v>656</v>
      </c>
      <c r="E229" s="10" t="s">
        <v>131</v>
      </c>
      <c r="F229" s="10"/>
      <c r="G229" s="40">
        <v>3</v>
      </c>
      <c r="H229" s="41"/>
    </row>
    <row r="230" spans="1:8" ht="12.75">
      <c r="A230" s="10" t="s">
        <v>655</v>
      </c>
      <c r="B230" s="10"/>
      <c r="C230" s="10" t="s">
        <v>658</v>
      </c>
      <c r="D230" s="10" t="s">
        <v>659</v>
      </c>
      <c r="E230" s="10" t="s">
        <v>108</v>
      </c>
      <c r="F230" s="10" t="s">
        <v>660</v>
      </c>
      <c r="G230" s="40">
        <v>1.26</v>
      </c>
      <c r="H230" s="41" t="s">
        <v>72</v>
      </c>
    </row>
    <row r="231" spans="1:8" ht="12.75">
      <c r="A231" s="10" t="s">
        <v>657</v>
      </c>
      <c r="B231" s="10"/>
      <c r="C231" s="10" t="s">
        <v>662</v>
      </c>
      <c r="D231" s="10" t="s">
        <v>663</v>
      </c>
      <c r="E231" s="10" t="s">
        <v>143</v>
      </c>
      <c r="F231" s="10" t="s">
        <v>664</v>
      </c>
      <c r="G231" s="40">
        <v>7.9</v>
      </c>
      <c r="H231" s="41" t="s">
        <v>72</v>
      </c>
    </row>
    <row r="232" spans="1:8" ht="12.75">
      <c r="A232" s="10" t="s">
        <v>661</v>
      </c>
      <c r="B232" s="10"/>
      <c r="C232" s="10" t="s">
        <v>666</v>
      </c>
      <c r="D232" s="10" t="s">
        <v>667</v>
      </c>
      <c r="E232" s="10" t="s">
        <v>108</v>
      </c>
      <c r="F232" s="10" t="s">
        <v>668</v>
      </c>
      <c r="G232" s="40">
        <v>122.9</v>
      </c>
      <c r="H232" s="41"/>
    </row>
    <row r="233" spans="1:7" ht="12.75">
      <c r="A233" s="10"/>
      <c r="B233" s="10"/>
      <c r="C233" s="10"/>
      <c r="D233" s="10"/>
      <c r="E233" s="10"/>
      <c r="F233" s="10" t="s">
        <v>555</v>
      </c>
      <c r="G233" s="40">
        <v>0.03</v>
      </c>
    </row>
    <row r="234" spans="1:8" ht="12.75">
      <c r="A234" s="10" t="s">
        <v>665</v>
      </c>
      <c r="B234" s="10"/>
      <c r="C234" s="10" t="s">
        <v>670</v>
      </c>
      <c r="D234" s="10" t="s">
        <v>671</v>
      </c>
      <c r="E234" s="10" t="s">
        <v>108</v>
      </c>
      <c r="F234" s="10" t="s">
        <v>397</v>
      </c>
      <c r="G234" s="40">
        <v>84.53</v>
      </c>
      <c r="H234" s="41"/>
    </row>
    <row r="235" spans="1:7" ht="12.75">
      <c r="A235" s="10"/>
      <c r="B235" s="10"/>
      <c r="C235" s="10"/>
      <c r="D235" s="10"/>
      <c r="E235" s="10"/>
      <c r="F235" s="10" t="s">
        <v>672</v>
      </c>
      <c r="G235" s="40">
        <v>5.53</v>
      </c>
    </row>
    <row r="236" spans="1:8" ht="12.75">
      <c r="A236" s="10" t="s">
        <v>669</v>
      </c>
      <c r="B236" s="10"/>
      <c r="C236" s="10" t="s">
        <v>609</v>
      </c>
      <c r="D236" s="10" t="s">
        <v>610</v>
      </c>
      <c r="E236" s="10" t="s">
        <v>143</v>
      </c>
      <c r="F236" s="10" t="s">
        <v>674</v>
      </c>
      <c r="G236" s="40">
        <v>9.2</v>
      </c>
      <c r="H236" s="41" t="s">
        <v>72</v>
      </c>
    </row>
    <row r="237" spans="1:7" ht="12.75">
      <c r="A237" s="10"/>
      <c r="B237" s="10"/>
      <c r="C237" s="10"/>
      <c r="D237" s="10"/>
      <c r="E237" s="10"/>
      <c r="F237" s="10" t="s">
        <v>675</v>
      </c>
      <c r="G237" s="40">
        <v>0.6</v>
      </c>
    </row>
    <row r="238" spans="1:8" ht="12.75">
      <c r="A238" s="10" t="s">
        <v>673</v>
      </c>
      <c r="B238" s="10"/>
      <c r="C238" s="10" t="s">
        <v>677</v>
      </c>
      <c r="D238" s="10" t="s">
        <v>678</v>
      </c>
      <c r="E238" s="10" t="s">
        <v>108</v>
      </c>
      <c r="F238" s="10" t="s">
        <v>679</v>
      </c>
      <c r="G238" s="40">
        <v>1.18</v>
      </c>
      <c r="H238" s="41"/>
    </row>
    <row r="239" spans="1:7" ht="12.75">
      <c r="A239" s="10"/>
      <c r="B239" s="10"/>
      <c r="C239" s="10"/>
      <c r="D239" s="10"/>
      <c r="E239" s="10"/>
      <c r="F239" s="10" t="s">
        <v>680</v>
      </c>
      <c r="G239" s="40">
        <v>0.08</v>
      </c>
    </row>
    <row r="240" spans="1:8" ht="12.75">
      <c r="A240" s="10" t="s">
        <v>676</v>
      </c>
      <c r="B240" s="10"/>
      <c r="C240" s="10" t="s">
        <v>682</v>
      </c>
      <c r="D240" s="10" t="s">
        <v>683</v>
      </c>
      <c r="E240" s="10" t="s">
        <v>108</v>
      </c>
      <c r="F240" s="10" t="s">
        <v>684</v>
      </c>
      <c r="G240" s="40">
        <v>21.29</v>
      </c>
      <c r="H240" s="41"/>
    </row>
    <row r="241" spans="1:7" ht="12.75">
      <c r="A241" s="10"/>
      <c r="B241" s="10"/>
      <c r="C241" s="10"/>
      <c r="D241" s="10"/>
      <c r="E241" s="10"/>
      <c r="F241" s="10" t="s">
        <v>685</v>
      </c>
      <c r="G241" s="40">
        <v>1.39</v>
      </c>
    </row>
    <row r="242" spans="1:8" ht="12.75">
      <c r="A242" s="10" t="s">
        <v>681</v>
      </c>
      <c r="B242" s="10"/>
      <c r="C242" s="10" t="s">
        <v>687</v>
      </c>
      <c r="D242" s="10" t="s">
        <v>688</v>
      </c>
      <c r="E242" s="10" t="s">
        <v>108</v>
      </c>
      <c r="F242" s="10" t="s">
        <v>689</v>
      </c>
      <c r="G242" s="40">
        <v>7.92</v>
      </c>
      <c r="H242" s="41"/>
    </row>
    <row r="243" spans="1:7" ht="12.75">
      <c r="A243" s="10"/>
      <c r="B243" s="10"/>
      <c r="C243" s="10"/>
      <c r="D243" s="10"/>
      <c r="E243" s="10"/>
      <c r="F243" s="10" t="s">
        <v>690</v>
      </c>
      <c r="G243" s="40">
        <v>0.52</v>
      </c>
    </row>
    <row r="244" spans="1:8" ht="12.75">
      <c r="A244" s="10" t="s">
        <v>686</v>
      </c>
      <c r="B244" s="10"/>
      <c r="C244" s="10" t="s">
        <v>692</v>
      </c>
      <c r="D244" s="10" t="s">
        <v>693</v>
      </c>
      <c r="E244" s="10" t="s">
        <v>131</v>
      </c>
      <c r="F244" s="10"/>
      <c r="G244" s="40">
        <v>32</v>
      </c>
      <c r="H244" s="41"/>
    </row>
    <row r="245" spans="1:8" ht="12.75">
      <c r="A245" s="10" t="s">
        <v>691</v>
      </c>
      <c r="B245" s="10"/>
      <c r="C245" s="10" t="s">
        <v>695</v>
      </c>
      <c r="D245" s="10" t="s">
        <v>696</v>
      </c>
      <c r="E245" s="10" t="s">
        <v>71</v>
      </c>
      <c r="F245" s="10" t="s">
        <v>697</v>
      </c>
      <c r="G245" s="40">
        <v>9.04</v>
      </c>
      <c r="H245" s="41"/>
    </row>
    <row r="246" spans="1:7" ht="12.75">
      <c r="A246" s="10"/>
      <c r="B246" s="10"/>
      <c r="C246" s="10"/>
      <c r="D246" s="10"/>
      <c r="E246" s="10"/>
      <c r="F246" s="10" t="s">
        <v>698</v>
      </c>
      <c r="G246" s="40">
        <v>5.27</v>
      </c>
    </row>
    <row r="247" spans="1:8" ht="12.75">
      <c r="A247" s="10" t="s">
        <v>694</v>
      </c>
      <c r="B247" s="10"/>
      <c r="C247" s="10" t="s">
        <v>666</v>
      </c>
      <c r="D247" s="10" t="s">
        <v>700</v>
      </c>
      <c r="E247" s="10" t="s">
        <v>108</v>
      </c>
      <c r="F247" s="10" t="s">
        <v>701</v>
      </c>
      <c r="G247" s="40">
        <v>147.2</v>
      </c>
      <c r="H247" s="41"/>
    </row>
    <row r="248" spans="1:8" ht="12.75">
      <c r="A248" s="10" t="s">
        <v>699</v>
      </c>
      <c r="B248" s="10"/>
      <c r="C248" s="10" t="s">
        <v>703</v>
      </c>
      <c r="D248" s="10" t="s">
        <v>704</v>
      </c>
      <c r="E248" s="10" t="s">
        <v>108</v>
      </c>
      <c r="F248" s="10" t="s">
        <v>705</v>
      </c>
      <c r="G248" s="40">
        <v>99.19</v>
      </c>
      <c r="H248" s="41"/>
    </row>
    <row r="249" spans="1:7" ht="12.75">
      <c r="A249" s="10"/>
      <c r="B249" s="10"/>
      <c r="C249" s="10"/>
      <c r="D249" s="10"/>
      <c r="E249" s="10"/>
      <c r="F249" s="10" t="s">
        <v>706</v>
      </c>
      <c r="G249" s="40">
        <v>6.49</v>
      </c>
    </row>
    <row r="250" spans="1:8" ht="12.75">
      <c r="A250" s="10" t="s">
        <v>702</v>
      </c>
      <c r="B250" s="10"/>
      <c r="C250" s="10" t="s">
        <v>708</v>
      </c>
      <c r="D250" s="10" t="s">
        <v>709</v>
      </c>
      <c r="E250" s="10" t="s">
        <v>108</v>
      </c>
      <c r="F250" s="10" t="s">
        <v>710</v>
      </c>
      <c r="G250" s="40">
        <v>31.35</v>
      </c>
      <c r="H250" s="41"/>
    </row>
    <row r="251" spans="1:7" ht="12.75">
      <c r="A251" s="10"/>
      <c r="B251" s="10"/>
      <c r="C251" s="10"/>
      <c r="D251" s="10"/>
      <c r="E251" s="10"/>
      <c r="F251" s="10" t="s">
        <v>711</v>
      </c>
      <c r="G251" s="40">
        <v>2.05</v>
      </c>
    </row>
    <row r="252" spans="1:8" ht="12.75">
      <c r="A252" s="10" t="s">
        <v>707</v>
      </c>
      <c r="B252" s="10"/>
      <c r="C252" s="10" t="s">
        <v>713</v>
      </c>
      <c r="D252" s="10" t="s">
        <v>714</v>
      </c>
      <c r="E252" s="10" t="s">
        <v>108</v>
      </c>
      <c r="F252" s="10" t="s">
        <v>715</v>
      </c>
      <c r="G252" s="40">
        <v>2.35</v>
      </c>
      <c r="H252" s="41"/>
    </row>
    <row r="253" spans="1:7" ht="12.75">
      <c r="A253" s="10"/>
      <c r="B253" s="10"/>
      <c r="C253" s="10"/>
      <c r="D253" s="10"/>
      <c r="E253" s="10"/>
      <c r="F253" s="10" t="s">
        <v>716</v>
      </c>
      <c r="G253" s="40">
        <v>0.15</v>
      </c>
    </row>
    <row r="254" spans="1:8" ht="12.75">
      <c r="A254" s="10" t="s">
        <v>712</v>
      </c>
      <c r="B254" s="10"/>
      <c r="C254" s="10" t="s">
        <v>718</v>
      </c>
      <c r="D254" s="10" t="s">
        <v>719</v>
      </c>
      <c r="E254" s="10" t="s">
        <v>108</v>
      </c>
      <c r="F254" s="10" t="s">
        <v>720</v>
      </c>
      <c r="G254" s="40">
        <v>13.48</v>
      </c>
      <c r="H254" s="41"/>
    </row>
    <row r="255" spans="1:7" ht="12.75">
      <c r="A255" s="10"/>
      <c r="B255" s="10"/>
      <c r="C255" s="10"/>
      <c r="D255" s="10"/>
      <c r="E255" s="10"/>
      <c r="F255" s="10" t="s">
        <v>721</v>
      </c>
      <c r="G255" s="40">
        <v>0.88</v>
      </c>
    </row>
    <row r="256" spans="1:8" ht="12.75">
      <c r="A256" s="10" t="s">
        <v>717</v>
      </c>
      <c r="B256" s="10"/>
      <c r="C256" s="10" t="s">
        <v>687</v>
      </c>
      <c r="D256" s="10" t="s">
        <v>688</v>
      </c>
      <c r="E256" s="10" t="s">
        <v>108</v>
      </c>
      <c r="F256" s="10" t="s">
        <v>723</v>
      </c>
      <c r="G256" s="40">
        <v>5.03</v>
      </c>
      <c r="H256" s="41"/>
    </row>
    <row r="257" spans="1:7" ht="12.75">
      <c r="A257" s="10"/>
      <c r="B257" s="10"/>
      <c r="C257" s="10"/>
      <c r="D257" s="10"/>
      <c r="E257" s="10"/>
      <c r="F257" s="10" t="s">
        <v>724</v>
      </c>
      <c r="G257" s="40">
        <v>0.33</v>
      </c>
    </row>
    <row r="258" spans="1:8" ht="12.75">
      <c r="A258" s="10" t="s">
        <v>722</v>
      </c>
      <c r="B258" s="10"/>
      <c r="C258" s="10" t="s">
        <v>687</v>
      </c>
      <c r="D258" s="10" t="s">
        <v>688</v>
      </c>
      <c r="E258" s="10" t="s">
        <v>108</v>
      </c>
      <c r="F258" s="10" t="s">
        <v>47</v>
      </c>
      <c r="G258" s="40">
        <v>1.07</v>
      </c>
      <c r="H258" s="41"/>
    </row>
    <row r="259" spans="1:7" ht="12.75">
      <c r="A259" s="10"/>
      <c r="B259" s="10"/>
      <c r="C259" s="10"/>
      <c r="D259" s="10"/>
      <c r="E259" s="10"/>
      <c r="F259" s="10" t="s">
        <v>726</v>
      </c>
      <c r="G259" s="40">
        <v>0.07</v>
      </c>
    </row>
    <row r="260" spans="1:8" ht="12.75">
      <c r="A260" s="10" t="s">
        <v>725</v>
      </c>
      <c r="B260" s="10"/>
      <c r="C260" s="10" t="s">
        <v>728</v>
      </c>
      <c r="D260" s="10" t="s">
        <v>729</v>
      </c>
      <c r="E260" s="10" t="s">
        <v>108</v>
      </c>
      <c r="F260" s="10" t="s">
        <v>723</v>
      </c>
      <c r="G260" s="40">
        <v>5.03</v>
      </c>
      <c r="H260" s="41"/>
    </row>
    <row r="261" spans="1:7" ht="12.75">
      <c r="A261" s="10"/>
      <c r="B261" s="10"/>
      <c r="C261" s="10"/>
      <c r="D261" s="10"/>
      <c r="E261" s="10"/>
      <c r="F261" s="10" t="s">
        <v>724</v>
      </c>
      <c r="G261" s="40">
        <v>0.33</v>
      </c>
    </row>
    <row r="262" spans="1:8" ht="12.75">
      <c r="A262" s="10" t="s">
        <v>727</v>
      </c>
      <c r="B262" s="10"/>
      <c r="C262" s="10" t="s">
        <v>731</v>
      </c>
      <c r="D262" s="10" t="s">
        <v>732</v>
      </c>
      <c r="E262" s="10" t="s">
        <v>131</v>
      </c>
      <c r="F262" s="10"/>
      <c r="G262" s="40">
        <v>12</v>
      </c>
      <c r="H262" s="41"/>
    </row>
    <row r="263" spans="1:8" ht="12.75">
      <c r="A263" s="10" t="s">
        <v>730</v>
      </c>
      <c r="B263" s="10"/>
      <c r="C263" s="10" t="s">
        <v>734</v>
      </c>
      <c r="D263" s="10" t="s">
        <v>735</v>
      </c>
      <c r="E263" s="10" t="s">
        <v>143</v>
      </c>
      <c r="F263" s="10" t="s">
        <v>736</v>
      </c>
      <c r="G263" s="40">
        <v>21</v>
      </c>
      <c r="H263" s="41"/>
    </row>
    <row r="264" spans="1:7" ht="12.75">
      <c r="A264" s="10"/>
      <c r="B264" s="10"/>
      <c r="C264" s="10"/>
      <c r="D264" s="10"/>
      <c r="E264" s="10"/>
      <c r="F264" s="10" t="s">
        <v>737</v>
      </c>
      <c r="G264" s="40">
        <v>5.6</v>
      </c>
    </row>
    <row r="265" spans="1:7" ht="12.75">
      <c r="A265" s="10"/>
      <c r="B265" s="10"/>
      <c r="C265" s="10"/>
      <c r="D265" s="10"/>
      <c r="E265" s="10"/>
      <c r="F265" s="10" t="s">
        <v>738</v>
      </c>
      <c r="G265" s="40">
        <v>7.5</v>
      </c>
    </row>
    <row r="266" spans="1:7" ht="12.75">
      <c r="A266" s="10"/>
      <c r="B266" s="10"/>
      <c r="C266" s="10"/>
      <c r="D266" s="10"/>
      <c r="E266" s="10"/>
      <c r="F266" s="10" t="s">
        <v>555</v>
      </c>
      <c r="G266" s="40">
        <v>0.03</v>
      </c>
    </row>
    <row r="267" spans="1:8" ht="12.75">
      <c r="A267" s="10" t="s">
        <v>733</v>
      </c>
      <c r="B267" s="10"/>
      <c r="C267" s="10" t="s">
        <v>740</v>
      </c>
      <c r="D267" s="10" t="s">
        <v>741</v>
      </c>
      <c r="E267" s="10" t="s">
        <v>71</v>
      </c>
      <c r="F267" s="10" t="s">
        <v>742</v>
      </c>
      <c r="G267" s="40">
        <v>0.68</v>
      </c>
      <c r="H267" s="41"/>
    </row>
    <row r="268" spans="1:7" ht="12.75">
      <c r="A268" s="10"/>
      <c r="B268" s="10"/>
      <c r="C268" s="10"/>
      <c r="D268" s="10"/>
      <c r="E268" s="10"/>
      <c r="F268" s="10" t="s">
        <v>743</v>
      </c>
      <c r="G268" s="40">
        <v>0.36</v>
      </c>
    </row>
    <row r="269" spans="1:8" ht="12.75">
      <c r="A269" s="10" t="s">
        <v>739</v>
      </c>
      <c r="B269" s="10"/>
      <c r="C269" s="10" t="s">
        <v>745</v>
      </c>
      <c r="D269" s="10" t="s">
        <v>746</v>
      </c>
      <c r="E269" s="10" t="s">
        <v>71</v>
      </c>
      <c r="F269" s="10" t="s">
        <v>747</v>
      </c>
      <c r="G269" s="40">
        <v>66.6</v>
      </c>
      <c r="H269" s="41"/>
    </row>
    <row r="270" spans="1:7" ht="12.75">
      <c r="A270" s="10"/>
      <c r="B270" s="10"/>
      <c r="C270" s="10"/>
      <c r="D270" s="10"/>
      <c r="E270" s="10"/>
      <c r="F270" s="10" t="s">
        <v>748</v>
      </c>
      <c r="G270" s="40">
        <v>3.6</v>
      </c>
    </row>
    <row r="271" spans="1:7" ht="12.75">
      <c r="A271" s="10"/>
      <c r="B271" s="10"/>
      <c r="C271" s="10"/>
      <c r="D271" s="10"/>
      <c r="E271" s="10"/>
      <c r="F271" s="10" t="s">
        <v>749</v>
      </c>
      <c r="G271" s="40">
        <v>55.44</v>
      </c>
    </row>
    <row r="272" spans="1:8" ht="12.75">
      <c r="A272" s="10" t="s">
        <v>744</v>
      </c>
      <c r="B272" s="10"/>
      <c r="C272" s="10" t="s">
        <v>751</v>
      </c>
      <c r="D272" s="10" t="s">
        <v>752</v>
      </c>
      <c r="E272" s="10" t="s">
        <v>108</v>
      </c>
      <c r="F272" s="10" t="s">
        <v>753</v>
      </c>
      <c r="G272" s="40">
        <v>218.5</v>
      </c>
      <c r="H272" s="41" t="s">
        <v>72</v>
      </c>
    </row>
    <row r="273" spans="1:8" ht="12.75">
      <c r="A273" s="10" t="s">
        <v>750</v>
      </c>
      <c r="B273" s="10"/>
      <c r="C273" s="10" t="s">
        <v>755</v>
      </c>
      <c r="D273" s="10" t="s">
        <v>756</v>
      </c>
      <c r="E273" s="10" t="s">
        <v>50</v>
      </c>
      <c r="F273" s="10"/>
      <c r="G273" s="40">
        <v>2</v>
      </c>
      <c r="H273" s="41"/>
    </row>
    <row r="274" spans="1:8" ht="12.75">
      <c r="A274" s="10" t="s">
        <v>754</v>
      </c>
      <c r="B274" s="10"/>
      <c r="C274" s="10" t="s">
        <v>734</v>
      </c>
      <c r="D274" s="10" t="s">
        <v>758</v>
      </c>
      <c r="E274" s="10" t="s">
        <v>143</v>
      </c>
      <c r="F274" s="10" t="s">
        <v>759</v>
      </c>
      <c r="G274" s="40">
        <v>19.8</v>
      </c>
      <c r="H274" s="41"/>
    </row>
    <row r="275" spans="1:8" ht="12.75">
      <c r="A275" s="10" t="s">
        <v>757</v>
      </c>
      <c r="B275" s="10"/>
      <c r="C275" s="10" t="s">
        <v>627</v>
      </c>
      <c r="D275" s="10" t="s">
        <v>628</v>
      </c>
      <c r="E275" s="10" t="s">
        <v>113</v>
      </c>
      <c r="F275" s="10"/>
      <c r="G275" s="40">
        <v>1.71</v>
      </c>
      <c r="H275" s="41" t="s">
        <v>72</v>
      </c>
    </row>
    <row r="276" spans="1:8" ht="12.75">
      <c r="A276" s="10" t="s">
        <v>760</v>
      </c>
      <c r="B276" s="10"/>
      <c r="C276" s="10" t="s">
        <v>764</v>
      </c>
      <c r="D276" s="10" t="s">
        <v>765</v>
      </c>
      <c r="E276" s="10" t="s">
        <v>71</v>
      </c>
      <c r="F276" s="10" t="s">
        <v>314</v>
      </c>
      <c r="G276" s="40">
        <v>5.66</v>
      </c>
      <c r="H276" s="41" t="s">
        <v>72</v>
      </c>
    </row>
    <row r="277" spans="1:8" ht="12.75">
      <c r="A277" s="10" t="s">
        <v>763</v>
      </c>
      <c r="B277" s="10"/>
      <c r="C277" s="10" t="s">
        <v>767</v>
      </c>
      <c r="D277" s="10" t="s">
        <v>768</v>
      </c>
      <c r="E277" s="10" t="s">
        <v>71</v>
      </c>
      <c r="F277" s="10" t="s">
        <v>769</v>
      </c>
      <c r="G277" s="40">
        <v>5.66</v>
      </c>
      <c r="H277" s="41" t="s">
        <v>72</v>
      </c>
    </row>
    <row r="278" spans="1:7" ht="12.75">
      <c r="A278" s="10"/>
      <c r="B278" s="10"/>
      <c r="C278" s="10"/>
      <c r="D278" s="10"/>
      <c r="E278" s="10"/>
      <c r="F278" s="10" t="s">
        <v>770</v>
      </c>
      <c r="G278" s="40">
        <v>1.49</v>
      </c>
    </row>
    <row r="279" spans="1:7" ht="12.75">
      <c r="A279" s="10"/>
      <c r="B279" s="10"/>
      <c r="C279" s="10"/>
      <c r="D279" s="10"/>
      <c r="E279" s="10"/>
      <c r="F279" s="10" t="s">
        <v>771</v>
      </c>
      <c r="G279" s="40">
        <v>2.38</v>
      </c>
    </row>
    <row r="280" spans="1:8" ht="12.75">
      <c r="A280" s="10" t="s">
        <v>766</v>
      </c>
      <c r="B280" s="10"/>
      <c r="C280" s="10" t="s">
        <v>773</v>
      </c>
      <c r="D280" s="10" t="s">
        <v>774</v>
      </c>
      <c r="E280" s="10" t="s">
        <v>143</v>
      </c>
      <c r="F280" s="10" t="s">
        <v>775</v>
      </c>
      <c r="G280" s="40">
        <v>5.95</v>
      </c>
      <c r="H280" s="41" t="s">
        <v>72</v>
      </c>
    </row>
    <row r="281" spans="1:8" ht="12.75">
      <c r="A281" s="10" t="s">
        <v>772</v>
      </c>
      <c r="B281" s="10"/>
      <c r="C281" s="10" t="s">
        <v>777</v>
      </c>
      <c r="D281" s="10" t="s">
        <v>778</v>
      </c>
      <c r="E281" s="10" t="s">
        <v>71</v>
      </c>
      <c r="F281" s="10" t="s">
        <v>779</v>
      </c>
      <c r="G281" s="40">
        <v>6.97</v>
      </c>
      <c r="H281" s="41" t="s">
        <v>72</v>
      </c>
    </row>
    <row r="282" spans="1:7" ht="12.75">
      <c r="A282" s="10"/>
      <c r="B282" s="10"/>
      <c r="C282" s="10"/>
      <c r="D282" s="10"/>
      <c r="E282" s="10"/>
      <c r="F282" s="10" t="s">
        <v>780</v>
      </c>
      <c r="G282" s="40">
        <v>0.63</v>
      </c>
    </row>
    <row r="283" spans="1:8" ht="12.75">
      <c r="A283" s="10" t="s">
        <v>776</v>
      </c>
      <c r="B283" s="10"/>
      <c r="C283" s="10" t="s">
        <v>782</v>
      </c>
      <c r="D283" s="10" t="s">
        <v>783</v>
      </c>
      <c r="E283" s="10" t="s">
        <v>71</v>
      </c>
      <c r="F283" s="10" t="s">
        <v>314</v>
      </c>
      <c r="G283" s="40">
        <v>5.66</v>
      </c>
      <c r="H283" s="9" t="s">
        <v>1135</v>
      </c>
    </row>
    <row r="284" spans="1:8" ht="12.75">
      <c r="A284" s="10" t="s">
        <v>781</v>
      </c>
      <c r="B284" s="10"/>
      <c r="C284" s="10" t="s">
        <v>785</v>
      </c>
      <c r="D284" s="10" t="s">
        <v>786</v>
      </c>
      <c r="E284" s="10" t="s">
        <v>71</v>
      </c>
      <c r="F284" s="10" t="s">
        <v>314</v>
      </c>
      <c r="G284" s="40">
        <v>5.66</v>
      </c>
      <c r="H284" s="41" t="s">
        <v>72</v>
      </c>
    </row>
    <row r="285" spans="1:8" ht="12.75">
      <c r="A285" s="10" t="s">
        <v>784</v>
      </c>
      <c r="B285" s="10"/>
      <c r="C285" s="10" t="s">
        <v>788</v>
      </c>
      <c r="D285" s="10" t="s">
        <v>789</v>
      </c>
      <c r="E285" s="10" t="s">
        <v>143</v>
      </c>
      <c r="F285" s="10" t="s">
        <v>790</v>
      </c>
      <c r="G285" s="40">
        <v>6.75</v>
      </c>
      <c r="H285" s="41" t="s">
        <v>72</v>
      </c>
    </row>
    <row r="286" spans="1:8" ht="12.75">
      <c r="A286" s="10" t="s">
        <v>787</v>
      </c>
      <c r="B286" s="10"/>
      <c r="C286" s="10" t="s">
        <v>792</v>
      </c>
      <c r="D286" s="10" t="s">
        <v>793</v>
      </c>
      <c r="E286" s="10" t="s">
        <v>113</v>
      </c>
      <c r="F286" s="10"/>
      <c r="G286" s="40">
        <v>0.19</v>
      </c>
      <c r="H286" s="41" t="s">
        <v>72</v>
      </c>
    </row>
    <row r="287" spans="1:8" ht="12.75">
      <c r="A287" s="10" t="s">
        <v>791</v>
      </c>
      <c r="B287" s="10"/>
      <c r="C287" s="10" t="s">
        <v>797</v>
      </c>
      <c r="D287" s="10" t="s">
        <v>798</v>
      </c>
      <c r="E287" s="10" t="s">
        <v>143</v>
      </c>
      <c r="F287" s="10" t="s">
        <v>799</v>
      </c>
      <c r="G287" s="40">
        <v>20.4</v>
      </c>
      <c r="H287" s="41" t="s">
        <v>72</v>
      </c>
    </row>
    <row r="288" spans="1:8" ht="12.75">
      <c r="A288" s="10" t="s">
        <v>796</v>
      </c>
      <c r="B288" s="10"/>
      <c r="C288" s="10" t="s">
        <v>137</v>
      </c>
      <c r="D288" s="10" t="s">
        <v>801</v>
      </c>
      <c r="E288" s="10" t="s">
        <v>71</v>
      </c>
      <c r="F288" s="10" t="s">
        <v>802</v>
      </c>
      <c r="G288" s="40">
        <v>6.73</v>
      </c>
      <c r="H288" s="41"/>
    </row>
    <row r="289" spans="1:7" ht="12.75">
      <c r="A289" s="10"/>
      <c r="B289" s="10"/>
      <c r="C289" s="10"/>
      <c r="D289" s="10"/>
      <c r="E289" s="10"/>
      <c r="F289" s="10" t="s">
        <v>803</v>
      </c>
      <c r="G289" s="40">
        <v>0.61</v>
      </c>
    </row>
    <row r="290" spans="1:8" ht="12.75">
      <c r="A290" s="10" t="s">
        <v>800</v>
      </c>
      <c r="B290" s="10"/>
      <c r="C290" s="10" t="s">
        <v>805</v>
      </c>
      <c r="D290" s="10" t="s">
        <v>806</v>
      </c>
      <c r="E290" s="10" t="s">
        <v>113</v>
      </c>
      <c r="F290" s="10"/>
      <c r="G290" s="40">
        <v>0.21</v>
      </c>
      <c r="H290" s="41" t="s">
        <v>72</v>
      </c>
    </row>
    <row r="291" spans="1:8" ht="12.75">
      <c r="A291" s="10" t="s">
        <v>804</v>
      </c>
      <c r="B291" s="10"/>
      <c r="C291" s="10" t="s">
        <v>810</v>
      </c>
      <c r="D291" s="10" t="s">
        <v>811</v>
      </c>
      <c r="E291" s="10" t="s">
        <v>71</v>
      </c>
      <c r="F291" s="10" t="s">
        <v>812</v>
      </c>
      <c r="G291" s="40">
        <v>76.13</v>
      </c>
      <c r="H291" s="41"/>
    </row>
    <row r="292" spans="1:7" ht="12.75">
      <c r="A292" s="10"/>
      <c r="B292" s="10"/>
      <c r="C292" s="10"/>
      <c r="D292" s="10"/>
      <c r="E292" s="10"/>
      <c r="F292" s="10" t="s">
        <v>813</v>
      </c>
      <c r="G292" s="40">
        <v>3.46</v>
      </c>
    </row>
    <row r="293" spans="1:7" ht="12.75">
      <c r="A293" s="10"/>
      <c r="B293" s="10"/>
      <c r="C293" s="10"/>
      <c r="D293" s="10"/>
      <c r="E293" s="10"/>
      <c r="F293" s="10" t="s">
        <v>814</v>
      </c>
      <c r="G293" s="40">
        <v>1.08</v>
      </c>
    </row>
    <row r="294" spans="1:7" ht="12.75">
      <c r="A294" s="10"/>
      <c r="B294" s="10"/>
      <c r="C294" s="10"/>
      <c r="D294" s="10"/>
      <c r="E294" s="10"/>
      <c r="F294" s="10" t="s">
        <v>815</v>
      </c>
      <c r="G294" s="40">
        <v>0.17</v>
      </c>
    </row>
    <row r="295" spans="1:7" ht="12.75">
      <c r="A295" s="10"/>
      <c r="B295" s="10"/>
      <c r="C295" s="10"/>
      <c r="D295" s="10"/>
      <c r="E295" s="10"/>
      <c r="F295" s="10" t="s">
        <v>816</v>
      </c>
      <c r="G295" s="40">
        <v>1.68</v>
      </c>
    </row>
    <row r="296" spans="1:7" ht="12.75">
      <c r="A296" s="10"/>
      <c r="B296" s="10"/>
      <c r="C296" s="10"/>
      <c r="D296" s="10"/>
      <c r="E296" s="10"/>
      <c r="F296" s="10" t="s">
        <v>817</v>
      </c>
      <c r="G296" s="40">
        <v>0.8</v>
      </c>
    </row>
    <row r="297" spans="1:7" ht="12.75">
      <c r="A297" s="10"/>
      <c r="B297" s="10"/>
      <c r="C297" s="10"/>
      <c r="D297" s="10"/>
      <c r="E297" s="10"/>
      <c r="F297" s="10" t="s">
        <v>818</v>
      </c>
      <c r="G297" s="40">
        <v>47.52</v>
      </c>
    </row>
    <row r="298" spans="1:7" ht="12.75">
      <c r="A298" s="10"/>
      <c r="B298" s="10"/>
      <c r="C298" s="10"/>
      <c r="D298" s="10"/>
      <c r="E298" s="10"/>
      <c r="F298" s="10" t="s">
        <v>819</v>
      </c>
      <c r="G298" s="40">
        <v>2.88</v>
      </c>
    </row>
    <row r="299" spans="1:7" ht="12.75">
      <c r="A299" s="10"/>
      <c r="B299" s="10"/>
      <c r="C299" s="10"/>
      <c r="D299" s="10"/>
      <c r="E299" s="10"/>
      <c r="F299" s="10" t="s">
        <v>820</v>
      </c>
      <c r="G299" s="40">
        <v>1.16</v>
      </c>
    </row>
    <row r="300" spans="1:8" ht="12.75">
      <c r="A300" s="10" t="s">
        <v>809</v>
      </c>
      <c r="B300" s="10"/>
      <c r="C300" s="10" t="s">
        <v>824</v>
      </c>
      <c r="D300" s="10" t="s">
        <v>825</v>
      </c>
      <c r="E300" s="10" t="s">
        <v>71</v>
      </c>
      <c r="F300" s="10" t="s">
        <v>826</v>
      </c>
      <c r="G300" s="40">
        <v>350</v>
      </c>
      <c r="H300" s="41"/>
    </row>
    <row r="301" spans="1:8" ht="12.75">
      <c r="A301" s="10" t="s">
        <v>823</v>
      </c>
      <c r="B301" s="10"/>
      <c r="C301" s="10" t="s">
        <v>829</v>
      </c>
      <c r="D301" s="10" t="s">
        <v>624</v>
      </c>
      <c r="E301" s="10" t="s">
        <v>625</v>
      </c>
      <c r="F301" s="10"/>
      <c r="G301" s="40">
        <v>30</v>
      </c>
      <c r="H301" s="9" t="s">
        <v>1136</v>
      </c>
    </row>
    <row r="302" spans="1:8" ht="12.75">
      <c r="A302" s="10" t="s">
        <v>828</v>
      </c>
      <c r="B302" s="10"/>
      <c r="C302" s="10" t="s">
        <v>623</v>
      </c>
      <c r="D302" s="10" t="s">
        <v>624</v>
      </c>
      <c r="E302" s="10" t="s">
        <v>625</v>
      </c>
      <c r="F302" s="10"/>
      <c r="G302" s="40">
        <v>30</v>
      </c>
      <c r="H302" s="9" t="s">
        <v>1134</v>
      </c>
    </row>
    <row r="303" spans="1:8" ht="12.75">
      <c r="A303" s="10" t="s">
        <v>830</v>
      </c>
      <c r="B303" s="10"/>
      <c r="C303" s="10" t="s">
        <v>832</v>
      </c>
      <c r="D303" s="10" t="s">
        <v>624</v>
      </c>
      <c r="E303" s="10" t="s">
        <v>625</v>
      </c>
      <c r="F303" s="10"/>
      <c r="G303" s="40">
        <v>30</v>
      </c>
      <c r="H303" s="9" t="s">
        <v>1137</v>
      </c>
    </row>
    <row r="304" spans="1:8" ht="12.75">
      <c r="A304" s="10" t="s">
        <v>831</v>
      </c>
      <c r="B304" s="10"/>
      <c r="C304" s="10" t="s">
        <v>834</v>
      </c>
      <c r="D304" s="10" t="s">
        <v>835</v>
      </c>
      <c r="E304" s="10" t="s">
        <v>625</v>
      </c>
      <c r="F304" s="10"/>
      <c r="G304" s="40">
        <v>50</v>
      </c>
      <c r="H304" s="9" t="s">
        <v>1138</v>
      </c>
    </row>
    <row r="305" spans="1:8" ht="12.75">
      <c r="A305" s="10" t="s">
        <v>833</v>
      </c>
      <c r="B305" s="10"/>
      <c r="C305" s="10" t="s">
        <v>838</v>
      </c>
      <c r="D305" s="10" t="s">
        <v>839</v>
      </c>
      <c r="E305" s="10" t="s">
        <v>143</v>
      </c>
      <c r="F305" s="10" t="s">
        <v>840</v>
      </c>
      <c r="G305" s="40">
        <v>9.5</v>
      </c>
      <c r="H305" s="41" t="s">
        <v>72</v>
      </c>
    </row>
    <row r="306" spans="1:7" ht="12.75">
      <c r="A306" s="10"/>
      <c r="B306" s="10"/>
      <c r="C306" s="10"/>
      <c r="D306" s="10"/>
      <c r="E306" s="10"/>
      <c r="F306" s="10" t="s">
        <v>841</v>
      </c>
      <c r="G306" s="40">
        <v>5.8</v>
      </c>
    </row>
    <row r="307" spans="1:8" ht="12.75">
      <c r="A307" s="10" t="s">
        <v>837</v>
      </c>
      <c r="B307" s="10"/>
      <c r="C307" s="10" t="s">
        <v>843</v>
      </c>
      <c r="D307" s="10" t="s">
        <v>844</v>
      </c>
      <c r="E307" s="10" t="s">
        <v>143</v>
      </c>
      <c r="F307" s="10" t="s">
        <v>845</v>
      </c>
      <c r="G307" s="40">
        <v>12.7</v>
      </c>
      <c r="H307" s="9" t="s">
        <v>1139</v>
      </c>
    </row>
    <row r="308" spans="1:8" ht="12.75">
      <c r="A308" s="10" t="s">
        <v>842</v>
      </c>
      <c r="B308" s="10"/>
      <c r="C308" s="10" t="s">
        <v>848</v>
      </c>
      <c r="D308" s="10" t="s">
        <v>849</v>
      </c>
      <c r="E308" s="10" t="s">
        <v>71</v>
      </c>
      <c r="F308" s="10" t="s">
        <v>850</v>
      </c>
      <c r="G308" s="40">
        <v>3215.83</v>
      </c>
      <c r="H308" s="41" t="s">
        <v>72</v>
      </c>
    </row>
    <row r="309" spans="1:8" ht="12.75">
      <c r="A309" s="10" t="s">
        <v>847</v>
      </c>
      <c r="B309" s="10"/>
      <c r="C309" s="10" t="s">
        <v>852</v>
      </c>
      <c r="D309" s="10" t="s">
        <v>853</v>
      </c>
      <c r="E309" s="10" t="s">
        <v>71</v>
      </c>
      <c r="F309" s="10" t="s">
        <v>854</v>
      </c>
      <c r="G309" s="40">
        <v>16079.15</v>
      </c>
      <c r="H309" s="41" t="s">
        <v>72</v>
      </c>
    </row>
    <row r="310" spans="1:8" ht="12.75">
      <c r="A310" s="10" t="s">
        <v>851</v>
      </c>
      <c r="B310" s="10"/>
      <c r="C310" s="10" t="s">
        <v>856</v>
      </c>
      <c r="D310" s="10" t="s">
        <v>857</v>
      </c>
      <c r="E310" s="10" t="s">
        <v>71</v>
      </c>
      <c r="F310" s="10" t="s">
        <v>850</v>
      </c>
      <c r="G310" s="40">
        <v>3215.83</v>
      </c>
      <c r="H310" s="41" t="s">
        <v>72</v>
      </c>
    </row>
    <row r="311" spans="1:8" ht="12.75">
      <c r="A311" s="10" t="s">
        <v>855</v>
      </c>
      <c r="B311" s="10"/>
      <c r="C311" s="10" t="s">
        <v>859</v>
      </c>
      <c r="D311" s="10" t="s">
        <v>860</v>
      </c>
      <c r="E311" s="10" t="s">
        <v>71</v>
      </c>
      <c r="F311" s="10" t="s">
        <v>850</v>
      </c>
      <c r="G311" s="40">
        <v>3215.83</v>
      </c>
      <c r="H311" s="41" t="s">
        <v>72</v>
      </c>
    </row>
    <row r="312" spans="1:8" ht="12.75">
      <c r="A312" s="10" t="s">
        <v>858</v>
      </c>
      <c r="B312" s="10"/>
      <c r="C312" s="10" t="s">
        <v>862</v>
      </c>
      <c r="D312" s="10" t="s">
        <v>863</v>
      </c>
      <c r="E312" s="10" t="s">
        <v>71</v>
      </c>
      <c r="F312" s="10" t="s">
        <v>854</v>
      </c>
      <c r="G312" s="40">
        <v>16079.15</v>
      </c>
      <c r="H312" s="41" t="s">
        <v>72</v>
      </c>
    </row>
    <row r="313" spans="1:8" ht="12.75">
      <c r="A313" s="10" t="s">
        <v>861</v>
      </c>
      <c r="B313" s="10"/>
      <c r="C313" s="10" t="s">
        <v>865</v>
      </c>
      <c r="D313" s="10" t="s">
        <v>866</v>
      </c>
      <c r="E313" s="10" t="s">
        <v>143</v>
      </c>
      <c r="F313" s="10" t="s">
        <v>75</v>
      </c>
      <c r="G313" s="40">
        <v>8</v>
      </c>
      <c r="H313" s="41" t="s">
        <v>72</v>
      </c>
    </row>
    <row r="314" spans="1:8" ht="12.75">
      <c r="A314" s="10" t="s">
        <v>864</v>
      </c>
      <c r="B314" s="10"/>
      <c r="C314" s="10" t="s">
        <v>868</v>
      </c>
      <c r="D314" s="10" t="s">
        <v>869</v>
      </c>
      <c r="E314" s="10" t="s">
        <v>143</v>
      </c>
      <c r="F314" s="10" t="s">
        <v>75</v>
      </c>
      <c r="G314" s="40">
        <v>8</v>
      </c>
      <c r="H314" s="41" t="s">
        <v>72</v>
      </c>
    </row>
    <row r="315" spans="1:8" ht="12.75">
      <c r="A315" s="10" t="s">
        <v>867</v>
      </c>
      <c r="B315" s="10"/>
      <c r="C315" s="10" t="s">
        <v>871</v>
      </c>
      <c r="D315" s="10" t="s">
        <v>872</v>
      </c>
      <c r="E315" s="10" t="s">
        <v>113</v>
      </c>
      <c r="F315" s="10"/>
      <c r="G315" s="40">
        <v>122.96215</v>
      </c>
      <c r="H315" s="41" t="s">
        <v>72</v>
      </c>
    </row>
    <row r="316" spans="1:8" ht="12.75">
      <c r="A316" s="10" t="s">
        <v>870</v>
      </c>
      <c r="B316" s="10"/>
      <c r="C316" s="10" t="s">
        <v>875</v>
      </c>
      <c r="D316" s="10" t="s">
        <v>876</v>
      </c>
      <c r="E316" s="10" t="s">
        <v>83</v>
      </c>
      <c r="F316" s="10" t="s">
        <v>306</v>
      </c>
      <c r="G316" s="40">
        <v>4.98</v>
      </c>
      <c r="H316" s="41" t="s">
        <v>72</v>
      </c>
    </row>
    <row r="317" spans="1:8" ht="12.75">
      <c r="A317" s="10" t="s">
        <v>874</v>
      </c>
      <c r="B317" s="10"/>
      <c r="C317" s="10" t="s">
        <v>878</v>
      </c>
      <c r="D317" s="10" t="s">
        <v>879</v>
      </c>
      <c r="E317" s="10" t="s">
        <v>83</v>
      </c>
      <c r="F317" s="10" t="s">
        <v>880</v>
      </c>
      <c r="G317" s="40">
        <v>7.47</v>
      </c>
      <c r="H317" s="9" t="s">
        <v>1140</v>
      </c>
    </row>
    <row r="318" spans="1:8" ht="12.75">
      <c r="A318" s="10" t="s">
        <v>877</v>
      </c>
      <c r="B318" s="10"/>
      <c r="C318" s="10" t="s">
        <v>882</v>
      </c>
      <c r="D318" s="10" t="s">
        <v>883</v>
      </c>
      <c r="E318" s="10" t="s">
        <v>71</v>
      </c>
      <c r="F318" s="10" t="s">
        <v>383</v>
      </c>
      <c r="G318" s="40">
        <v>49.8</v>
      </c>
      <c r="H318" s="9" t="s">
        <v>1141</v>
      </c>
    </row>
    <row r="319" spans="1:8" ht="12.75">
      <c r="A319" s="10" t="s">
        <v>881</v>
      </c>
      <c r="B319" s="10"/>
      <c r="C319" s="10" t="s">
        <v>885</v>
      </c>
      <c r="D319" s="10" t="s">
        <v>886</v>
      </c>
      <c r="E319" s="10" t="s">
        <v>71</v>
      </c>
      <c r="F319" s="10"/>
      <c r="G319" s="40">
        <v>49.8</v>
      </c>
      <c r="H319" s="41" t="s">
        <v>72</v>
      </c>
    </row>
    <row r="320" spans="1:8" ht="12.75">
      <c r="A320" s="10" t="s">
        <v>884</v>
      </c>
      <c r="B320" s="10"/>
      <c r="C320" s="10" t="s">
        <v>888</v>
      </c>
      <c r="D320" s="10" t="s">
        <v>889</v>
      </c>
      <c r="E320" s="10" t="s">
        <v>71</v>
      </c>
      <c r="F320" s="10" t="s">
        <v>383</v>
      </c>
      <c r="G320" s="40">
        <v>49.8</v>
      </c>
      <c r="H320" s="41" t="s">
        <v>72</v>
      </c>
    </row>
    <row r="321" spans="1:8" ht="12.75">
      <c r="A321" s="10" t="s">
        <v>887</v>
      </c>
      <c r="B321" s="10"/>
      <c r="C321" s="10" t="s">
        <v>891</v>
      </c>
      <c r="D321" s="10" t="s">
        <v>892</v>
      </c>
      <c r="E321" s="10" t="s">
        <v>71</v>
      </c>
      <c r="F321" s="10"/>
      <c r="G321" s="40">
        <v>3.2</v>
      </c>
      <c r="H321" s="41" t="s">
        <v>72</v>
      </c>
    </row>
    <row r="322" spans="1:8" ht="12.75">
      <c r="A322" s="10" t="s">
        <v>890</v>
      </c>
      <c r="B322" s="10"/>
      <c r="C322" s="10" t="s">
        <v>894</v>
      </c>
      <c r="D322" s="10" t="s">
        <v>895</v>
      </c>
      <c r="E322" s="10" t="s">
        <v>71</v>
      </c>
      <c r="F322" s="10" t="s">
        <v>163</v>
      </c>
      <c r="G322" s="40">
        <v>39.8</v>
      </c>
      <c r="H322" s="41"/>
    </row>
    <row r="323" spans="1:8" ht="12.75">
      <c r="A323" s="10" t="s">
        <v>893</v>
      </c>
      <c r="B323" s="10"/>
      <c r="C323" s="10" t="s">
        <v>897</v>
      </c>
      <c r="D323" s="10" t="s">
        <v>898</v>
      </c>
      <c r="E323" s="10" t="s">
        <v>83</v>
      </c>
      <c r="F323" s="10" t="s">
        <v>899</v>
      </c>
      <c r="G323" s="40">
        <v>2.74</v>
      </c>
      <c r="H323" s="41" t="s">
        <v>72</v>
      </c>
    </row>
    <row r="324" spans="1:7" ht="12.75">
      <c r="A324" s="10"/>
      <c r="B324" s="10"/>
      <c r="C324" s="10"/>
      <c r="D324" s="10"/>
      <c r="E324" s="10"/>
      <c r="F324" s="10" t="s">
        <v>900</v>
      </c>
      <c r="G324" s="40">
        <v>0.45</v>
      </c>
    </row>
    <row r="325" spans="1:7" ht="12.75">
      <c r="A325" s="10"/>
      <c r="B325" s="10"/>
      <c r="C325" s="10"/>
      <c r="D325" s="10"/>
      <c r="E325" s="10"/>
      <c r="F325" s="10" t="s">
        <v>901</v>
      </c>
      <c r="G325" s="40">
        <v>0.87</v>
      </c>
    </row>
    <row r="326" spans="1:8" ht="12.75">
      <c r="A326" s="10" t="s">
        <v>896</v>
      </c>
      <c r="B326" s="10"/>
      <c r="C326" s="10" t="s">
        <v>903</v>
      </c>
      <c r="D326" s="10" t="s">
        <v>904</v>
      </c>
      <c r="E326" s="10" t="s">
        <v>71</v>
      </c>
      <c r="F326" s="10" t="s">
        <v>905</v>
      </c>
      <c r="G326" s="40">
        <v>51.15</v>
      </c>
      <c r="H326" s="41" t="s">
        <v>72</v>
      </c>
    </row>
    <row r="327" spans="1:7" ht="12.75">
      <c r="A327" s="10"/>
      <c r="B327" s="10"/>
      <c r="C327" s="10"/>
      <c r="D327" s="10"/>
      <c r="E327" s="10"/>
      <c r="F327" s="10" t="s">
        <v>906</v>
      </c>
      <c r="G327" s="40">
        <v>4.95</v>
      </c>
    </row>
    <row r="328" spans="1:8" ht="12.75">
      <c r="A328" s="10" t="s">
        <v>902</v>
      </c>
      <c r="B328" s="10"/>
      <c r="C328" s="10" t="s">
        <v>908</v>
      </c>
      <c r="D328" s="10" t="s">
        <v>909</v>
      </c>
      <c r="E328" s="10" t="s">
        <v>71</v>
      </c>
      <c r="F328" s="10" t="s">
        <v>910</v>
      </c>
      <c r="G328" s="40">
        <v>4.62</v>
      </c>
      <c r="H328" s="41" t="s">
        <v>72</v>
      </c>
    </row>
    <row r="329" spans="1:8" ht="12.75">
      <c r="A329" s="10" t="s">
        <v>907</v>
      </c>
      <c r="B329" s="10"/>
      <c r="C329" s="10" t="s">
        <v>912</v>
      </c>
      <c r="D329" s="10" t="s">
        <v>913</v>
      </c>
      <c r="E329" s="10" t="s">
        <v>71</v>
      </c>
      <c r="F329" s="10" t="s">
        <v>914</v>
      </c>
      <c r="G329" s="40">
        <v>12.24</v>
      </c>
      <c r="H329" s="41" t="s">
        <v>72</v>
      </c>
    </row>
    <row r="330" spans="1:7" ht="12.75">
      <c r="A330" s="10"/>
      <c r="B330" s="10"/>
      <c r="C330" s="10"/>
      <c r="D330" s="10"/>
      <c r="E330" s="10"/>
      <c r="F330" s="10" t="s">
        <v>915</v>
      </c>
      <c r="G330" s="40">
        <v>3.6</v>
      </c>
    </row>
    <row r="331" spans="1:8" ht="12.75">
      <c r="A331" s="10" t="s">
        <v>911</v>
      </c>
      <c r="B331" s="10"/>
      <c r="C331" s="10" t="s">
        <v>917</v>
      </c>
      <c r="D331" s="10" t="s">
        <v>918</v>
      </c>
      <c r="E331" s="10" t="s">
        <v>71</v>
      </c>
      <c r="F331" s="10" t="s">
        <v>749</v>
      </c>
      <c r="G331" s="40">
        <v>55.44</v>
      </c>
      <c r="H331" s="41" t="s">
        <v>72</v>
      </c>
    </row>
    <row r="332" spans="1:8" ht="12.75">
      <c r="A332" s="10" t="s">
        <v>916</v>
      </c>
      <c r="B332" s="10"/>
      <c r="C332" s="10" t="s">
        <v>920</v>
      </c>
      <c r="D332" s="10" t="s">
        <v>921</v>
      </c>
      <c r="E332" s="10" t="s">
        <v>71</v>
      </c>
      <c r="F332" s="10" t="s">
        <v>314</v>
      </c>
      <c r="G332" s="40">
        <v>5.66</v>
      </c>
      <c r="H332" s="9" t="s">
        <v>1142</v>
      </c>
    </row>
    <row r="333" spans="1:8" ht="12.75">
      <c r="A333" s="10" t="s">
        <v>919</v>
      </c>
      <c r="B333" s="10"/>
      <c r="C333" s="10" t="s">
        <v>923</v>
      </c>
      <c r="D333" s="10" t="s">
        <v>924</v>
      </c>
      <c r="E333" s="10" t="s">
        <v>143</v>
      </c>
      <c r="F333" s="10" t="s">
        <v>845</v>
      </c>
      <c r="G333" s="40">
        <v>12.7</v>
      </c>
      <c r="H333" s="9" t="s">
        <v>1143</v>
      </c>
    </row>
    <row r="334" spans="1:8" ht="12.75">
      <c r="A334" s="10" t="s">
        <v>922</v>
      </c>
      <c r="B334" s="10"/>
      <c r="C334" s="10" t="s">
        <v>926</v>
      </c>
      <c r="D334" s="10" t="s">
        <v>927</v>
      </c>
      <c r="E334" s="10" t="s">
        <v>131</v>
      </c>
      <c r="F334" s="10"/>
      <c r="G334" s="40">
        <v>6</v>
      </c>
      <c r="H334" s="41" t="s">
        <v>72</v>
      </c>
    </row>
    <row r="335" spans="1:8" ht="12.75">
      <c r="A335" s="10" t="s">
        <v>925</v>
      </c>
      <c r="B335" s="10"/>
      <c r="C335" s="10" t="s">
        <v>929</v>
      </c>
      <c r="D335" s="10" t="s">
        <v>930</v>
      </c>
      <c r="E335" s="10" t="s">
        <v>143</v>
      </c>
      <c r="F335" s="10"/>
      <c r="G335" s="40">
        <v>2.1</v>
      </c>
      <c r="H335" s="41" t="s">
        <v>72</v>
      </c>
    </row>
    <row r="336" spans="1:8" ht="12.75">
      <c r="A336" s="10" t="s">
        <v>928</v>
      </c>
      <c r="B336" s="10"/>
      <c r="C336" s="10" t="s">
        <v>932</v>
      </c>
      <c r="D336" s="10" t="s">
        <v>933</v>
      </c>
      <c r="E336" s="10" t="s">
        <v>50</v>
      </c>
      <c r="F336" s="10"/>
      <c r="G336" s="40">
        <v>10</v>
      </c>
      <c r="H336" s="41"/>
    </row>
    <row r="337" spans="1:8" ht="12.75">
      <c r="A337" s="10" t="s">
        <v>931</v>
      </c>
      <c r="B337" s="10"/>
      <c r="C337" s="10" t="s">
        <v>935</v>
      </c>
      <c r="D337" s="10" t="s">
        <v>936</v>
      </c>
      <c r="E337" s="10" t="s">
        <v>131</v>
      </c>
      <c r="F337" s="10" t="s">
        <v>937</v>
      </c>
      <c r="G337" s="40">
        <v>136</v>
      </c>
      <c r="H337" s="41"/>
    </row>
    <row r="338" spans="1:8" ht="12.75">
      <c r="A338" s="10" t="s">
        <v>934</v>
      </c>
      <c r="B338" s="10"/>
      <c r="C338" s="10" t="s">
        <v>939</v>
      </c>
      <c r="D338" s="10" t="s">
        <v>940</v>
      </c>
      <c r="E338" s="10" t="s">
        <v>50</v>
      </c>
      <c r="F338" s="10"/>
      <c r="G338" s="40">
        <v>72</v>
      </c>
      <c r="H338" s="41"/>
    </row>
    <row r="339" spans="1:8" ht="12.75">
      <c r="A339" s="10" t="s">
        <v>938</v>
      </c>
      <c r="B339" s="10"/>
      <c r="C339" s="10" t="s">
        <v>942</v>
      </c>
      <c r="D339" s="10" t="s">
        <v>943</v>
      </c>
      <c r="E339" s="10" t="s">
        <v>131</v>
      </c>
      <c r="F339" s="10"/>
      <c r="G339" s="40">
        <v>5</v>
      </c>
      <c r="H339" s="41"/>
    </row>
    <row r="340" spans="1:8" ht="12.75">
      <c r="A340" s="10" t="s">
        <v>941</v>
      </c>
      <c r="B340" s="10"/>
      <c r="C340" s="10" t="s">
        <v>948</v>
      </c>
      <c r="D340" s="10" t="s">
        <v>949</v>
      </c>
      <c r="E340" s="10" t="s">
        <v>113</v>
      </c>
      <c r="F340" s="10" t="s">
        <v>950</v>
      </c>
      <c r="G340" s="40">
        <v>166.73</v>
      </c>
      <c r="H340" s="41" t="s">
        <v>72</v>
      </c>
    </row>
    <row r="341" spans="1:8" ht="12.75">
      <c r="A341" s="10" t="s">
        <v>947</v>
      </c>
      <c r="B341" s="10"/>
      <c r="C341" s="10" t="s">
        <v>955</v>
      </c>
      <c r="D341" s="10" t="s">
        <v>956</v>
      </c>
      <c r="E341" s="10" t="s">
        <v>50</v>
      </c>
      <c r="F341" s="10"/>
      <c r="G341" s="40">
        <v>1</v>
      </c>
      <c r="H341" s="41"/>
    </row>
    <row r="342" spans="1:8" ht="12.75">
      <c r="A342" s="10" t="s">
        <v>954</v>
      </c>
      <c r="B342" s="10"/>
      <c r="C342" s="10" t="s">
        <v>955</v>
      </c>
      <c r="D342" s="10" t="s">
        <v>958</v>
      </c>
      <c r="E342" s="10" t="s">
        <v>50</v>
      </c>
      <c r="F342" s="10"/>
      <c r="G342" s="40">
        <v>1</v>
      </c>
      <c r="H342" s="41"/>
    </row>
    <row r="343" spans="1:8" ht="12.75">
      <c r="A343" s="10" t="s">
        <v>957</v>
      </c>
      <c r="B343" s="10"/>
      <c r="C343" s="10" t="s">
        <v>960</v>
      </c>
      <c r="D343" s="10" t="s">
        <v>961</v>
      </c>
      <c r="E343" s="10" t="s">
        <v>131</v>
      </c>
      <c r="F343" s="10"/>
      <c r="G343" s="40">
        <v>1</v>
      </c>
      <c r="H343" s="41"/>
    </row>
    <row r="344" spans="1:8" ht="12.75">
      <c r="A344" s="10" t="s">
        <v>959</v>
      </c>
      <c r="B344" s="10"/>
      <c r="C344" s="10" t="s">
        <v>965</v>
      </c>
      <c r="D344" s="10" t="s">
        <v>963</v>
      </c>
      <c r="E344" s="10" t="s">
        <v>131</v>
      </c>
      <c r="F344" s="10"/>
      <c r="G344" s="40">
        <v>1</v>
      </c>
      <c r="H344" s="41" t="s">
        <v>72</v>
      </c>
    </row>
    <row r="345" spans="1:8" ht="12.75">
      <c r="A345" s="10" t="s">
        <v>964</v>
      </c>
      <c r="B345" s="10"/>
      <c r="C345" s="10" t="s">
        <v>969</v>
      </c>
      <c r="D345" s="10" t="s">
        <v>970</v>
      </c>
      <c r="E345" s="10" t="s">
        <v>131</v>
      </c>
      <c r="F345" s="10"/>
      <c r="G345" s="40">
        <v>1</v>
      </c>
      <c r="H345" s="41"/>
    </row>
    <row r="346" spans="1:8" ht="12.75">
      <c r="A346" s="10" t="s">
        <v>968</v>
      </c>
      <c r="B346" s="10"/>
      <c r="C346" s="10" t="s">
        <v>972</v>
      </c>
      <c r="D346" s="10" t="s">
        <v>973</v>
      </c>
      <c r="E346" s="10" t="s">
        <v>131</v>
      </c>
      <c r="F346" s="10"/>
      <c r="G346" s="40">
        <v>1</v>
      </c>
      <c r="H346" s="41"/>
    </row>
    <row r="347" spans="1:8" ht="12.75">
      <c r="A347" s="10" t="s">
        <v>971</v>
      </c>
      <c r="B347" s="10"/>
      <c r="C347" s="10" t="s">
        <v>977</v>
      </c>
      <c r="D347" s="10" t="s">
        <v>978</v>
      </c>
      <c r="E347" s="10" t="s">
        <v>113</v>
      </c>
      <c r="F347" s="10" t="s">
        <v>979</v>
      </c>
      <c r="G347" s="40">
        <v>45.21</v>
      </c>
      <c r="H347" s="41" t="s">
        <v>72</v>
      </c>
    </row>
    <row r="348" spans="1:8" ht="12.75">
      <c r="A348" s="10" t="s">
        <v>976</v>
      </c>
      <c r="B348" s="10"/>
      <c r="C348" s="10" t="s">
        <v>981</v>
      </c>
      <c r="D348" s="10" t="s">
        <v>982</v>
      </c>
      <c r="E348" s="10" t="s">
        <v>113</v>
      </c>
      <c r="F348" s="10" t="s">
        <v>979</v>
      </c>
      <c r="G348" s="40">
        <v>45.21</v>
      </c>
      <c r="H348" s="41" t="s">
        <v>72</v>
      </c>
    </row>
    <row r="349" spans="1:8" ht="12.75">
      <c r="A349" s="10" t="s">
        <v>980</v>
      </c>
      <c r="B349" s="10"/>
      <c r="C349" s="10" t="s">
        <v>984</v>
      </c>
      <c r="D349" s="10" t="s">
        <v>985</v>
      </c>
      <c r="E349" s="10" t="s">
        <v>113</v>
      </c>
      <c r="F349" s="10" t="s">
        <v>986</v>
      </c>
      <c r="G349" s="40">
        <v>43.54</v>
      </c>
      <c r="H349" s="41" t="s">
        <v>72</v>
      </c>
    </row>
    <row r="350" spans="1:8" ht="12.75">
      <c r="A350" s="10" t="s">
        <v>983</v>
      </c>
      <c r="B350" s="10"/>
      <c r="C350" s="10" t="s">
        <v>988</v>
      </c>
      <c r="D350" s="10" t="s">
        <v>989</v>
      </c>
      <c r="E350" s="10" t="s">
        <v>113</v>
      </c>
      <c r="F350" s="10" t="s">
        <v>979</v>
      </c>
      <c r="G350" s="40">
        <v>45.21</v>
      </c>
      <c r="H350" s="41" t="s">
        <v>72</v>
      </c>
    </row>
    <row r="351" spans="1:8" ht="12.75">
      <c r="A351" s="10" t="s">
        <v>987</v>
      </c>
      <c r="B351" s="10"/>
      <c r="C351" s="10" t="s">
        <v>991</v>
      </c>
      <c r="D351" s="10" t="s">
        <v>992</v>
      </c>
      <c r="E351" s="10" t="s">
        <v>113</v>
      </c>
      <c r="F351" s="10" t="s">
        <v>993</v>
      </c>
      <c r="G351" s="40">
        <v>271.26</v>
      </c>
      <c r="H351" s="41" t="s">
        <v>72</v>
      </c>
    </row>
    <row r="352" spans="1:8" ht="12.75">
      <c r="A352" s="10" t="s">
        <v>990</v>
      </c>
      <c r="B352" s="10"/>
      <c r="C352" s="10" t="s">
        <v>995</v>
      </c>
      <c r="D352" s="10" t="s">
        <v>996</v>
      </c>
      <c r="E352" s="10" t="s">
        <v>113</v>
      </c>
      <c r="F352" s="10" t="s">
        <v>997</v>
      </c>
      <c r="G352" s="40">
        <v>1.67</v>
      </c>
      <c r="H352" s="41"/>
    </row>
  </sheetData>
  <sheetProtection selectLockedCells="1" selectUnlockedCells="1"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J26" sqref="J26"/>
    </sheetView>
  </sheetViews>
  <sheetFormatPr defaultColWidth="11.421875" defaultRowHeight="12.75"/>
  <cols>
    <col min="1" max="3" width="11.57421875" style="0" customWidth="1"/>
    <col min="4" max="4" width="47.57421875" style="0" customWidth="1"/>
    <col min="5" max="5" width="13.8515625" style="0" customWidth="1"/>
    <col min="6" max="6" width="23.00390625" style="0" customWidth="1"/>
    <col min="7" max="7" width="18.8515625" style="0" customWidth="1"/>
    <col min="8" max="8" width="16.00390625" style="0" customWidth="1"/>
    <col min="9" max="16384" width="11.57421875" style="0" customWidth="1"/>
  </cols>
  <sheetData>
    <row r="1" spans="1:8" ht="21.75" customHeight="1">
      <c r="A1" s="1" t="s">
        <v>1107</v>
      </c>
      <c r="B1" s="1"/>
      <c r="C1" s="1"/>
      <c r="D1" s="1"/>
      <c r="E1" s="1"/>
      <c r="F1" s="1"/>
      <c r="G1" s="1"/>
      <c r="H1" s="1"/>
    </row>
    <row r="2" spans="1:9" ht="14.25" customHeight="1">
      <c r="A2" s="2" t="s">
        <v>1</v>
      </c>
      <c r="B2" s="2"/>
      <c r="C2" s="3" t="s">
        <v>1000</v>
      </c>
      <c r="D2" s="3"/>
      <c r="E2" s="5" t="s">
        <v>4</v>
      </c>
      <c r="F2" s="6"/>
      <c r="G2" s="6"/>
      <c r="H2" s="6"/>
      <c r="I2" s="7"/>
    </row>
    <row r="3" spans="1:9" ht="14.25">
      <c r="A3" s="2"/>
      <c r="B3" s="2"/>
      <c r="C3" s="3"/>
      <c r="D3" s="3"/>
      <c r="E3" s="5"/>
      <c r="F3" s="5"/>
      <c r="G3" s="6"/>
      <c r="H3" s="6"/>
      <c r="I3" s="7"/>
    </row>
    <row r="4" spans="1:9" ht="14.25" customHeight="1">
      <c r="A4" s="8" t="s">
        <v>6</v>
      </c>
      <c r="B4" s="8"/>
      <c r="C4" s="9" t="s">
        <v>1001</v>
      </c>
      <c r="D4" s="9"/>
      <c r="E4" s="9" t="s">
        <v>9</v>
      </c>
      <c r="F4" s="12"/>
      <c r="G4" s="12"/>
      <c r="H4" s="12"/>
      <c r="I4" s="7"/>
    </row>
    <row r="5" spans="1:9" ht="14.25">
      <c r="A5" s="8"/>
      <c r="B5" s="8"/>
      <c r="C5" s="9"/>
      <c r="D5" s="9"/>
      <c r="E5" s="9"/>
      <c r="F5" s="9"/>
      <c r="G5" s="12"/>
      <c r="H5" s="12"/>
      <c r="I5" s="7"/>
    </row>
    <row r="6" spans="1:9" ht="14.25" customHeight="1">
      <c r="A6" s="8" t="s">
        <v>11</v>
      </c>
      <c r="B6" s="8"/>
      <c r="C6" s="9" t="s">
        <v>1002</v>
      </c>
      <c r="D6" s="9"/>
      <c r="E6" s="9" t="s">
        <v>14</v>
      </c>
      <c r="F6" s="12"/>
      <c r="G6" s="12"/>
      <c r="H6" s="12"/>
      <c r="I6" s="7"/>
    </row>
    <row r="7" spans="1:9" ht="14.25">
      <c r="A7" s="8"/>
      <c r="B7" s="8"/>
      <c r="C7" s="9"/>
      <c r="D7" s="9"/>
      <c r="E7" s="9"/>
      <c r="F7" s="9"/>
      <c r="G7" s="12"/>
      <c r="H7" s="12"/>
      <c r="I7" s="7"/>
    </row>
    <row r="8" spans="1:9" ht="14.25" customHeight="1">
      <c r="A8" s="14" t="s">
        <v>17</v>
      </c>
      <c r="B8" s="14"/>
      <c r="C8" s="15" t="s">
        <v>1003</v>
      </c>
      <c r="D8" s="15"/>
      <c r="E8" s="16" t="s">
        <v>16</v>
      </c>
      <c r="F8" s="58">
        <v>41744</v>
      </c>
      <c r="G8" s="58"/>
      <c r="H8" s="58"/>
      <c r="I8" s="7"/>
    </row>
    <row r="9" spans="1:9" ht="14.25">
      <c r="A9" s="14"/>
      <c r="B9" s="14"/>
      <c r="C9" s="15"/>
      <c r="D9" s="15"/>
      <c r="E9" s="16"/>
      <c r="F9" s="16"/>
      <c r="G9" s="58"/>
      <c r="H9" s="58"/>
      <c r="I9" s="7"/>
    </row>
    <row r="10" spans="1:9" ht="14.25">
      <c r="A10" s="59" t="s">
        <v>18</v>
      </c>
      <c r="B10" s="60" t="s">
        <v>19</v>
      </c>
      <c r="C10" s="60" t="s">
        <v>20</v>
      </c>
      <c r="D10" s="60" t="s">
        <v>21</v>
      </c>
      <c r="E10" s="60" t="s">
        <v>22</v>
      </c>
      <c r="F10" s="60" t="s">
        <v>29</v>
      </c>
      <c r="G10" s="61" t="s">
        <v>23</v>
      </c>
      <c r="H10" s="62" t="s">
        <v>1108</v>
      </c>
      <c r="I10" s="25"/>
    </row>
    <row r="11" spans="1:8" ht="14.25">
      <c r="A11" s="63" t="s">
        <v>47</v>
      </c>
      <c r="B11" s="63"/>
      <c r="C11" s="63" t="s">
        <v>1053</v>
      </c>
      <c r="D11" s="63" t="s">
        <v>1054</v>
      </c>
      <c r="E11" s="63" t="s">
        <v>108</v>
      </c>
      <c r="F11" s="63"/>
      <c r="G11" s="64">
        <v>94.5</v>
      </c>
      <c r="H11" s="65"/>
    </row>
    <row r="12" spans="1:8" ht="14.25">
      <c r="A12" s="10"/>
      <c r="B12" s="10"/>
      <c r="C12" s="10"/>
      <c r="D12" s="10" t="s">
        <v>1144</v>
      </c>
      <c r="E12" s="10"/>
      <c r="F12" s="10" t="s">
        <v>1144</v>
      </c>
      <c r="G12" s="40">
        <v>35</v>
      </c>
      <c r="H12" s="54"/>
    </row>
    <row r="13" spans="1:8" ht="14.25">
      <c r="A13" s="10"/>
      <c r="B13" s="10"/>
      <c r="C13" s="10"/>
      <c r="D13" s="10" t="s">
        <v>1145</v>
      </c>
      <c r="E13" s="10"/>
      <c r="F13" s="10" t="s">
        <v>1145</v>
      </c>
      <c r="G13" s="40">
        <v>14.8</v>
      </c>
      <c r="H13" s="54"/>
    </row>
    <row r="14" spans="1:8" ht="14.25">
      <c r="A14" s="10"/>
      <c r="B14" s="10"/>
      <c r="C14" s="10"/>
      <c r="D14" s="10" t="s">
        <v>1146</v>
      </c>
      <c r="E14" s="10"/>
      <c r="F14" s="10" t="s">
        <v>1146</v>
      </c>
      <c r="G14" s="40">
        <v>13.5</v>
      </c>
      <c r="H14" s="54"/>
    </row>
    <row r="15" spans="1:8" ht="14.25">
      <c r="A15" s="10"/>
      <c r="B15" s="10"/>
      <c r="C15" s="10"/>
      <c r="D15" s="10" t="s">
        <v>1147</v>
      </c>
      <c r="E15" s="10"/>
      <c r="F15" s="10" t="s">
        <v>1147</v>
      </c>
      <c r="G15" s="40">
        <v>3.5</v>
      </c>
      <c r="H15" s="54"/>
    </row>
    <row r="16" spans="1:8" ht="14.25">
      <c r="A16" s="10"/>
      <c r="B16" s="10"/>
      <c r="C16" s="10"/>
      <c r="D16" s="10" t="s">
        <v>1148</v>
      </c>
      <c r="E16" s="10"/>
      <c r="F16" s="10" t="s">
        <v>1148</v>
      </c>
      <c r="G16" s="40">
        <v>14.2</v>
      </c>
      <c r="H16" s="54"/>
    </row>
    <row r="17" spans="1:8" ht="14.25">
      <c r="A17" s="10"/>
      <c r="B17" s="10"/>
      <c r="C17" s="10"/>
      <c r="D17" s="10" t="s">
        <v>1149</v>
      </c>
      <c r="E17" s="10"/>
      <c r="F17" s="10" t="s">
        <v>1149</v>
      </c>
      <c r="G17" s="40">
        <v>13.5</v>
      </c>
      <c r="H17" s="54"/>
    </row>
    <row r="18" spans="1:8" ht="14.25">
      <c r="A18" s="10" t="s">
        <v>51</v>
      </c>
      <c r="B18" s="10"/>
      <c r="C18" s="10" t="s">
        <v>1057</v>
      </c>
      <c r="D18" s="10" t="s">
        <v>1058</v>
      </c>
      <c r="E18" s="10" t="s">
        <v>108</v>
      </c>
      <c r="F18" s="10"/>
      <c r="G18" s="40">
        <v>120</v>
      </c>
      <c r="H18" s="41"/>
    </row>
    <row r="19" spans="1:8" ht="14.25">
      <c r="A19" s="10"/>
      <c r="B19" s="10"/>
      <c r="C19" s="10"/>
      <c r="D19" s="10" t="s">
        <v>1150</v>
      </c>
      <c r="E19" s="10"/>
      <c r="F19" s="10" t="s">
        <v>1150</v>
      </c>
      <c r="G19" s="40">
        <v>110</v>
      </c>
      <c r="H19" s="54"/>
    </row>
    <row r="20" spans="1:8" ht="14.25">
      <c r="A20" s="10"/>
      <c r="B20" s="10"/>
      <c r="C20" s="10"/>
      <c r="D20" s="10" t="s">
        <v>1151</v>
      </c>
      <c r="E20" s="10"/>
      <c r="F20" s="10" t="s">
        <v>1151</v>
      </c>
      <c r="G20" s="40">
        <v>10</v>
      </c>
      <c r="H20" s="54"/>
    </row>
    <row r="21" spans="1:8" ht="14.25">
      <c r="A21" s="10" t="s">
        <v>54</v>
      </c>
      <c r="B21" s="10"/>
      <c r="C21" s="10" t="s">
        <v>1061</v>
      </c>
      <c r="D21" s="10" t="s">
        <v>1062</v>
      </c>
      <c r="E21" s="10" t="s">
        <v>1063</v>
      </c>
      <c r="F21" s="10"/>
      <c r="G21" s="40">
        <v>1</v>
      </c>
      <c r="H21" s="41"/>
    </row>
    <row r="22" spans="1:8" ht="14.25">
      <c r="A22" s="10" t="s">
        <v>57</v>
      </c>
      <c r="B22" s="10"/>
      <c r="C22" s="10" t="s">
        <v>1064</v>
      </c>
      <c r="D22" s="10" t="s">
        <v>1065</v>
      </c>
      <c r="E22" s="10" t="s">
        <v>1063</v>
      </c>
      <c r="F22" s="10"/>
      <c r="G22" s="40">
        <v>1</v>
      </c>
      <c r="H22" s="41"/>
    </row>
    <row r="23" spans="1:8" ht="14.25">
      <c r="A23" s="10" t="s">
        <v>60</v>
      </c>
      <c r="B23" s="10"/>
      <c r="C23" s="10" t="s">
        <v>1066</v>
      </c>
      <c r="D23" s="10" t="s">
        <v>1067</v>
      </c>
      <c r="E23" s="10" t="s">
        <v>1063</v>
      </c>
      <c r="F23" s="10"/>
      <c r="G23" s="40">
        <v>1</v>
      </c>
      <c r="H23" s="41"/>
    </row>
    <row r="24" spans="1:8" ht="14.25">
      <c r="A24" s="10" t="s">
        <v>63</v>
      </c>
      <c r="B24" s="10"/>
      <c r="C24" s="10" t="s">
        <v>1068</v>
      </c>
      <c r="D24" s="10" t="s">
        <v>1069</v>
      </c>
      <c r="E24" s="10" t="s">
        <v>1063</v>
      </c>
      <c r="F24" s="10"/>
      <c r="G24" s="40">
        <v>1</v>
      </c>
      <c r="H24" s="41"/>
    </row>
    <row r="25" spans="1:8" ht="14.25">
      <c r="A25" s="10" t="s">
        <v>68</v>
      </c>
      <c r="B25" s="10"/>
      <c r="C25" s="10" t="s">
        <v>1070</v>
      </c>
      <c r="D25" s="10" t="s">
        <v>1071</v>
      </c>
      <c r="E25" s="10" t="s">
        <v>1063</v>
      </c>
      <c r="F25" s="10"/>
      <c r="G25" s="40">
        <v>1</v>
      </c>
      <c r="H25" s="41"/>
    </row>
    <row r="26" spans="1:8" ht="14.25">
      <c r="A26" s="10" t="s">
        <v>75</v>
      </c>
      <c r="B26" s="10"/>
      <c r="C26" s="10" t="s">
        <v>1072</v>
      </c>
      <c r="D26" s="10" t="s">
        <v>1073</v>
      </c>
      <c r="E26" s="10" t="s">
        <v>1063</v>
      </c>
      <c r="F26" s="10"/>
      <c r="G26" s="40">
        <v>1</v>
      </c>
      <c r="H26" s="41"/>
    </row>
    <row r="27" spans="1:8" ht="14.25">
      <c r="A27" s="10" t="s">
        <v>80</v>
      </c>
      <c r="B27" s="10"/>
      <c r="C27" s="10" t="s">
        <v>1074</v>
      </c>
      <c r="D27" s="10" t="s">
        <v>1075</v>
      </c>
      <c r="E27" s="10" t="s">
        <v>1063</v>
      </c>
      <c r="F27" s="10"/>
      <c r="G27" s="40">
        <v>1</v>
      </c>
      <c r="H27" s="41"/>
    </row>
    <row r="28" spans="1:8" ht="14.25">
      <c r="A28" s="10" t="s">
        <v>87</v>
      </c>
      <c r="B28" s="10"/>
      <c r="C28" s="10" t="s">
        <v>1076</v>
      </c>
      <c r="D28" s="10" t="s">
        <v>1077</v>
      </c>
      <c r="E28" s="10" t="s">
        <v>1063</v>
      </c>
      <c r="F28" s="10"/>
      <c r="G28" s="40">
        <v>7</v>
      </c>
      <c r="H28" s="41"/>
    </row>
    <row r="29" spans="1:8" ht="14.25">
      <c r="A29" s="10"/>
      <c r="B29" s="10"/>
      <c r="C29" s="10"/>
      <c r="D29" s="10" t="s">
        <v>1152</v>
      </c>
      <c r="E29" s="10"/>
      <c r="F29" s="10" t="s">
        <v>1152</v>
      </c>
      <c r="G29" s="40">
        <v>7</v>
      </c>
      <c r="H29" s="54"/>
    </row>
    <row r="30" spans="1:8" ht="14.25">
      <c r="A30" s="10" t="s">
        <v>66</v>
      </c>
      <c r="B30" s="10"/>
      <c r="C30" s="10" t="s">
        <v>1078</v>
      </c>
      <c r="D30" s="10" t="s">
        <v>1079</v>
      </c>
      <c r="E30" s="10" t="s">
        <v>1063</v>
      </c>
      <c r="F30" s="10"/>
      <c r="G30" s="40">
        <v>5</v>
      </c>
      <c r="H30" s="41"/>
    </row>
    <row r="31" spans="1:8" ht="14.25">
      <c r="A31" s="10"/>
      <c r="B31" s="10"/>
      <c r="C31" s="10"/>
      <c r="D31" s="10" t="s">
        <v>1153</v>
      </c>
      <c r="E31" s="10"/>
      <c r="F31" s="10" t="s">
        <v>1153</v>
      </c>
      <c r="G31" s="40">
        <v>5</v>
      </c>
      <c r="H31" s="54"/>
    </row>
    <row r="32" spans="1:8" ht="14.25">
      <c r="A32" s="10" t="s">
        <v>78</v>
      </c>
      <c r="B32" s="10"/>
      <c r="C32" s="10" t="s">
        <v>1080</v>
      </c>
      <c r="D32" s="10" t="s">
        <v>1081</v>
      </c>
      <c r="E32" s="10" t="s">
        <v>1063</v>
      </c>
      <c r="F32" s="10"/>
      <c r="G32" s="40">
        <v>50</v>
      </c>
      <c r="H32" s="41"/>
    </row>
    <row r="33" spans="1:8" ht="14.25">
      <c r="A33" s="10"/>
      <c r="B33" s="10"/>
      <c r="C33" s="10"/>
      <c r="D33" s="10" t="s">
        <v>1154</v>
      </c>
      <c r="E33" s="10"/>
      <c r="F33" s="10" t="s">
        <v>1154</v>
      </c>
      <c r="G33" s="40">
        <v>50</v>
      </c>
      <c r="H33" s="54"/>
    </row>
    <row r="34" spans="1:8" ht="14.25">
      <c r="A34" s="10" t="s">
        <v>85</v>
      </c>
      <c r="B34" s="10"/>
      <c r="C34" s="10" t="s">
        <v>1082</v>
      </c>
      <c r="D34" s="10" t="s">
        <v>1083</v>
      </c>
      <c r="E34" s="10" t="s">
        <v>1063</v>
      </c>
      <c r="F34" s="10"/>
      <c r="G34" s="40">
        <v>150</v>
      </c>
      <c r="H34" s="41"/>
    </row>
    <row r="35" spans="1:8" ht="14.25">
      <c r="A35" s="10"/>
      <c r="B35" s="10"/>
      <c r="C35" s="10"/>
      <c r="D35" s="10" t="s">
        <v>1155</v>
      </c>
      <c r="E35" s="10"/>
      <c r="F35" s="10" t="s">
        <v>1155</v>
      </c>
      <c r="G35" s="40">
        <v>100</v>
      </c>
      <c r="H35" s="54"/>
    </row>
    <row r="36" spans="1:8" ht="14.25">
      <c r="A36" s="10"/>
      <c r="B36" s="10"/>
      <c r="C36" s="10"/>
      <c r="D36" s="10" t="s">
        <v>1156</v>
      </c>
      <c r="E36" s="10"/>
      <c r="F36" s="10" t="s">
        <v>1156</v>
      </c>
      <c r="G36" s="40">
        <v>50</v>
      </c>
      <c r="H36" s="54"/>
    </row>
    <row r="37" spans="1:8" ht="14.25">
      <c r="A37" s="10" t="s">
        <v>105</v>
      </c>
      <c r="B37" s="10"/>
      <c r="C37" s="10" t="s">
        <v>1084</v>
      </c>
      <c r="D37" s="10" t="s">
        <v>1085</v>
      </c>
      <c r="E37" s="10" t="s">
        <v>1063</v>
      </c>
      <c r="F37" s="10"/>
      <c r="G37" s="40">
        <v>7</v>
      </c>
      <c r="H37" s="41"/>
    </row>
    <row r="38" spans="1:8" ht="14.25">
      <c r="A38" s="10" t="s">
        <v>110</v>
      </c>
      <c r="B38" s="10"/>
      <c r="C38" s="10" t="s">
        <v>1086</v>
      </c>
      <c r="D38" s="10" t="s">
        <v>1087</v>
      </c>
      <c r="E38" s="10" t="s">
        <v>1063</v>
      </c>
      <c r="F38" s="10"/>
      <c r="G38" s="40">
        <v>7</v>
      </c>
      <c r="H38" s="41"/>
    </row>
    <row r="39" spans="1:8" ht="14.25">
      <c r="A39" s="10" t="s">
        <v>115</v>
      </c>
      <c r="B39" s="10"/>
      <c r="C39" s="10" t="s">
        <v>1088</v>
      </c>
      <c r="D39" s="10" t="s">
        <v>1089</v>
      </c>
      <c r="E39" s="10" t="s">
        <v>1063</v>
      </c>
      <c r="F39" s="10"/>
      <c r="G39" s="40">
        <v>14</v>
      </c>
      <c r="H39" s="41"/>
    </row>
    <row r="40" spans="1:8" ht="14.25">
      <c r="A40" s="10" t="s">
        <v>91</v>
      </c>
      <c r="B40" s="10"/>
      <c r="C40" s="10" t="s">
        <v>1090</v>
      </c>
      <c r="D40" s="10" t="s">
        <v>1091</v>
      </c>
      <c r="E40" s="10" t="s">
        <v>1063</v>
      </c>
      <c r="F40" s="10"/>
      <c r="G40" s="40">
        <v>245</v>
      </c>
      <c r="H40" s="41"/>
    </row>
    <row r="41" spans="1:8" ht="14.25">
      <c r="A41" s="10"/>
      <c r="B41" s="10"/>
      <c r="C41" s="10"/>
      <c r="D41" s="10" t="s">
        <v>1157</v>
      </c>
      <c r="E41" s="10"/>
      <c r="F41" s="10" t="s">
        <v>1157</v>
      </c>
      <c r="G41" s="40">
        <v>245</v>
      </c>
      <c r="H41" s="54"/>
    </row>
    <row r="42" spans="1:8" ht="14.25">
      <c r="A42" s="10" t="s">
        <v>95</v>
      </c>
      <c r="B42" s="10"/>
      <c r="C42" s="10" t="s">
        <v>1092</v>
      </c>
      <c r="D42" s="10" t="s">
        <v>1093</v>
      </c>
      <c r="E42" s="10" t="s">
        <v>1063</v>
      </c>
      <c r="F42" s="10"/>
      <c r="G42" s="40">
        <v>15</v>
      </c>
      <c r="H42" s="41"/>
    </row>
    <row r="43" spans="1:8" ht="14.25">
      <c r="A43" s="10"/>
      <c r="B43" s="10"/>
      <c r="C43" s="10"/>
      <c r="D43" s="10" t="s">
        <v>1158</v>
      </c>
      <c r="E43" s="10"/>
      <c r="F43" s="10" t="s">
        <v>1158</v>
      </c>
      <c r="G43" s="40">
        <v>15</v>
      </c>
      <c r="H43" s="54"/>
    </row>
    <row r="44" spans="1:8" ht="14.25">
      <c r="A44" s="10" t="s">
        <v>128</v>
      </c>
      <c r="B44" s="10"/>
      <c r="C44" s="10" t="s">
        <v>1094</v>
      </c>
      <c r="D44" s="10" t="s">
        <v>1095</v>
      </c>
      <c r="E44" s="10" t="s">
        <v>1063</v>
      </c>
      <c r="F44" s="10"/>
      <c r="G44" s="40">
        <v>26</v>
      </c>
      <c r="H44" s="41"/>
    </row>
    <row r="45" spans="1:8" ht="14.25">
      <c r="A45" s="10"/>
      <c r="B45" s="10"/>
      <c r="C45" s="10"/>
      <c r="D45" s="10" t="s">
        <v>1159</v>
      </c>
      <c r="E45" s="10"/>
      <c r="F45" s="10" t="s">
        <v>1159</v>
      </c>
      <c r="G45" s="40">
        <v>26</v>
      </c>
      <c r="H45" s="54"/>
    </row>
    <row r="46" spans="1:8" ht="14.25">
      <c r="A46" s="10" t="s">
        <v>133</v>
      </c>
      <c r="B46" s="10"/>
      <c r="C46" s="10" t="s">
        <v>1096</v>
      </c>
      <c r="D46" s="10" t="s">
        <v>1097</v>
      </c>
      <c r="E46" s="10" t="s">
        <v>1063</v>
      </c>
      <c r="F46" s="10"/>
      <c r="G46" s="40">
        <v>90</v>
      </c>
      <c r="H46" s="41"/>
    </row>
    <row r="47" spans="1:8" ht="14.25">
      <c r="A47" s="10"/>
      <c r="B47" s="10"/>
      <c r="C47" s="10"/>
      <c r="D47" s="10" t="s">
        <v>1160</v>
      </c>
      <c r="E47" s="10"/>
      <c r="F47" s="10" t="s">
        <v>1160</v>
      </c>
      <c r="G47" s="40">
        <v>90</v>
      </c>
      <c r="H47" s="54"/>
    </row>
    <row r="48" spans="1:8" ht="14.25">
      <c r="A48" s="10" t="s">
        <v>136</v>
      </c>
      <c r="B48" s="10"/>
      <c r="C48" s="10" t="s">
        <v>1098</v>
      </c>
      <c r="D48" s="10" t="s">
        <v>1099</v>
      </c>
      <c r="E48" s="10" t="s">
        <v>1063</v>
      </c>
      <c r="F48" s="10"/>
      <c r="G48" s="40">
        <v>20</v>
      </c>
      <c r="H48" s="41"/>
    </row>
    <row r="49" spans="1:8" ht="14.25">
      <c r="A49" s="10"/>
      <c r="B49" s="10"/>
      <c r="C49" s="10"/>
      <c r="D49" s="10" t="s">
        <v>1161</v>
      </c>
      <c r="E49" s="10"/>
      <c r="F49" s="10" t="s">
        <v>1161</v>
      </c>
      <c r="G49" s="40">
        <v>20</v>
      </c>
      <c r="H49" s="54"/>
    </row>
    <row r="50" spans="1:8" ht="14.25">
      <c r="A50" s="10" t="s">
        <v>140</v>
      </c>
      <c r="B50" s="10"/>
      <c r="C50" s="10" t="s">
        <v>1100</v>
      </c>
      <c r="D50" s="10" t="s">
        <v>1101</v>
      </c>
      <c r="E50" s="10" t="s">
        <v>1063</v>
      </c>
      <c r="F50" s="10"/>
      <c r="G50" s="40">
        <v>2</v>
      </c>
      <c r="H50" s="41"/>
    </row>
    <row r="51" spans="1:8" ht="14.25">
      <c r="A51" s="10"/>
      <c r="B51" s="10"/>
      <c r="C51" s="10"/>
      <c r="D51" s="10" t="s">
        <v>1162</v>
      </c>
      <c r="E51" s="10"/>
      <c r="F51" s="10" t="s">
        <v>1162</v>
      </c>
      <c r="G51" s="40">
        <v>2</v>
      </c>
      <c r="H51" s="54"/>
    </row>
    <row r="52" spans="1:8" ht="14.25">
      <c r="A52" s="10" t="s">
        <v>145</v>
      </c>
      <c r="B52" s="10"/>
      <c r="C52" s="10" t="s">
        <v>1102</v>
      </c>
      <c r="D52" s="10" t="s">
        <v>1103</v>
      </c>
      <c r="E52" s="10" t="s">
        <v>1063</v>
      </c>
      <c r="F52" s="10"/>
      <c r="G52" s="40">
        <v>1</v>
      </c>
      <c r="H52" s="41"/>
    </row>
    <row r="53" spans="1:8" ht="14.25">
      <c r="A53" s="10" t="s">
        <v>149</v>
      </c>
      <c r="B53" s="10"/>
      <c r="C53" s="10" t="s">
        <v>1104</v>
      </c>
      <c r="D53" s="10" t="s">
        <v>1105</v>
      </c>
      <c r="E53" s="10" t="s">
        <v>1106</v>
      </c>
      <c r="F53" s="10"/>
      <c r="G53" s="40">
        <v>1</v>
      </c>
      <c r="H53" s="41"/>
    </row>
  </sheetData>
  <sheetProtection selectLockedCells="1" selectUnlockedCells="1"/>
  <mergeCells count="17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6384" width="11.57421875" style="0" customWidth="1"/>
  </cols>
  <sheetData>
    <row r="1" spans="1:9" ht="28.5" customHeight="1">
      <c r="A1" s="66" t="s">
        <v>1163</v>
      </c>
      <c r="B1" s="66"/>
      <c r="C1" s="66"/>
      <c r="D1" s="66"/>
      <c r="E1" s="66"/>
      <c r="F1" s="66"/>
      <c r="G1" s="66"/>
      <c r="H1" s="66"/>
      <c r="I1" s="66"/>
    </row>
    <row r="2" spans="1:10" ht="12.75" customHeight="1">
      <c r="A2" s="2" t="s">
        <v>1</v>
      </c>
      <c r="B2" s="2"/>
      <c r="C2" s="3" t="s">
        <v>2</v>
      </c>
      <c r="D2" s="3"/>
      <c r="E2" s="5" t="s">
        <v>4</v>
      </c>
      <c r="F2" s="5" t="s">
        <v>5</v>
      </c>
      <c r="G2" s="5"/>
      <c r="H2" s="5" t="s">
        <v>1164</v>
      </c>
      <c r="I2" s="67"/>
      <c r="J2" s="7"/>
    </row>
    <row r="3" spans="1:10" ht="12.75">
      <c r="A3" s="2"/>
      <c r="B3" s="2"/>
      <c r="C3" s="3"/>
      <c r="D3" s="3"/>
      <c r="E3" s="5"/>
      <c r="F3" s="5"/>
      <c r="G3" s="5"/>
      <c r="H3" s="5"/>
      <c r="I3" s="67"/>
      <c r="J3" s="7"/>
    </row>
    <row r="4" spans="1:10" ht="12.75" customHeight="1">
      <c r="A4" s="8" t="s">
        <v>6</v>
      </c>
      <c r="B4" s="8"/>
      <c r="C4" s="9" t="s">
        <v>7</v>
      </c>
      <c r="D4" s="9"/>
      <c r="E4" s="9" t="s">
        <v>9</v>
      </c>
      <c r="F4" s="9" t="s">
        <v>10</v>
      </c>
      <c r="G4" s="9"/>
      <c r="H4" s="9" t="s">
        <v>1164</v>
      </c>
      <c r="I4" s="68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68"/>
      <c r="J5" s="7"/>
    </row>
    <row r="6" spans="1:10" ht="12.75" customHeight="1">
      <c r="A6" s="8" t="s">
        <v>11</v>
      </c>
      <c r="B6" s="8"/>
      <c r="C6" s="9" t="s">
        <v>12</v>
      </c>
      <c r="D6" s="9"/>
      <c r="E6" s="9" t="s">
        <v>14</v>
      </c>
      <c r="F6" s="9"/>
      <c r="G6" s="9"/>
      <c r="H6" s="9" t="s">
        <v>1164</v>
      </c>
      <c r="I6" s="68"/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68"/>
      <c r="J7" s="7"/>
    </row>
    <row r="8" spans="1:10" ht="12.75" customHeight="1">
      <c r="A8" s="8" t="s">
        <v>8</v>
      </c>
      <c r="B8" s="8"/>
      <c r="C8" s="11">
        <v>41737</v>
      </c>
      <c r="D8" s="11"/>
      <c r="E8" s="9" t="s">
        <v>13</v>
      </c>
      <c r="F8" s="13"/>
      <c r="G8" s="13"/>
      <c r="H8" s="10" t="s">
        <v>1165</v>
      </c>
      <c r="I8" s="68" t="s">
        <v>994</v>
      </c>
      <c r="J8" s="7"/>
    </row>
    <row r="9" spans="1:10" ht="12.75">
      <c r="A9" s="8"/>
      <c r="B9" s="8"/>
      <c r="C9" s="11"/>
      <c r="D9" s="11"/>
      <c r="E9" s="9"/>
      <c r="F9" s="9"/>
      <c r="G9" s="13"/>
      <c r="H9" s="10"/>
      <c r="I9" s="68"/>
      <c r="J9" s="7"/>
    </row>
    <row r="10" spans="1:10" ht="12.75" customHeight="1">
      <c r="A10" s="69" t="s">
        <v>15</v>
      </c>
      <c r="B10" s="69"/>
      <c r="C10" s="70"/>
      <c r="D10" s="70"/>
      <c r="E10" s="70" t="s">
        <v>17</v>
      </c>
      <c r="F10" s="70"/>
      <c r="G10" s="70"/>
      <c r="H10" s="55" t="s">
        <v>1166</v>
      </c>
      <c r="I10" s="71">
        <v>41737</v>
      </c>
      <c r="J10" s="7"/>
    </row>
    <row r="11" spans="1:10" ht="12.75">
      <c r="A11" s="69"/>
      <c r="B11" s="69"/>
      <c r="C11" s="70"/>
      <c r="D11" s="70"/>
      <c r="E11" s="70"/>
      <c r="F11" s="70"/>
      <c r="G11" s="70"/>
      <c r="H11" s="55"/>
      <c r="I11" s="71"/>
      <c r="J11" s="7"/>
    </row>
    <row r="12" spans="1:9" ht="23.25" customHeight="1">
      <c r="A12" s="72" t="s">
        <v>1167</v>
      </c>
      <c r="B12" s="72"/>
      <c r="C12" s="72"/>
      <c r="D12" s="72"/>
      <c r="E12" s="72"/>
      <c r="F12" s="72"/>
      <c r="G12" s="72"/>
      <c r="H12" s="72"/>
      <c r="I12" s="72"/>
    </row>
    <row r="13" spans="1:10" ht="26.25" customHeight="1">
      <c r="A13" s="73" t="s">
        <v>1168</v>
      </c>
      <c r="B13" s="74" t="s">
        <v>1169</v>
      </c>
      <c r="C13" s="74"/>
      <c r="D13" s="73" t="s">
        <v>1170</v>
      </c>
      <c r="E13" s="74" t="s">
        <v>1171</v>
      </c>
      <c r="F13" s="74"/>
      <c r="G13" s="73" t="s">
        <v>1172</v>
      </c>
      <c r="H13" s="74" t="s">
        <v>1173</v>
      </c>
      <c r="I13" s="74"/>
      <c r="J13" s="7"/>
    </row>
    <row r="14" spans="1:10" ht="15" customHeight="1">
      <c r="A14" s="75" t="s">
        <v>1174</v>
      </c>
      <c r="B14" s="76" t="s">
        <v>1175</v>
      </c>
      <c r="C14" s="77">
        <f>SUM('Stavební rozpočet'!R12:R554)</f>
        <v>0</v>
      </c>
      <c r="D14" s="76" t="s">
        <v>1176</v>
      </c>
      <c r="E14" s="76"/>
      <c r="F14" s="77">
        <f>ROUND(C22*(10/100),2)</f>
        <v>0</v>
      </c>
      <c r="G14" s="76" t="s">
        <v>65</v>
      </c>
      <c r="H14" s="76"/>
      <c r="I14" s="77">
        <v>0</v>
      </c>
      <c r="J14" s="7"/>
    </row>
    <row r="15" spans="1:10" ht="15" customHeight="1">
      <c r="A15" s="78"/>
      <c r="B15" s="76" t="s">
        <v>32</v>
      </c>
      <c r="C15" s="77">
        <f>SUM('Stavební rozpočet'!S12:S554)</f>
        <v>0</v>
      </c>
      <c r="D15" s="76" t="s">
        <v>1177</v>
      </c>
      <c r="E15" s="76"/>
      <c r="F15" s="77">
        <v>0</v>
      </c>
      <c r="G15" s="76" t="s">
        <v>1178</v>
      </c>
      <c r="H15" s="76"/>
      <c r="I15" s="77">
        <v>0</v>
      </c>
      <c r="J15" s="7"/>
    </row>
    <row r="16" spans="1:10" ht="15" customHeight="1">
      <c r="A16" s="75" t="s">
        <v>1179</v>
      </c>
      <c r="B16" s="76" t="s">
        <v>1175</v>
      </c>
      <c r="C16" s="77">
        <f>SUM('Stavební rozpočet'!T12:T554)</f>
        <v>0</v>
      </c>
      <c r="D16" s="76" t="s">
        <v>1180</v>
      </c>
      <c r="E16" s="76"/>
      <c r="F16" s="77">
        <v>0</v>
      </c>
      <c r="G16" s="76" t="s">
        <v>59</v>
      </c>
      <c r="H16" s="76"/>
      <c r="I16" s="77">
        <v>0</v>
      </c>
      <c r="J16" s="7"/>
    </row>
    <row r="17" spans="1:10" ht="15" customHeight="1">
      <c r="A17" s="78"/>
      <c r="B17" s="76" t="s">
        <v>32</v>
      </c>
      <c r="C17" s="77">
        <f>SUM('Stavební rozpočet'!U12:U554)</f>
        <v>0</v>
      </c>
      <c r="D17" s="76"/>
      <c r="E17" s="76"/>
      <c r="F17" s="79"/>
      <c r="G17" s="76" t="s">
        <v>62</v>
      </c>
      <c r="H17" s="76"/>
      <c r="I17" s="77">
        <v>0</v>
      </c>
      <c r="J17" s="7"/>
    </row>
    <row r="18" spans="1:10" ht="15" customHeight="1">
      <c r="A18" s="75" t="s">
        <v>1181</v>
      </c>
      <c r="B18" s="76" t="s">
        <v>1175</v>
      </c>
      <c r="C18" s="77">
        <f>SUM('Stavební rozpočet'!V12:V554)</f>
        <v>0</v>
      </c>
      <c r="D18" s="76"/>
      <c r="E18" s="76"/>
      <c r="F18" s="79"/>
      <c r="G18" s="76" t="s">
        <v>1182</v>
      </c>
      <c r="H18" s="76"/>
      <c r="I18" s="77">
        <v>0</v>
      </c>
      <c r="J18" s="7"/>
    </row>
    <row r="19" spans="1:10" ht="15" customHeight="1">
      <c r="A19" s="78"/>
      <c r="B19" s="76" t="s">
        <v>32</v>
      </c>
      <c r="C19" s="77">
        <f>SUM('Stavební rozpočet'!W12:W554)</f>
        <v>0</v>
      </c>
      <c r="D19" s="76"/>
      <c r="E19" s="76"/>
      <c r="F19" s="79"/>
      <c r="G19" s="76" t="s">
        <v>1183</v>
      </c>
      <c r="H19" s="76"/>
      <c r="I19" s="77">
        <v>0</v>
      </c>
      <c r="J19" s="7"/>
    </row>
    <row r="20" spans="1:10" ht="15" customHeight="1">
      <c r="A20" s="80" t="s">
        <v>1051</v>
      </c>
      <c r="B20" s="80"/>
      <c r="C20" s="77">
        <f>SUM('Stavební rozpočet'!X12:X554)</f>
        <v>0</v>
      </c>
      <c r="D20" s="76"/>
      <c r="E20" s="76"/>
      <c r="F20" s="79"/>
      <c r="G20" s="76"/>
      <c r="H20" s="76"/>
      <c r="I20" s="79"/>
      <c r="J20" s="7"/>
    </row>
    <row r="21" spans="1:10" ht="15" customHeight="1">
      <c r="A21" s="80" t="s">
        <v>1184</v>
      </c>
      <c r="B21" s="80"/>
      <c r="C21" s="77">
        <f>SUM('Stavební rozpočet'!P12:P554)</f>
        <v>0</v>
      </c>
      <c r="D21" s="76"/>
      <c r="E21" s="76"/>
      <c r="F21" s="79"/>
      <c r="G21" s="76"/>
      <c r="H21" s="76"/>
      <c r="I21" s="79"/>
      <c r="J21" s="7"/>
    </row>
    <row r="22" spans="1:10" ht="16.5" customHeight="1">
      <c r="A22" s="80" t="s">
        <v>1185</v>
      </c>
      <c r="B22" s="80"/>
      <c r="C22" s="77">
        <f>SUM(C14:C21)</f>
        <v>0</v>
      </c>
      <c r="D22" s="80" t="s">
        <v>1186</v>
      </c>
      <c r="E22" s="80"/>
      <c r="F22" s="77">
        <f>SUM(F14:F21)</f>
        <v>0</v>
      </c>
      <c r="G22" s="80" t="s">
        <v>1187</v>
      </c>
      <c r="H22" s="80"/>
      <c r="I22" s="77">
        <f>SUM(I14:I21)</f>
        <v>0</v>
      </c>
      <c r="J22" s="7"/>
    </row>
    <row r="23" spans="1:10" ht="15" customHeight="1">
      <c r="A23" s="49"/>
      <c r="B23" s="49"/>
      <c r="C23" s="81"/>
      <c r="D23" s="80" t="s">
        <v>1188</v>
      </c>
      <c r="E23" s="80"/>
      <c r="F23" s="82">
        <v>0</v>
      </c>
      <c r="G23" s="80" t="s">
        <v>1189</v>
      </c>
      <c r="H23" s="80"/>
      <c r="I23" s="77">
        <v>0</v>
      </c>
      <c r="J23" s="7"/>
    </row>
    <row r="24" spans="4:10" ht="15" customHeight="1">
      <c r="D24" s="49"/>
      <c r="E24" s="49"/>
      <c r="F24" s="83"/>
      <c r="G24" s="80" t="s">
        <v>1190</v>
      </c>
      <c r="H24" s="80"/>
      <c r="I24" s="77">
        <f>vorn_sum</f>
        <v>0</v>
      </c>
      <c r="J24" s="7"/>
    </row>
    <row r="25" spans="6:10" ht="15" customHeight="1">
      <c r="F25" s="84"/>
      <c r="G25" s="80" t="s">
        <v>1191</v>
      </c>
      <c r="H25" s="80"/>
      <c r="I25" s="77">
        <v>0</v>
      </c>
      <c r="J25" s="7"/>
    </row>
    <row r="26" spans="1:9" ht="12.75">
      <c r="A26" s="46"/>
      <c r="B26" s="46"/>
      <c r="C26" s="46"/>
      <c r="G26" s="49"/>
      <c r="H26" s="49"/>
      <c r="I26" s="49"/>
    </row>
    <row r="27" spans="1:9" ht="15" customHeight="1">
      <c r="A27" s="85" t="s">
        <v>1192</v>
      </c>
      <c r="B27" s="85"/>
      <c r="C27" s="86">
        <f>SUM('Stavební rozpočet'!Z12:Z554)</f>
        <v>0</v>
      </c>
      <c r="D27" s="87"/>
      <c r="E27" s="46"/>
      <c r="F27" s="46"/>
      <c r="G27" s="46"/>
      <c r="H27" s="46"/>
      <c r="I27" s="46"/>
    </row>
    <row r="28" spans="1:10" ht="15" customHeight="1">
      <c r="A28" s="85" t="s">
        <v>1193</v>
      </c>
      <c r="B28" s="85"/>
      <c r="C28" s="86">
        <f>SUM('Stavební rozpočet'!AA12:AA554)</f>
        <v>0</v>
      </c>
      <c r="D28" s="85" t="s">
        <v>1194</v>
      </c>
      <c r="E28" s="85"/>
      <c r="F28" s="86">
        <f>ROUND(C28*(15/100),2)</f>
        <v>0</v>
      </c>
      <c r="G28" s="85" t="s">
        <v>1195</v>
      </c>
      <c r="H28" s="85"/>
      <c r="I28" s="86">
        <f>SUM(C27:C29)</f>
        <v>0</v>
      </c>
      <c r="J28" s="7"/>
    </row>
    <row r="29" spans="1:10" ht="15" customHeight="1">
      <c r="A29" s="85" t="s">
        <v>1196</v>
      </c>
      <c r="B29" s="85"/>
      <c r="C29" s="86">
        <f>SUM('Stavební rozpočet'!AB12:AB554)+(F22+I22+F23+I23+I24+I25)</f>
        <v>0</v>
      </c>
      <c r="D29" s="85" t="s">
        <v>1197</v>
      </c>
      <c r="E29" s="85"/>
      <c r="F29" s="86">
        <f>ROUND(C29*(21/100),2)</f>
        <v>0</v>
      </c>
      <c r="G29" s="85" t="s">
        <v>1198</v>
      </c>
      <c r="H29" s="85"/>
      <c r="I29" s="86">
        <f>SUM(F28:F29)+I28</f>
        <v>0</v>
      </c>
      <c r="J29" s="7"/>
    </row>
    <row r="30" spans="1:9" ht="12.75">
      <c r="A30" s="88"/>
      <c r="B30" s="88"/>
      <c r="C30" s="88"/>
      <c r="D30" s="88"/>
      <c r="E30" s="88"/>
      <c r="F30" s="88"/>
      <c r="G30" s="88"/>
      <c r="H30" s="88"/>
      <c r="I30" s="88"/>
    </row>
    <row r="31" spans="1:10" ht="14.25" customHeight="1">
      <c r="A31" s="89" t="s">
        <v>1199</v>
      </c>
      <c r="B31" s="89"/>
      <c r="C31" s="89"/>
      <c r="D31" s="89" t="s">
        <v>1200</v>
      </c>
      <c r="E31" s="89"/>
      <c r="F31" s="89"/>
      <c r="G31" s="89" t="s">
        <v>1201</v>
      </c>
      <c r="H31" s="89"/>
      <c r="I31" s="89"/>
      <c r="J31" s="25"/>
    </row>
    <row r="32" spans="1:10" ht="14.25" customHeight="1">
      <c r="A32" s="90"/>
      <c r="B32" s="90"/>
      <c r="C32" s="90"/>
      <c r="D32" s="90"/>
      <c r="E32" s="90"/>
      <c r="F32" s="90"/>
      <c r="G32" s="90"/>
      <c r="H32" s="90"/>
      <c r="I32" s="90"/>
      <c r="J32" s="25"/>
    </row>
    <row r="33" spans="1:10" ht="14.25" customHeight="1">
      <c r="A33" s="90"/>
      <c r="B33" s="90"/>
      <c r="C33" s="90"/>
      <c r="D33" s="90"/>
      <c r="E33" s="90"/>
      <c r="F33" s="90"/>
      <c r="G33" s="90"/>
      <c r="H33" s="90"/>
      <c r="I33" s="90"/>
      <c r="J33" s="25"/>
    </row>
    <row r="34" spans="1:10" ht="14.25" customHeight="1">
      <c r="A34" s="90"/>
      <c r="B34" s="90"/>
      <c r="C34" s="90"/>
      <c r="D34" s="90"/>
      <c r="E34" s="90"/>
      <c r="F34" s="90"/>
      <c r="G34" s="90"/>
      <c r="H34" s="90"/>
      <c r="I34" s="90"/>
      <c r="J34" s="25"/>
    </row>
    <row r="35" spans="1:10" ht="14.25" customHeight="1">
      <c r="A35" s="91" t="s">
        <v>1202</v>
      </c>
      <c r="B35" s="91"/>
      <c r="C35" s="91"/>
      <c r="D35" s="91" t="s">
        <v>1202</v>
      </c>
      <c r="E35" s="91"/>
      <c r="F35" s="91"/>
      <c r="G35" s="91" t="s">
        <v>1202</v>
      </c>
      <c r="H35" s="91"/>
      <c r="I35" s="91"/>
      <c r="J35" s="25"/>
    </row>
    <row r="36" spans="1:9" ht="11.25" customHeight="1">
      <c r="A36" s="92" t="s">
        <v>999</v>
      </c>
      <c r="B36" s="93"/>
      <c r="C36" s="93"/>
      <c r="D36" s="93"/>
      <c r="E36" s="93"/>
      <c r="F36" s="93"/>
      <c r="G36" s="93"/>
      <c r="H36" s="93"/>
      <c r="I36" s="93"/>
    </row>
    <row r="37" ht="27" customHeight="1"/>
  </sheetData>
  <sheetProtection selectLockedCells="1" selectUnlockedCells="1"/>
  <mergeCells count="82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  <col min="10" max="16384" width="11.57421875" style="0" customWidth="1"/>
  </cols>
  <sheetData>
    <row r="1" spans="1:9" ht="28.5" customHeight="1">
      <c r="A1" s="66" t="s">
        <v>1203</v>
      </c>
      <c r="B1" s="66"/>
      <c r="C1" s="66"/>
      <c r="D1" s="66"/>
      <c r="E1" s="66"/>
      <c r="F1" s="66"/>
      <c r="G1" s="66"/>
      <c r="H1" s="66"/>
      <c r="I1" s="66"/>
    </row>
    <row r="2" spans="1:10" ht="12.75" customHeight="1">
      <c r="A2" s="2" t="s">
        <v>1</v>
      </c>
      <c r="B2" s="2"/>
      <c r="C2" s="3" t="s">
        <v>2</v>
      </c>
      <c r="D2" s="3"/>
      <c r="E2" s="5" t="s">
        <v>4</v>
      </c>
      <c r="F2" s="5" t="s">
        <v>5</v>
      </c>
      <c r="G2" s="5"/>
      <c r="H2" s="5" t="s">
        <v>1164</v>
      </c>
      <c r="I2" s="67"/>
      <c r="J2" s="7"/>
    </row>
    <row r="3" spans="1:10" ht="12.75">
      <c r="A3" s="2"/>
      <c r="B3" s="2"/>
      <c r="C3" s="3"/>
      <c r="D3" s="3"/>
      <c r="E3" s="5"/>
      <c r="F3" s="5"/>
      <c r="G3" s="5"/>
      <c r="H3" s="5"/>
      <c r="I3" s="67"/>
      <c r="J3" s="7"/>
    </row>
    <row r="4" spans="1:10" ht="12.75" customHeight="1">
      <c r="A4" s="8" t="s">
        <v>6</v>
      </c>
      <c r="B4" s="8"/>
      <c r="C4" s="9" t="s">
        <v>7</v>
      </c>
      <c r="D4" s="9"/>
      <c r="E4" s="9" t="s">
        <v>9</v>
      </c>
      <c r="F4" s="9" t="s">
        <v>10</v>
      </c>
      <c r="G4" s="9"/>
      <c r="H4" s="9" t="s">
        <v>1164</v>
      </c>
      <c r="I4" s="68"/>
      <c r="J4" s="7"/>
    </row>
    <row r="5" spans="1:10" ht="12.75">
      <c r="A5" s="8"/>
      <c r="B5" s="8"/>
      <c r="C5" s="9"/>
      <c r="D5" s="9"/>
      <c r="E5" s="9"/>
      <c r="F5" s="9"/>
      <c r="G5" s="9"/>
      <c r="H5" s="9"/>
      <c r="I5" s="68"/>
      <c r="J5" s="7"/>
    </row>
    <row r="6" spans="1:10" ht="12.75" customHeight="1">
      <c r="A6" s="8" t="s">
        <v>11</v>
      </c>
      <c r="B6" s="8"/>
      <c r="C6" s="9" t="s">
        <v>12</v>
      </c>
      <c r="D6" s="9"/>
      <c r="E6" s="9" t="s">
        <v>14</v>
      </c>
      <c r="F6" s="9"/>
      <c r="G6" s="9"/>
      <c r="H6" s="9" t="s">
        <v>1164</v>
      </c>
      <c r="I6" s="68"/>
      <c r="J6" s="7"/>
    </row>
    <row r="7" spans="1:10" ht="12.75">
      <c r="A7" s="8"/>
      <c r="B7" s="8"/>
      <c r="C7" s="9"/>
      <c r="D7" s="9"/>
      <c r="E7" s="9"/>
      <c r="F7" s="9"/>
      <c r="G7" s="9"/>
      <c r="H7" s="9"/>
      <c r="I7" s="68"/>
      <c r="J7" s="7"/>
    </row>
    <row r="8" spans="1:10" ht="12.75" customHeight="1">
      <c r="A8" s="8" t="s">
        <v>8</v>
      </c>
      <c r="B8" s="8"/>
      <c r="C8" s="11">
        <v>41737</v>
      </c>
      <c r="D8" s="11"/>
      <c r="E8" s="9" t="s">
        <v>13</v>
      </c>
      <c r="F8" s="13"/>
      <c r="G8" s="13"/>
      <c r="H8" s="10" t="s">
        <v>1165</v>
      </c>
      <c r="I8" s="68"/>
      <c r="J8" s="7"/>
    </row>
    <row r="9" spans="1:10" ht="12.75">
      <c r="A9" s="8"/>
      <c r="B9" s="8"/>
      <c r="C9" s="11"/>
      <c r="D9" s="11"/>
      <c r="E9" s="9"/>
      <c r="F9" s="9"/>
      <c r="G9" s="13"/>
      <c r="H9" s="10"/>
      <c r="I9" s="68"/>
      <c r="J9" s="7"/>
    </row>
    <row r="10" spans="1:10" ht="12.75" customHeight="1">
      <c r="A10" s="69" t="s">
        <v>15</v>
      </c>
      <c r="B10" s="69"/>
      <c r="C10" s="70"/>
      <c r="D10" s="70"/>
      <c r="E10" s="70" t="s">
        <v>17</v>
      </c>
      <c r="F10" s="70"/>
      <c r="G10" s="70"/>
      <c r="H10" s="55" t="s">
        <v>1166</v>
      </c>
      <c r="I10" s="71">
        <v>41737</v>
      </c>
      <c r="J10" s="7"/>
    </row>
    <row r="11" spans="1:10" ht="12.75">
      <c r="A11" s="69"/>
      <c r="B11" s="69"/>
      <c r="C11" s="70"/>
      <c r="D11" s="70"/>
      <c r="E11" s="70"/>
      <c r="F11" s="70"/>
      <c r="G11" s="70"/>
      <c r="H11" s="55"/>
      <c r="I11" s="71"/>
      <c r="J11" s="7"/>
    </row>
    <row r="12" spans="1:9" ht="12.75">
      <c r="A12" s="49"/>
      <c r="B12" s="49"/>
      <c r="C12" s="49"/>
      <c r="D12" s="49"/>
      <c r="E12" s="49"/>
      <c r="F12" s="49"/>
      <c r="G12" s="49"/>
      <c r="H12" s="49"/>
      <c r="I12" s="49"/>
    </row>
    <row r="13" spans="1:9" ht="15" customHeight="1">
      <c r="A13" s="94" t="s">
        <v>1204</v>
      </c>
      <c r="B13" s="94"/>
      <c r="C13" s="94"/>
      <c r="D13" s="94"/>
      <c r="E13" s="94"/>
      <c r="F13" s="95"/>
      <c r="G13" s="95"/>
      <c r="H13" s="95"/>
      <c r="I13" s="95"/>
    </row>
    <row r="14" spans="1:10" ht="12.75">
      <c r="A14" s="96" t="s">
        <v>1205</v>
      </c>
      <c r="B14" s="96"/>
      <c r="C14" s="96"/>
      <c r="D14" s="96"/>
      <c r="E14" s="96"/>
      <c r="F14" s="97" t="s">
        <v>1206</v>
      </c>
      <c r="G14" s="97" t="s">
        <v>1207</v>
      </c>
      <c r="H14" s="97" t="s">
        <v>1208</v>
      </c>
      <c r="I14" s="97" t="s">
        <v>1206</v>
      </c>
      <c r="J14" s="25"/>
    </row>
    <row r="15" spans="1:10" ht="12.75">
      <c r="A15" s="98" t="s">
        <v>1176</v>
      </c>
      <c r="B15" s="98"/>
      <c r="C15" s="98"/>
      <c r="D15" s="98"/>
      <c r="E15" s="98"/>
      <c r="F15" s="98"/>
      <c r="G15" s="99">
        <v>10</v>
      </c>
      <c r="H15" s="99">
        <f>'Krycí list rozpočtu'!C22</f>
        <v>0</v>
      </c>
      <c r="I15" s="99">
        <f>(G15/100)*H15</f>
        <v>0</v>
      </c>
      <c r="J15" s="7"/>
    </row>
    <row r="16" spans="1:10" ht="12.75">
      <c r="A16" s="98" t="s">
        <v>1177</v>
      </c>
      <c r="B16" s="98"/>
      <c r="C16" s="98"/>
      <c r="D16" s="98"/>
      <c r="E16" s="98"/>
      <c r="F16" s="99">
        <v>0</v>
      </c>
      <c r="G16" s="98"/>
      <c r="H16" s="98"/>
      <c r="I16" s="99">
        <f aca="true" t="shared" si="0" ref="I16:I17">F16</f>
        <v>0</v>
      </c>
      <c r="J16" s="7"/>
    </row>
    <row r="17" spans="1:10" ht="12.75">
      <c r="A17" s="100" t="s">
        <v>1180</v>
      </c>
      <c r="B17" s="100"/>
      <c r="C17" s="100"/>
      <c r="D17" s="100"/>
      <c r="E17" s="100"/>
      <c r="F17" s="101">
        <v>0</v>
      </c>
      <c r="G17" s="100"/>
      <c r="H17" s="100"/>
      <c r="I17" s="101">
        <f t="shared" si="0"/>
        <v>0</v>
      </c>
      <c r="J17" s="7"/>
    </row>
    <row r="18" spans="1:10" ht="12.75">
      <c r="A18" s="102" t="s">
        <v>1209</v>
      </c>
      <c r="B18" s="102"/>
      <c r="C18" s="102"/>
      <c r="D18" s="102"/>
      <c r="E18" s="102"/>
      <c r="F18" s="102"/>
      <c r="G18" s="103"/>
      <c r="H18" s="103"/>
      <c r="I18" s="104">
        <f>SUM(I15:I17)</f>
        <v>0</v>
      </c>
      <c r="J18" s="25"/>
    </row>
    <row r="19" spans="1:9" ht="12.75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10" ht="12.75">
      <c r="A20" s="96" t="s">
        <v>1173</v>
      </c>
      <c r="B20" s="96"/>
      <c r="C20" s="96"/>
      <c r="D20" s="96"/>
      <c r="E20" s="96"/>
      <c r="F20" s="97" t="s">
        <v>1206</v>
      </c>
      <c r="G20" s="97" t="s">
        <v>1207</v>
      </c>
      <c r="H20" s="97" t="s">
        <v>1208</v>
      </c>
      <c r="I20" s="97" t="s">
        <v>1206</v>
      </c>
      <c r="J20" s="25"/>
    </row>
    <row r="21" spans="1:10" ht="12.75">
      <c r="A21" s="98" t="s">
        <v>65</v>
      </c>
      <c r="B21" s="98"/>
      <c r="C21" s="98"/>
      <c r="D21" s="98"/>
      <c r="E21" s="98"/>
      <c r="F21" s="99">
        <v>0</v>
      </c>
      <c r="G21" s="98"/>
      <c r="H21" s="98"/>
      <c r="I21" s="99">
        <f aca="true" t="shared" si="1" ref="I21:I26">F21</f>
        <v>0</v>
      </c>
      <c r="J21" s="7"/>
    </row>
    <row r="22" spans="1:10" ht="12.75">
      <c r="A22" s="98" t="s">
        <v>1178</v>
      </c>
      <c r="B22" s="98"/>
      <c r="C22" s="98"/>
      <c r="D22" s="98"/>
      <c r="E22" s="98"/>
      <c r="F22" s="99">
        <v>0</v>
      </c>
      <c r="G22" s="98"/>
      <c r="H22" s="98"/>
      <c r="I22" s="99">
        <f t="shared" si="1"/>
        <v>0</v>
      </c>
      <c r="J22" s="7"/>
    </row>
    <row r="23" spans="1:10" ht="12.75">
      <c r="A23" s="98" t="s">
        <v>59</v>
      </c>
      <c r="B23" s="98"/>
      <c r="C23" s="98"/>
      <c r="D23" s="98"/>
      <c r="E23" s="98"/>
      <c r="F23" s="99">
        <v>0</v>
      </c>
      <c r="G23" s="98"/>
      <c r="H23" s="98"/>
      <c r="I23" s="99">
        <f t="shared" si="1"/>
        <v>0</v>
      </c>
      <c r="J23" s="7"/>
    </row>
    <row r="24" spans="1:10" ht="12.75">
      <c r="A24" s="98" t="s">
        <v>62</v>
      </c>
      <c r="B24" s="98"/>
      <c r="C24" s="98"/>
      <c r="D24" s="98"/>
      <c r="E24" s="98"/>
      <c r="F24" s="99">
        <v>0</v>
      </c>
      <c r="G24" s="98"/>
      <c r="H24" s="98"/>
      <c r="I24" s="99">
        <f t="shared" si="1"/>
        <v>0</v>
      </c>
      <c r="J24" s="7"/>
    </row>
    <row r="25" spans="1:10" ht="12.75">
      <c r="A25" s="98" t="s">
        <v>1182</v>
      </c>
      <c r="B25" s="98"/>
      <c r="C25" s="98"/>
      <c r="D25" s="98"/>
      <c r="E25" s="98"/>
      <c r="F25" s="99">
        <v>0</v>
      </c>
      <c r="G25" s="98"/>
      <c r="H25" s="98"/>
      <c r="I25" s="99">
        <f t="shared" si="1"/>
        <v>0</v>
      </c>
      <c r="J25" s="7"/>
    </row>
    <row r="26" spans="1:10" ht="12.75">
      <c r="A26" s="100" t="s">
        <v>1183</v>
      </c>
      <c r="B26" s="100"/>
      <c r="C26" s="100"/>
      <c r="D26" s="100"/>
      <c r="E26" s="100"/>
      <c r="F26" s="101">
        <v>0</v>
      </c>
      <c r="G26" s="100"/>
      <c r="H26" s="100"/>
      <c r="I26" s="101">
        <f t="shared" si="1"/>
        <v>0</v>
      </c>
      <c r="J26" s="7"/>
    </row>
    <row r="27" spans="1:10" ht="12.75">
      <c r="A27" s="102" t="s">
        <v>1210</v>
      </c>
      <c r="B27" s="102"/>
      <c r="C27" s="102"/>
      <c r="D27" s="102"/>
      <c r="E27" s="102"/>
      <c r="F27" s="102"/>
      <c r="G27" s="103"/>
      <c r="H27" s="103"/>
      <c r="I27" s="104">
        <f>SUM(I21:I26)</f>
        <v>0</v>
      </c>
      <c r="J27" s="25"/>
    </row>
    <row r="28" spans="1:9" ht="12.75">
      <c r="A28" s="105"/>
      <c r="B28" s="105"/>
      <c r="C28" s="105"/>
      <c r="D28" s="105"/>
      <c r="E28" s="105"/>
      <c r="F28" s="105"/>
      <c r="G28" s="105"/>
      <c r="H28" s="105"/>
      <c r="I28" s="105"/>
    </row>
    <row r="29" spans="1:10" ht="15" customHeight="1">
      <c r="A29" s="106" t="s">
        <v>1211</v>
      </c>
      <c r="B29" s="106"/>
      <c r="C29" s="106"/>
      <c r="D29" s="106"/>
      <c r="E29" s="106"/>
      <c r="F29" s="107">
        <f>I18+I27</f>
        <v>0</v>
      </c>
      <c r="G29" s="107"/>
      <c r="H29" s="107"/>
      <c r="I29" s="107"/>
      <c r="J29" s="25"/>
    </row>
    <row r="30" spans="1:9" ht="12.75">
      <c r="A30" s="93"/>
      <c r="B30" s="93"/>
      <c r="C30" s="93"/>
      <c r="D30" s="93"/>
      <c r="E30" s="93"/>
      <c r="F30" s="93"/>
      <c r="G30" s="93"/>
      <c r="H30" s="93"/>
      <c r="I30" s="93"/>
    </row>
    <row r="33" spans="1:9" ht="15" customHeight="1">
      <c r="A33" s="94" t="s">
        <v>1212</v>
      </c>
      <c r="B33" s="94"/>
      <c r="C33" s="94"/>
      <c r="D33" s="94"/>
      <c r="E33" s="94"/>
      <c r="F33" s="95"/>
      <c r="G33" s="95"/>
      <c r="H33" s="95"/>
      <c r="I33" s="95"/>
    </row>
    <row r="34" spans="1:10" ht="12.75">
      <c r="A34" s="96" t="s">
        <v>1213</v>
      </c>
      <c r="B34" s="96"/>
      <c r="C34" s="96"/>
      <c r="D34" s="96"/>
      <c r="E34" s="96"/>
      <c r="F34" s="97" t="s">
        <v>1206</v>
      </c>
      <c r="G34" s="97" t="s">
        <v>1207</v>
      </c>
      <c r="H34" s="97" t="s">
        <v>1208</v>
      </c>
      <c r="I34" s="97" t="s">
        <v>1206</v>
      </c>
      <c r="J34" s="25"/>
    </row>
    <row r="35" spans="1:10" ht="12.75">
      <c r="A35" s="100"/>
      <c r="B35" s="100"/>
      <c r="C35" s="100"/>
      <c r="D35" s="100"/>
      <c r="E35" s="100"/>
      <c r="F35" s="101">
        <v>0</v>
      </c>
      <c r="G35" s="100"/>
      <c r="H35" s="100"/>
      <c r="I35" s="101">
        <f>F35</f>
        <v>0</v>
      </c>
      <c r="J35" s="7"/>
    </row>
    <row r="36" spans="1:10" ht="12.75">
      <c r="A36" s="102" t="s">
        <v>1214</v>
      </c>
      <c r="B36" s="102"/>
      <c r="C36" s="102"/>
      <c r="D36" s="102"/>
      <c r="E36" s="102"/>
      <c r="F36" s="102"/>
      <c r="G36" s="103"/>
      <c r="H36" s="103"/>
      <c r="I36" s="104">
        <f>SUM(I35:I35)</f>
        <v>0</v>
      </c>
      <c r="J36" s="25"/>
    </row>
    <row r="37" spans="1:9" ht="12.75">
      <c r="A37" s="93"/>
      <c r="B37" s="93"/>
      <c r="C37" s="93"/>
      <c r="D37" s="93"/>
      <c r="E37" s="93"/>
      <c r="F37" s="93"/>
      <c r="G37" s="93"/>
      <c r="H37" s="93"/>
      <c r="I37" s="93"/>
    </row>
  </sheetData>
  <sheetProtection selectLockedCells="1" selectUnlockedCells="1"/>
  <mergeCells count="51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2017-03-22T12:41:25Z</dcterms:modified>
  <cp:category/>
  <cp:version/>
  <cp:contentType/>
  <cp:contentStatus/>
  <cp:revision>2</cp:revision>
</cp:coreProperties>
</file>