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í list rozpočtu" sheetId="1" r:id="rId1"/>
    <sheet name="Stavební rozpočet" sheetId="2" r:id="rId2"/>
    <sheet name="VORN" sheetId="3" state="hidden" r:id="rId3"/>
  </sheets>
  <definedNames>
    <definedName name="vorn_sum">'VORN'!$I$36</definedName>
  </definedNames>
  <calcPr fullCalcOnLoad="1"/>
</workbook>
</file>

<file path=xl/sharedStrings.xml><?xml version="1.0" encoding="utf-8"?>
<sst xmlns="http://schemas.openxmlformats.org/spreadsheetml/2006/main" count="1539" uniqueCount="582">
  <si>
    <t>Krycí list slepého rozpočtu</t>
  </si>
  <si>
    <t>Investor:</t>
  </si>
  <si>
    <t>Objednatel:</t>
  </si>
  <si>
    <t>IČO/DIČ: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</si>
  <si>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</si>
  <si>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</si>
  <si>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</si>
  <si>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</si>
  <si>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</si>
  <si>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</si>
  <si>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</si>
  <si>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</si>
  <si>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</si>
  <si>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</si>
  <si>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</si>
  <si>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</si>
  <si>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</si>
  <si>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</si>
  <si>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</si>
  <si>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</si>
  <si>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</si>
  <si>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</si>
  <si>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</si>
  <si>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Revize</t>
  </si>
  <si>
    <t>Zařízení staveniště</t>
  </si>
  <si>
    <t>Montáž</t>
  </si>
  <si>
    <t>Rezerva</t>
  </si>
  <si>
    <t>Mimostav. doprava</t>
  </si>
  <si>
    <t>PSV</t>
  </si>
  <si>
    <t>PD skut. provedení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</si>
  <si>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</si>
  <si>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</si>
  <si>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</si>
  <si>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</si>
  <si>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</si>
  <si>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</si>
  <si>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</si>
  <si>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</si>
  <si>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</si>
  <si>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</si>
  <si>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</si>
  <si>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</si>
  <si>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VORN celkem</t>
  </si>
  <si>
    <t>VORN celkem z obj.</t>
  </si>
  <si>
    <t>Základ 0%</t>
  </si>
  <si>
    <t>Základ 12%</t>
  </si>
  <si>
    <t>DPH 12%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</si>
  <si>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</si>
  <si>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</si>
  <si>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</si>
  <si>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</si>
  <si>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</si>
  <si>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</si>
  <si>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</si>
  <si>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</si>
  <si>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Poznámka:</t>
  </si>
  <si>
    <t>Slepý stavební rozpočet</t>
  </si>
  <si>
    <t>Město Varnsdorf</t>
  </si>
  <si>
    <t>Doba výstavby:</t>
  </si>
  <si>
    <t xml:space="preserve"> </t>
  </si>
  <si>
    <t> </t>
  </si>
  <si>
    <t>El. instalace pro kuchyň</t>
  </si>
  <si>
    <t>07.11.2023</t>
  </si>
  <si>
    <t>Mateřská škola, Pražská 2812, Varnsdorf</t>
  </si>
  <si>
    <t>Zpracováno dne:</t>
  </si>
  <si>
    <t>Johana Poláková</t>
  </si>
  <si>
    <t>Č</t>
  </si>
  <si>
    <t>Kód</t>
  </si>
  <si>
    <t>Zkrácený popis / Varianta</t>
  </si>
  <si>
    <t>MJ</t>
  </si>
  <si>
    <t>Množství</t>
  </si>
  <si>
    <t>Cena/MJ</t>
  </si>
  <si>
    <t>Náklady (Kč)</t>
  </si>
  <si>
    <t>Cenová</t>
  </si>
  <si>
    <t>ISWORK</t>
  </si>
  <si>
    <t>GROUPCODE</t>
  </si>
  <si>
    <t>VATTAX</t>
  </si>
  <si>
    <t>Rozměry</t>
  </si>
  <si>
    <t>(Kč)</t>
  </si>
  <si>
    <t>Dodávka</t>
  </si>
  <si>
    <t>Celkem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</si>
  <si>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</si>
  <si>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</si>
  <si>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</si>
  <si>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</si>
  <si>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</si>
  <si>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</si>
  <si>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</si>
  <si>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</si>
  <si>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</si>
  <si>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</si>
  <si>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</si>
  <si>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</si>
  <si>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</si>
  <si>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0</t>
  </si>
  <si>
    <t>Všeobecné konstrukce a práce</t>
  </si>
  <si>
    <t>1</t>
  </si>
  <si>
    <t>001-T05VD</t>
  </si>
  <si>
    <t>Demontáž stávající el. instalace</t>
  </si>
  <si>
    <t>obj.</t>
  </si>
  <si>
    <t>0_</t>
  </si>
  <si>
    <t>_</t>
  </si>
  <si>
    <t>2</t>
  </si>
  <si>
    <t>001DVD</t>
  </si>
  <si>
    <t>Úprava stávající oceloplechové skříňové rozvodnice</t>
  </si>
  <si>
    <t>61</t>
  </si>
  <si>
    <t>Úprava povrchů vnitřní</t>
  </si>
  <si>
    <t>3</t>
  </si>
  <si>
    <t>611100010RA0</t>
  </si>
  <si>
    <t>Omítka stropu vnitřní vápenocementová štuková</t>
  </si>
  <si>
    <t>m2</t>
  </si>
  <si>
    <t>RTS II / 2023</t>
  </si>
  <si>
    <t>61_</t>
  </si>
  <si>
    <t>6_</t>
  </si>
  <si>
    <t>4</t>
  </si>
  <si>
    <t>612100010RA0</t>
  </si>
  <si>
    <t>Hrubá výplň rýh ve stěnách</t>
  </si>
  <si>
    <t>5</t>
  </si>
  <si>
    <t>612100033RA0</t>
  </si>
  <si>
    <t>Oprava omítek stěn vnitřních vápenocem. štukových</t>
  </si>
  <si>
    <t>784</t>
  </si>
  <si>
    <t>Malby</t>
  </si>
  <si>
    <t>6</t>
  </si>
  <si>
    <t>784165512R00</t>
  </si>
  <si>
    <t>Malba HET Klasik, bílá, bez penetrace, 2 x</t>
  </si>
  <si>
    <t>7</t>
  </si>
  <si>
    <t>784_</t>
  </si>
  <si>
    <t>78_</t>
  </si>
  <si>
    <t>97</t>
  </si>
  <si>
    <t>Prorážení otvorů a ostatní bourací práce</t>
  </si>
  <si>
    <t>8</t>
  </si>
  <si>
    <t>974049121R00</t>
  </si>
  <si>
    <t>Vysekání rýh v betonových zdech 3x3 cm</t>
  </si>
  <si>
    <t>m</t>
  </si>
  <si>
    <t>97_</t>
  </si>
  <si>
    <t>9_</t>
  </si>
  <si>
    <t>9</t>
  </si>
  <si>
    <t>974049123R00</t>
  </si>
  <si>
    <t>Vysekání rýh v betonových zdech 3x10 cm</t>
  </si>
  <si>
    <t>10</t>
  </si>
  <si>
    <t>971042131R00</t>
  </si>
  <si>
    <t>Vybourání otvorů zdi betonové d = 6 cm, tl. 15 cm</t>
  </si>
  <si>
    <t>kus</t>
  </si>
  <si>
    <t>11</t>
  </si>
  <si>
    <t>973011161R00</t>
  </si>
  <si>
    <t>Vysekání kapes lehký beton  10 x 10 x 5 cm</t>
  </si>
  <si>
    <t>M21</t>
  </si>
  <si>
    <t>Elektromontáže</t>
  </si>
  <si>
    <t>12</t>
  </si>
  <si>
    <t>210100005R00</t>
  </si>
  <si>
    <t>Ukončení vodičů v rozvaděči + zapojení do 35 mm2</t>
  </si>
  <si>
    <t>M21_</t>
  </si>
  <si>
    <t>13</t>
  </si>
  <si>
    <t>210100004R00</t>
  </si>
  <si>
    <t>Ukončení vodičů v rozvaděči + zapojení do 25 mm2</t>
  </si>
  <si>
    <t>14</t>
  </si>
  <si>
    <t>210100003R00</t>
  </si>
  <si>
    <t>Ukončení vodičů v rozvaděči + zapojení do 16 mm2</t>
  </si>
  <si>
    <t>15</t>
  </si>
  <si>
    <t>210100002R00</t>
  </si>
  <si>
    <t>Ukončení vodičů v rozvaděči + zapojení do 6 mm2</t>
  </si>
  <si>
    <t>16</t>
  </si>
  <si>
    <t>210100001R00</t>
  </si>
  <si>
    <t>Ukončení vodičů v rozvaděči + zapojení do 2,5 mm2</t>
  </si>
  <si>
    <t>17</t>
  </si>
  <si>
    <t>210810110R00</t>
  </si>
  <si>
    <t>Kabel CYKY-m 1 kV 3x35+25 pevně uložený</t>
  </si>
  <si>
    <t>18</t>
  </si>
  <si>
    <t>210810057R00</t>
  </si>
  <si>
    <t>Kabel CYKY-m 750 V 5 žil 4 až 16 mm pevně uložený</t>
  </si>
  <si>
    <t>19</t>
  </si>
  <si>
    <t>210810056R00</t>
  </si>
  <si>
    <t>Kabel CYKY-m 750 V 5 x 2,5 mm2 pevně uložený</t>
  </si>
  <si>
    <t>20</t>
  </si>
  <si>
    <t>210810055R00</t>
  </si>
  <si>
    <t>Kabel CYKY-m 750 V 5 x 1,5 mm2 pevně uložený</t>
  </si>
  <si>
    <t>21</t>
  </si>
  <si>
    <t>210810046R00</t>
  </si>
  <si>
    <t>Kabel CYKY-m 750 V 3 x 2,5 mm2 pevně uložený</t>
  </si>
  <si>
    <t>22</t>
  </si>
  <si>
    <t>210810045R00</t>
  </si>
  <si>
    <t>Kabel CYKY-m 750 V 3 x 1,5 mm2 pevně uložený</t>
  </si>
  <si>
    <t>23</t>
  </si>
  <si>
    <t>210810041R00</t>
  </si>
  <si>
    <t>Kabel CYKY-m 750 V 2 x 1,5 mm2 pevně uložený</t>
  </si>
  <si>
    <t>24</t>
  </si>
  <si>
    <t>210802695R00</t>
  </si>
  <si>
    <t>Šňůra H07RN-F (CGTG) 5 x 10 mm2 pevně uložená</t>
  </si>
  <si>
    <t>25</t>
  </si>
  <si>
    <t>210802470R00</t>
  </si>
  <si>
    <t>Šňůra H05RR-F (CGSG) 5 x 6 mm2 pevně uložená</t>
  </si>
  <si>
    <t>26</t>
  </si>
  <si>
    <t>210802468R00</t>
  </si>
  <si>
    <t>Šňůra H05RR-F (CGSG) 5 x 2,50 mm2 pevně uložená</t>
  </si>
  <si>
    <t>27</t>
  </si>
  <si>
    <t>210800547R00</t>
  </si>
  <si>
    <t>Vodič H07V-U (CY) 6 mm2 uložený pevně</t>
  </si>
  <si>
    <t>28</t>
  </si>
  <si>
    <t>210800548R00</t>
  </si>
  <si>
    <t>Vodič H07V-U (CY) 10 mm2 uložený pevně</t>
  </si>
  <si>
    <t>29</t>
  </si>
  <si>
    <t>210800549R00</t>
  </si>
  <si>
    <t>Vodič H07V-U (CY) 16 mm2 uložený pevně</t>
  </si>
  <si>
    <t>30</t>
  </si>
  <si>
    <t>210800550R00</t>
  </si>
  <si>
    <t>Vodič H07V-U (CY) 25 mm2 uložený pevně</t>
  </si>
  <si>
    <t>31</t>
  </si>
  <si>
    <t>210220451R00</t>
  </si>
  <si>
    <t>Ochranné spoj. v prádel.,koupel.,Cu4-16 mm2 volně</t>
  </si>
  <si>
    <t>32</t>
  </si>
  <si>
    <t>210220001R00</t>
  </si>
  <si>
    <t>Vedení uzemňovací FeZn do 120 mm2</t>
  </si>
  <si>
    <t>33</t>
  </si>
  <si>
    <t>210192562R00</t>
  </si>
  <si>
    <t>Svorkovnice ochranná se zapojením</t>
  </si>
  <si>
    <t>34</t>
  </si>
  <si>
    <t>210110001R00</t>
  </si>
  <si>
    <t>Spínač nástěnný jednopól.- řaz. 1, obyč.prostředí</t>
  </si>
  <si>
    <t>35</t>
  </si>
  <si>
    <t>210110003R00</t>
  </si>
  <si>
    <t>Spínač nástěnný seriový - řaz. 5, obyč.prostředí</t>
  </si>
  <si>
    <t>36</t>
  </si>
  <si>
    <t>210110004R00</t>
  </si>
  <si>
    <t>Spínač nástěnný střídavý - řaz. 6, obyč.prostředí</t>
  </si>
  <si>
    <t>37</t>
  </si>
  <si>
    <t>210110047R00</t>
  </si>
  <si>
    <t>Spínač zapuštěný jednopól.se signál.doutnavkou 1/S</t>
  </si>
  <si>
    <t>38</t>
  </si>
  <si>
    <t>210110021R00</t>
  </si>
  <si>
    <t>Spínač nástěnný jednopól.- řaz. 1, venkovní</t>
  </si>
  <si>
    <t>39</t>
  </si>
  <si>
    <t>210110024R00</t>
  </si>
  <si>
    <t>Spínač nástěnný střídavý - řaz. 6, venkovní</t>
  </si>
  <si>
    <t>40</t>
  </si>
  <si>
    <t>210110023R00</t>
  </si>
  <si>
    <t>Spínač nástěnný seriový - řaz. 5, venkovní</t>
  </si>
  <si>
    <t>41</t>
  </si>
  <si>
    <t>210111013R00</t>
  </si>
  <si>
    <t>Zásuvka s přepěťovou ochranou - provedení 2P+PE</t>
  </si>
  <si>
    <t>42</t>
  </si>
  <si>
    <t>210111031R00</t>
  </si>
  <si>
    <t>Zásuvka domovní v krabici - 2P+PE, venkovní</t>
  </si>
  <si>
    <t>43</t>
  </si>
  <si>
    <t>210111014R00</t>
  </si>
  <si>
    <t>Zásuvka domovní zapuštěná - provedení 2x (2P+PE)</t>
  </si>
  <si>
    <t>44</t>
  </si>
  <si>
    <t>210111021R00</t>
  </si>
  <si>
    <t>Zásuvka domovní v krabici - provedení 2P+PE</t>
  </si>
  <si>
    <t>45</t>
  </si>
  <si>
    <t>210110041R00</t>
  </si>
  <si>
    <t>Spínač zapuštěný jednopólový, řazení 1</t>
  </si>
  <si>
    <t>46</t>
  </si>
  <si>
    <t>210190004R00</t>
  </si>
  <si>
    <t>Montáž celoplechových rozvodnic do váhy 150 kg</t>
  </si>
  <si>
    <t>47</t>
  </si>
  <si>
    <t>210110514R00</t>
  </si>
  <si>
    <t>Vypínač vačkový v krytu S 63 VP, VL 03,04,05,06</t>
  </si>
  <si>
    <t>48</t>
  </si>
  <si>
    <t>210120323R00</t>
  </si>
  <si>
    <t>Bleskojistka do 35 kV, 10 kA</t>
  </si>
  <si>
    <t>49</t>
  </si>
  <si>
    <t>210120571R00</t>
  </si>
  <si>
    <t>Jistič trojpólový do 80 A se zapojením</t>
  </si>
  <si>
    <t>50</t>
  </si>
  <si>
    <t>210120569R00</t>
  </si>
  <si>
    <t>Jistič trojpólový do 25 A se zapojením</t>
  </si>
  <si>
    <t>51</t>
  </si>
  <si>
    <t>210120561R00</t>
  </si>
  <si>
    <t>Jistič jednopólový do 25 A se zapojením</t>
  </si>
  <si>
    <t>52</t>
  </si>
  <si>
    <t>210120803R00</t>
  </si>
  <si>
    <t>Chránič proudový dvoupólový do 40 A</t>
  </si>
  <si>
    <t>53</t>
  </si>
  <si>
    <t>210120823R00</t>
  </si>
  <si>
    <t>Chránič proudový čtyřpólový do 40 A</t>
  </si>
  <si>
    <t>54</t>
  </si>
  <si>
    <t>210121311R00</t>
  </si>
  <si>
    <t>Instalační stykač modulární</t>
  </si>
  <si>
    <t>55</t>
  </si>
  <si>
    <t>210160681R00</t>
  </si>
  <si>
    <t>Montáž elektroměru - jednofázový</t>
  </si>
  <si>
    <t>56</t>
  </si>
  <si>
    <t>210201517R00</t>
  </si>
  <si>
    <t>Svítidlo LED bytové stěnové</t>
  </si>
  <si>
    <t>57</t>
  </si>
  <si>
    <t>210201513R00</t>
  </si>
  <si>
    <t>Svítidlo LED bytové stropní závěsné 2 upevňov.body</t>
  </si>
  <si>
    <t>58</t>
  </si>
  <si>
    <t>210201514R00</t>
  </si>
  <si>
    <t>Svítidlo LED bytové stropní závěsné 4 upevňov.body</t>
  </si>
  <si>
    <t>59</t>
  </si>
  <si>
    <t>210010105R00</t>
  </si>
  <si>
    <t>Lišta elektroinstalační PVC š.do 40 mm,šroubováním</t>
  </si>
  <si>
    <t>60</t>
  </si>
  <si>
    <t>210010106R00</t>
  </si>
  <si>
    <t>Lišta elektroinstalační PVC š.do 80 mm,šroubováním</t>
  </si>
  <si>
    <t>210010003R00</t>
  </si>
  <si>
    <t>Trubka ohebná pod omítku, vnější průměr 25 mm</t>
  </si>
  <si>
    <t>62</t>
  </si>
  <si>
    <t>210010004R00</t>
  </si>
  <si>
    <t>Trubka ohebná pod omítku, vnější průměr 32 mm</t>
  </si>
  <si>
    <t>63</t>
  </si>
  <si>
    <t>210010301R00</t>
  </si>
  <si>
    <t>Krabice přístrojová KP, bez zapojení, kruhová</t>
  </si>
  <si>
    <t>64</t>
  </si>
  <si>
    <t>210010311R00</t>
  </si>
  <si>
    <t>Krabice univerzální KU, bez zapojení, kruhová</t>
  </si>
  <si>
    <t>S</t>
  </si>
  <si>
    <t>Přesuny sutí</t>
  </si>
  <si>
    <t>65</t>
  </si>
  <si>
    <t>979081111R00</t>
  </si>
  <si>
    <t>Odvoz suti a vybour. hmot na skládku do 1 km</t>
  </si>
  <si>
    <t>t</t>
  </si>
  <si>
    <t>S_</t>
  </si>
  <si>
    <t>66</t>
  </si>
  <si>
    <t>979081121R00</t>
  </si>
  <si>
    <t>Příplatek k odvozu za každý další 1 km</t>
  </si>
  <si>
    <t>67</t>
  </si>
  <si>
    <t>979082212R00</t>
  </si>
  <si>
    <t>Vodorovná doprava suti po suchu do 50 m</t>
  </si>
  <si>
    <t>68</t>
  </si>
  <si>
    <t>979086213R00</t>
  </si>
  <si>
    <t>Nakládání vybouraných hmot na dopravní prostředek</t>
  </si>
  <si>
    <t>69</t>
  </si>
  <si>
    <t>979990101R00</t>
  </si>
  <si>
    <t>Poplatek za uložení směsi betonu a cihel skupina 170101 a 170102</t>
  </si>
  <si>
    <t>70</t>
  </si>
  <si>
    <t>34111620</t>
  </si>
  <si>
    <t>Kabel silový s Cu jádrem 1 kV 1-CYKY 4 x 35 mm2</t>
  </si>
  <si>
    <t>Z99999_</t>
  </si>
  <si>
    <t>Z_</t>
  </si>
  <si>
    <t>71</t>
  </si>
  <si>
    <t>34140850</t>
  </si>
  <si>
    <t>Vodič izolovaný s Cu jádrem H07V-R 25 mm2</t>
  </si>
  <si>
    <t>72</t>
  </si>
  <si>
    <t>34140968</t>
  </si>
  <si>
    <t>Vodič silový CY zelenožlutý 16,00 mm2 - drát</t>
  </si>
  <si>
    <t>73</t>
  </si>
  <si>
    <t>34140967</t>
  </si>
  <si>
    <t>Vodič silový CY zelenožlutý 10,00 mm2 - drát</t>
  </si>
  <si>
    <t>74</t>
  </si>
  <si>
    <t>34140966</t>
  </si>
  <si>
    <t>Vodič silový CY zelenožlutý 6,00 mm2 - drát</t>
  </si>
  <si>
    <t>75</t>
  </si>
  <si>
    <t>003LPSVD</t>
  </si>
  <si>
    <t>Pásek zemnící ZP 30x4 FEZN 1kg=1.05m</t>
  </si>
  <si>
    <t>kg</t>
  </si>
  <si>
    <t>76</t>
  </si>
  <si>
    <t>000SUVD</t>
  </si>
  <si>
    <t>svorka univerzální</t>
  </si>
  <si>
    <t>ks</t>
  </si>
  <si>
    <t>77</t>
  </si>
  <si>
    <t>000-001VD</t>
  </si>
  <si>
    <t>Lišta potenciálového vyrovnání</t>
  </si>
  <si>
    <t>78</t>
  </si>
  <si>
    <t>Přípojnice potenciálového vyrovnání pro montáž pod omítku, schváleno VDE</t>
  </si>
  <si>
    <t>79</t>
  </si>
  <si>
    <t>34111101</t>
  </si>
  <si>
    <t>Kabel silový s Cu jádrem 750 V CYKY 5 x 10 mm2</t>
  </si>
  <si>
    <t>80</t>
  </si>
  <si>
    <t>34111100</t>
  </si>
  <si>
    <t>Kabel silový s Cu jádrem 750 V CYKY 5 x 6 mm2</t>
  </si>
  <si>
    <t>81</t>
  </si>
  <si>
    <t>34111094</t>
  </si>
  <si>
    <t>Kabel silový s Cu jádrem 750 V CYKY 5 x 2,5 mm2</t>
  </si>
  <si>
    <t>82</t>
  </si>
  <si>
    <t>34160168</t>
  </si>
  <si>
    <t>Šňůra těžká s Cu jádrem CGTG 5 x 10 mm2</t>
  </si>
  <si>
    <t>83</t>
  </si>
  <si>
    <t>34145572</t>
  </si>
  <si>
    <t>Šňůra střední s Cu jádrem CGSG 5 x 6 mm2</t>
  </si>
  <si>
    <t>84</t>
  </si>
  <si>
    <t>34145568</t>
  </si>
  <si>
    <t>Šňůra střední s Cu jádrem CGSG 5 x 2,50 mm2</t>
  </si>
  <si>
    <t>85</t>
  </si>
  <si>
    <t>34111036</t>
  </si>
  <si>
    <t>Kabel silový s Cu jádrem 750 V CYKY 3 x 2,5 mm2</t>
  </si>
  <si>
    <t>86</t>
  </si>
  <si>
    <t>34111032</t>
  </si>
  <si>
    <t>Kabel silový s Cu jádrem 750 V CYKY 3 C x 1,5 mm2</t>
  </si>
  <si>
    <t>87</t>
  </si>
  <si>
    <t>34111000</t>
  </si>
  <si>
    <t>Kabel silový s Cu jádrem 750 V CYKY 2 x 1,5 mm2</t>
  </si>
  <si>
    <t>88</t>
  </si>
  <si>
    <t>34111030</t>
  </si>
  <si>
    <t>Kabel silový s Cu jádrem 750 V CYKY 3 x 1,5 mm2</t>
  </si>
  <si>
    <t>89</t>
  </si>
  <si>
    <t>34111090</t>
  </si>
  <si>
    <t>Kabel silový s Cu jádrem 750 V CYKY 5 x 1,5 mm2</t>
  </si>
  <si>
    <t>90</t>
  </si>
  <si>
    <t>004141VD</t>
  </si>
  <si>
    <t>Kolébkový spínač zapuštěný, řazení 1-6, IP44</t>
  </si>
  <si>
    <t>91</t>
  </si>
  <si>
    <t>Kolébkový spínač zapuštěný, řazení 6+6, IP44</t>
  </si>
  <si>
    <t>92</t>
  </si>
  <si>
    <t>00414VD</t>
  </si>
  <si>
    <t>Sériový spínač zapuštěný, řazení 5, IP44</t>
  </si>
  <si>
    <t>93</t>
  </si>
  <si>
    <t>00423VD</t>
  </si>
  <si>
    <t>Zásuvka jednonásobná s ochr. kolíkem, clonkami a víčkem, IP44, pod omítku</t>
  </si>
  <si>
    <t>94</t>
  </si>
  <si>
    <t>00417VD</t>
  </si>
  <si>
    <t>Přístoj spínače jednopólového</t>
  </si>
  <si>
    <t>95</t>
  </si>
  <si>
    <t>00416VD</t>
  </si>
  <si>
    <t>Přístoj přepínače sériového</t>
  </si>
  <si>
    <t>96</t>
  </si>
  <si>
    <t>00419VD</t>
  </si>
  <si>
    <t>Přístoj přepínače střídavého</t>
  </si>
  <si>
    <t>00420VD</t>
  </si>
  <si>
    <t>Přístoj ovládače zapínacího</t>
  </si>
  <si>
    <t>98</t>
  </si>
  <si>
    <t>00415VD</t>
  </si>
  <si>
    <t>Doutnavka orientační</t>
  </si>
  <si>
    <t>99</t>
  </si>
  <si>
    <t>00413VD</t>
  </si>
  <si>
    <t>Kryt spínače s průzorem</t>
  </si>
  <si>
    <t>100</t>
  </si>
  <si>
    <t>00412VD</t>
  </si>
  <si>
    <t>Kryt spínače dělený</t>
  </si>
  <si>
    <t>101</t>
  </si>
  <si>
    <t>00411VD</t>
  </si>
  <si>
    <t>Kryt spínače jednoduchý</t>
  </si>
  <si>
    <t>102</t>
  </si>
  <si>
    <t>00421VD</t>
  </si>
  <si>
    <t>Zásuvka dvojnásobná s ochrannými kolíky, 230V/16A, zapuštěná, clonky</t>
  </si>
  <si>
    <t>103</t>
  </si>
  <si>
    <t>00427VD</t>
  </si>
  <si>
    <t>Zásuvka jednonásobná s ochranným kolíkem, 230V/16A, zapuštěná, clonky, přepěťová ochrana</t>
  </si>
  <si>
    <t>104</t>
  </si>
  <si>
    <t>Zásuvka jednonásobná s ochr. kolíkem, clonkami a víčkem, IP44, pod omítku, s popisovým polem</t>
  </si>
  <si>
    <t>105</t>
  </si>
  <si>
    <t>00425VD</t>
  </si>
  <si>
    <t>Zásuvka jednonásobná s ochranným kolíkem, clonky</t>
  </si>
  <si>
    <t>106</t>
  </si>
  <si>
    <t>004311VD</t>
  </si>
  <si>
    <t>Rámeček čtyřnásobný vodorovný</t>
  </si>
  <si>
    <t>107</t>
  </si>
  <si>
    <t>00429VD</t>
  </si>
  <si>
    <t>Rámeček dvojnonásobný vodorovný</t>
  </si>
  <si>
    <t>108</t>
  </si>
  <si>
    <t>00428VD</t>
  </si>
  <si>
    <t>Rámeček jednonásobný</t>
  </si>
  <si>
    <t>109</t>
  </si>
  <si>
    <t>012VD</t>
  </si>
  <si>
    <t>Vypínací tlačítko pod sklem</t>
  </si>
  <si>
    <t>110</t>
  </si>
  <si>
    <t>FW624WTIMVD</t>
  </si>
  <si>
    <t>Rozv. nást. IP30, 1091x571x150 mm, 144 mod. 125A</t>
  </si>
  <si>
    <t>111</t>
  </si>
  <si>
    <t>000FLP1VD</t>
  </si>
  <si>
    <t>Kombinovaný svodič přepětí B+C</t>
  </si>
  <si>
    <t>112</t>
  </si>
  <si>
    <t>HAD312IMVD</t>
  </si>
  <si>
    <t>Otočný vypínač 3P In=125 A; Ui=800 V; AC 23</t>
  </si>
  <si>
    <t>113</t>
  </si>
  <si>
    <t>HMB380IMVD</t>
  </si>
  <si>
    <t>Jistič 3-pól. 80 A, char. B, 15 kA</t>
  </si>
  <si>
    <t>114</t>
  </si>
  <si>
    <t>HXA004HIMVD</t>
  </si>
  <si>
    <t>Napěťová (vypínací) spoušť x160-x250, 200-240V AC</t>
  </si>
  <si>
    <t>115</t>
  </si>
  <si>
    <t>NBN332TIMVD</t>
  </si>
  <si>
    <t>Jistič 3 pól. 32A, char.B, 10 kA</t>
  </si>
  <si>
    <t>116</t>
  </si>
  <si>
    <t>NBN325TIMVD</t>
  </si>
  <si>
    <t>Jistič 3 pól. 25A, char.B, 10 kA</t>
  </si>
  <si>
    <t>117</t>
  </si>
  <si>
    <t>NBN125TIMVD</t>
  </si>
  <si>
    <t>Jistič 1 pól. 25A, char.B, 10 kA</t>
  </si>
  <si>
    <t>118</t>
  </si>
  <si>
    <t>NBN316TIMVD</t>
  </si>
  <si>
    <t>Jistič 3 pól. 16A, char.B, 10 kA</t>
  </si>
  <si>
    <t>119</t>
  </si>
  <si>
    <t>NCN316TIMVD</t>
  </si>
  <si>
    <t>Jistič 3 pól. 16A, char.C, 10 kA</t>
  </si>
  <si>
    <t>120</t>
  </si>
  <si>
    <t>NCN116TIMVD</t>
  </si>
  <si>
    <t>Jistič 1 pól. 16A, char.C, 10 kA</t>
  </si>
  <si>
    <t>121</t>
  </si>
  <si>
    <t>NBN116TIMVD</t>
  </si>
  <si>
    <t>Jistič 1 pól. 16A, char.B, 10 kA</t>
  </si>
  <si>
    <t>122</t>
  </si>
  <si>
    <t>NBN110TIMVD</t>
  </si>
  <si>
    <t>Jistič 1 pól. 10A, char.B, 10 kA</t>
  </si>
  <si>
    <t>123</t>
  </si>
  <si>
    <t>NCN110TIMVD</t>
  </si>
  <si>
    <t>Jistič 1 pól. 10A, char.C, 10 kA</t>
  </si>
  <si>
    <t>124</t>
  </si>
  <si>
    <t>NBN106TIMVD</t>
  </si>
  <si>
    <t>Jistič 1 pól. 6A, char.B, 10 kA</t>
  </si>
  <si>
    <t>125</t>
  </si>
  <si>
    <t>CDA440DIMVD</t>
  </si>
  <si>
    <t>Proudový chránič 4 pól. 40 / 0,03 A,  A</t>
  </si>
  <si>
    <t>126</t>
  </si>
  <si>
    <t>CDA425DIMVD</t>
  </si>
  <si>
    <t>Proudový chránič 4 pól. 25 / 0,03 A, A</t>
  </si>
  <si>
    <t>127</t>
  </si>
  <si>
    <t>ADA916DIMVD</t>
  </si>
  <si>
    <t>Proud.chr. s nadpr.ochr. char. B; 2 pól; 6 kA; 0,03 A; In=16 A, A</t>
  </si>
  <si>
    <t>128</t>
  </si>
  <si>
    <t>ADA910DIMVD</t>
  </si>
  <si>
    <t>Proud.chr. s nadpr.ochr. char. B; 2 pól; 6 kA; 0,03 A; In=10 A, A</t>
  </si>
  <si>
    <t>129</t>
  </si>
  <si>
    <t>EC050IMVD</t>
  </si>
  <si>
    <t>Digitální elektroměr, 1-fázový, 1T, přímé měř. do 32 A, 1-mod.</t>
  </si>
  <si>
    <t>130</t>
  </si>
  <si>
    <t>EPN510IMVD</t>
  </si>
  <si>
    <t>Impulsní relé (dálkový přepínač); 1S ; In=16 A; 230VAC/110VDC</t>
  </si>
  <si>
    <t>131</t>
  </si>
  <si>
    <t>101VD</t>
  </si>
  <si>
    <t>LED nouzové svítidlo 1h, IP42, piktogram</t>
  </si>
  <si>
    <t>132</t>
  </si>
  <si>
    <t>005K4VD</t>
  </si>
  <si>
    <t>Přisazené LED svítidlo, opálový kryt, 1x 25 W, 3800 lm, Ra 80, 4000K</t>
  </si>
  <si>
    <t>133</t>
  </si>
  <si>
    <t>Přisazené LED svítidlo, opálový kryt, 1x 47 W, 6900 lm, Ra 80, 4000K</t>
  </si>
  <si>
    <t>134</t>
  </si>
  <si>
    <t>Kruhové LED svítidlo, opálový kryt PMMA, 1x 25 W, 3000 lm, Ra 80, 4000K, IP65</t>
  </si>
  <si>
    <t>135</t>
  </si>
  <si>
    <t>Závěsné/přisazené LED svítidlo, matná ALDP, 1x 37 W, 4450 lm, Ra 80, 4000K, IP20</t>
  </si>
  <si>
    <t>136</t>
  </si>
  <si>
    <t>Závěsné/přisazené LED svítidlo, matná ALDP, 1x 26 W, 3300 lm, Ra 80, 4000K, IP20</t>
  </si>
  <si>
    <t>137</t>
  </si>
  <si>
    <t>Přisazené LED svítidlo, opálový kryt, 1x 36 W, 5400 lm, Ra 80, 4000K</t>
  </si>
  <si>
    <t>138</t>
  </si>
  <si>
    <t>Přisazené LED svítidlo, opálový kryt, 1x 34 W, 4200 lm, Ra 80, 4000K</t>
  </si>
  <si>
    <t>139</t>
  </si>
  <si>
    <t>LED prachotěsné svítidlo, polyesterové tělo, opálový PC kryt, 1x 40W, 5500 lm, Ra 80, 4000K, IP65</t>
  </si>
  <si>
    <t>140</t>
  </si>
  <si>
    <t>LED prachotěsné svítidlo, polyesterové tělo, opálový PC kryt, 1x 50W, 7500 lm, Ra 80, 4000K, IP65</t>
  </si>
  <si>
    <t>141</t>
  </si>
  <si>
    <t>LED prachotěsné svítidlo, polyesterové tělo, opálový PC kryt, 1x 68W, 1020 lm, Ra 80, 4000K, IP65</t>
  </si>
  <si>
    <t>142</t>
  </si>
  <si>
    <t>006-025VD</t>
  </si>
  <si>
    <t>Nástěnné LED svítidlo, plastový kryt, 2100mm, 20W, IP20</t>
  </si>
  <si>
    <t>143</t>
  </si>
  <si>
    <t>34572178</t>
  </si>
  <si>
    <t>Lišta hranatá LH 60 x 40 mm, délka 2 m</t>
  </si>
  <si>
    <t>144</t>
  </si>
  <si>
    <t>34572176</t>
  </si>
  <si>
    <t>Lišta hranatá LHD 40 x 20 mm, délka 2 m</t>
  </si>
  <si>
    <t>145</t>
  </si>
  <si>
    <t>34572172</t>
  </si>
  <si>
    <t>Lišta hranatá LHD 20 x 20 mm, délka 2 m</t>
  </si>
  <si>
    <t>146</t>
  </si>
  <si>
    <t>345710552</t>
  </si>
  <si>
    <t>Trubka elektroinstalační ohebná SPIROFLEX SF 25</t>
  </si>
  <si>
    <t>147</t>
  </si>
  <si>
    <t>345710553</t>
  </si>
  <si>
    <t>Trubka elektroinstalační ohebná SPIROFLEX SF 32</t>
  </si>
  <si>
    <t>148</t>
  </si>
  <si>
    <t>34571519</t>
  </si>
  <si>
    <t>Krabice univerzální z PH  KU 68-1902</t>
  </si>
  <si>
    <t>149</t>
  </si>
  <si>
    <t>34571511</t>
  </si>
  <si>
    <t>Krabice přístrojová kruhová KP 68/2</t>
  </si>
  <si>
    <t>150</t>
  </si>
  <si>
    <t>34561409</t>
  </si>
  <si>
    <t>Svorka WAGO 273-100 3 x 1,5 mm2</t>
  </si>
  <si>
    <t>151</t>
  </si>
  <si>
    <t>34561405</t>
  </si>
  <si>
    <t>Svorka WAGO 273-102 4 x 2,5 mm2</t>
  </si>
  <si>
    <t>152</t>
  </si>
  <si>
    <t>0011VD</t>
  </si>
  <si>
    <t>Drobný instalační materiál</t>
  </si>
  <si>
    <t>153</t>
  </si>
  <si>
    <t>154</t>
  </si>
  <si>
    <t>155</t>
  </si>
  <si>
    <t>Celkem:</t>
  </si>
  <si>
    <t>Vedlejší a ostatní rozpočtové náklady</t>
  </si>
  <si>
    <t>Vedlejší rozpočtové náklady VRN</t>
  </si>
  <si>
    <t>Doplňkové náklady DN</t>
  </si>
  <si>
    <t>Kč</t>
  </si>
  <si>
    <t>%</t>
  </si>
  <si>
    <t>Základna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</si>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</sst>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,##0.00"/>
  </numFmts>
  <fonts count="11">
    <font>
      <sz val="7"/>
      <name val="Arial"/>
      <family val="0"/>
    </font>
    <font>
      <sz val="10"/>
      <name val="Arial"/>
      <family val="0"/>
    </font>
    <font>
      <sz val="11"/>
      <name val="Calibri"/>
      <family val="0"/>
    </font>
    <font>
      <sz val="18"/>
      <name val="Arial"/>
      <family val="0"/>
    </font>
    <font>
      <b/>
      <sz val="10"/>
      <name val="Arial"/>
      <family val="0"/>
    </font>
    <font>
      <b/>
      <sz val="18"/>
      <name val="Arial"/>
      <family val="0"/>
    </font>
    <font>
      <b/>
      <sz val="2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i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2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NumberFormat="1" applyFont="1" applyFill="1" applyBorder="1" applyAlignment="1" applyProtection="1">
      <alignment horizontal="left" vertical="center" wrapText="1"/>
      <protection/>
    </xf>
    <xf numFmtId="164" fontId="4" fillId="0" borderId="2" xfId="0" applyNumberFormat="1" applyFont="1" applyFill="1" applyBorder="1" applyAlignment="1" applyProtection="1">
      <alignment horizontal="left" vertical="center" wrapText="1"/>
      <protection/>
    </xf>
    <xf numFmtId="164" fontId="1" fillId="0" borderId="2" xfId="0" applyNumberFormat="1" applyFont="1" applyFill="1" applyBorder="1" applyAlignment="1" applyProtection="1">
      <alignment horizontal="left" vertical="center" wrapText="1"/>
      <protection/>
    </xf>
    <xf numFmtId="164" fontId="1" fillId="0" borderId="3" xfId="0" applyNumberFormat="1" applyFont="1" applyFill="1" applyBorder="1" applyAlignment="1" applyProtection="1">
      <alignment horizontal="left" vertical="center"/>
      <protection/>
    </xf>
    <xf numFmtId="164" fontId="1" fillId="0" borderId="4" xfId="0" applyNumberFormat="1" applyFont="1" applyFill="1" applyBorder="1" applyAlignment="1" applyProtection="1">
      <alignment horizontal="left" vertical="center" wrapText="1"/>
      <protection/>
    </xf>
    <xf numFmtId="164" fontId="1" fillId="0" borderId="0" xfId="0" applyNumberFormat="1" applyFont="1" applyFill="1" applyBorder="1" applyAlignment="1" applyProtection="1">
      <alignment horizontal="left" vertical="center" wrapText="1"/>
      <protection/>
    </xf>
    <xf numFmtId="164" fontId="1" fillId="0" borderId="5" xfId="0" applyNumberFormat="1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left" vertical="center"/>
      <protection/>
    </xf>
    <xf numFmtId="165" fontId="1" fillId="0" borderId="5" xfId="0" applyNumberFormat="1" applyFont="1" applyFill="1" applyBorder="1" applyAlignment="1" applyProtection="1">
      <alignment horizontal="left" vertical="center"/>
      <protection/>
    </xf>
    <xf numFmtId="164" fontId="1" fillId="0" borderId="6" xfId="0" applyNumberFormat="1" applyFont="1" applyFill="1" applyBorder="1" applyAlignment="1" applyProtection="1">
      <alignment horizontal="left" vertical="center" wrapText="1"/>
      <protection/>
    </xf>
    <xf numFmtId="164" fontId="1" fillId="0" borderId="7" xfId="0" applyNumberFormat="1" applyFont="1" applyFill="1" applyBorder="1" applyAlignment="1" applyProtection="1">
      <alignment horizontal="left" vertical="center" wrapText="1"/>
      <protection/>
    </xf>
    <xf numFmtId="164" fontId="1" fillId="0" borderId="7" xfId="0" applyNumberFormat="1" applyFont="1" applyFill="1" applyBorder="1" applyAlignment="1" applyProtection="1">
      <alignment horizontal="left" vertical="center"/>
      <protection/>
    </xf>
    <xf numFmtId="164" fontId="1" fillId="0" borderId="8" xfId="0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4" fontId="6" fillId="2" borderId="9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left" vertical="center"/>
      <protection/>
    </xf>
    <xf numFmtId="164" fontId="6" fillId="2" borderId="10" xfId="0" applyNumberFormat="1" applyFont="1" applyFill="1" applyBorder="1" applyAlignment="1" applyProtection="1">
      <alignment horizontal="center" vertical="center"/>
      <protection/>
    </xf>
    <xf numFmtId="164" fontId="8" fillId="0" borderId="11" xfId="0" applyNumberFormat="1" applyFont="1" applyFill="1" applyBorder="1" applyAlignment="1" applyProtection="1">
      <alignment horizontal="left" vertical="center"/>
      <protection/>
    </xf>
    <xf numFmtId="164" fontId="9" fillId="0" borderId="8" xfId="0" applyNumberFormat="1" applyFont="1" applyFill="1" applyBorder="1" applyAlignment="1" applyProtection="1">
      <alignment horizontal="left" vertical="center"/>
      <protection/>
    </xf>
    <xf numFmtId="166" fontId="9" fillId="0" borderId="8" xfId="0" applyNumberFormat="1" applyFont="1" applyFill="1" applyBorder="1" applyAlignment="1" applyProtection="1">
      <alignment horizontal="right" vertical="center"/>
      <protection/>
    </xf>
    <xf numFmtId="164" fontId="9" fillId="0" borderId="8" xfId="0" applyNumberFormat="1" applyFont="1" applyFill="1" applyBorder="1" applyAlignment="1" applyProtection="1">
      <alignment horizontal="right" vertical="center"/>
      <protection/>
    </xf>
    <xf numFmtId="164" fontId="8" fillId="0" borderId="12" xfId="0" applyNumberFormat="1" applyFont="1" applyFill="1" applyBorder="1" applyAlignment="1" applyProtection="1">
      <alignment horizontal="left" vertical="center"/>
      <protection/>
    </xf>
    <xf numFmtId="166" fontId="9" fillId="0" borderId="5" xfId="0" applyNumberFormat="1" applyFont="1" applyFill="1" applyBorder="1" applyAlignment="1" applyProtection="1">
      <alignment horizontal="right" vertical="center"/>
      <protection/>
    </xf>
    <xf numFmtId="164" fontId="9" fillId="0" borderId="5" xfId="0" applyNumberFormat="1" applyFont="1" applyFill="1" applyBorder="1" applyAlignment="1" applyProtection="1">
      <alignment horizontal="left" vertical="center"/>
      <protection/>
    </xf>
    <xf numFmtId="164" fontId="9" fillId="0" borderId="5" xfId="0" applyNumberFormat="1" applyFont="1" applyFill="1" applyBorder="1" applyAlignment="1" applyProtection="1">
      <alignment horizontal="right" vertical="center"/>
      <protection/>
    </xf>
    <xf numFmtId="164" fontId="8" fillId="0" borderId="9" xfId="0" applyNumberFormat="1" applyFont="1" applyFill="1" applyBorder="1" applyAlignment="1" applyProtection="1">
      <alignment horizontal="left" vertical="center"/>
      <protection/>
    </xf>
    <xf numFmtId="166" fontId="9" fillId="0" borderId="10" xfId="0" applyNumberFormat="1" applyFont="1" applyFill="1" applyBorder="1" applyAlignment="1" applyProtection="1">
      <alignment horizontal="right" vertical="center"/>
      <protection/>
    </xf>
    <xf numFmtId="164" fontId="8" fillId="0" borderId="10" xfId="0" applyNumberFormat="1" applyFont="1" applyFill="1" applyBorder="1" applyAlignment="1" applyProtection="1">
      <alignment horizontal="left" vertical="center"/>
      <protection/>
    </xf>
    <xf numFmtId="166" fontId="9" fillId="0" borderId="13" xfId="0" applyNumberFormat="1" applyFont="1" applyFill="1" applyBorder="1" applyAlignment="1" applyProtection="1">
      <alignment horizontal="right" vertical="center"/>
      <protection/>
    </xf>
    <xf numFmtId="164" fontId="8" fillId="0" borderId="8" xfId="0" applyNumberFormat="1" applyFont="1" applyFill="1" applyBorder="1" applyAlignment="1" applyProtection="1">
      <alignment horizontal="left" vertical="center"/>
      <protection/>
    </xf>
    <xf numFmtId="164" fontId="8" fillId="2" borderId="14" xfId="0" applyNumberFormat="1" applyFont="1" applyFill="1" applyBorder="1" applyAlignment="1" applyProtection="1">
      <alignment horizontal="left" vertical="center"/>
      <protection/>
    </xf>
    <xf numFmtId="166" fontId="8" fillId="2" borderId="10" xfId="0" applyNumberFormat="1" applyFont="1" applyFill="1" applyBorder="1" applyAlignment="1" applyProtection="1">
      <alignment horizontal="right" vertical="center"/>
      <protection/>
    </xf>
    <xf numFmtId="164" fontId="8" fillId="2" borderId="6" xfId="0" applyNumberFormat="1" applyFont="1" applyFill="1" applyBorder="1" applyAlignment="1" applyProtection="1">
      <alignment horizontal="left" vertical="center"/>
      <protection/>
    </xf>
    <xf numFmtId="166" fontId="8" fillId="2" borderId="8" xfId="0" applyNumberFormat="1" applyFont="1" applyFill="1" applyBorder="1" applyAlignment="1" applyProtection="1">
      <alignment horizontal="right" vertical="center"/>
      <protection/>
    </xf>
    <xf numFmtId="164" fontId="8" fillId="2" borderId="15" xfId="0" applyNumberFormat="1" applyFont="1" applyFill="1" applyBorder="1" applyAlignment="1" applyProtection="1">
      <alignment horizontal="left" vertical="center"/>
      <protection/>
    </xf>
    <xf numFmtId="164" fontId="8" fillId="2" borderId="7" xfId="0" applyNumberFormat="1" applyFont="1" applyFill="1" applyBorder="1" applyAlignment="1" applyProtection="1">
      <alignment horizontal="left" vertical="center"/>
      <protection/>
    </xf>
    <xf numFmtId="164" fontId="9" fillId="0" borderId="16" xfId="0" applyNumberFormat="1" applyFont="1" applyFill="1" applyBorder="1" applyAlignment="1" applyProtection="1">
      <alignment horizontal="left" vertical="center"/>
      <protection/>
    </xf>
    <xf numFmtId="164" fontId="9" fillId="0" borderId="17" xfId="0" applyNumberFormat="1" applyFont="1" applyFill="1" applyBorder="1" applyAlignment="1" applyProtection="1">
      <alignment horizontal="left" vertical="center"/>
      <protection/>
    </xf>
    <xf numFmtId="164" fontId="9" fillId="0" borderId="18" xfId="0" applyNumberFormat="1" applyFont="1" applyFill="1" applyBorder="1" applyAlignment="1" applyProtection="1">
      <alignment horizontal="left" vertical="center"/>
      <protection/>
    </xf>
    <xf numFmtId="164" fontId="9" fillId="0" borderId="19" xfId="0" applyNumberFormat="1" applyFont="1" applyFill="1" applyBorder="1" applyAlignment="1" applyProtection="1">
      <alignment horizontal="left" vertical="center"/>
      <protection/>
    </xf>
    <xf numFmtId="164" fontId="9" fillId="0" borderId="20" xfId="0" applyNumberFormat="1" applyFont="1" applyFill="1" applyBorder="1" applyAlignment="1" applyProtection="1">
      <alignment horizontal="left" vertical="center"/>
      <protection/>
    </xf>
    <xf numFmtId="164" fontId="9" fillId="0" borderId="21" xfId="0" applyNumberFormat="1" applyFont="1" applyFill="1" applyBorder="1" applyAlignment="1" applyProtection="1">
      <alignment horizontal="left" vertical="center"/>
      <protection/>
    </xf>
    <xf numFmtId="164" fontId="10" fillId="0" borderId="0" xfId="0" applyNumberFormat="1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6" fontId="4" fillId="2" borderId="0" xfId="0" applyNumberFormat="1" applyFont="1" applyFill="1" applyBorder="1" applyAlignment="1" applyProtection="1">
      <alignment horizontal="right" vertical="center"/>
      <protection/>
    </xf>
    <xf numFmtId="164" fontId="1" fillId="0" borderId="2" xfId="0" applyNumberFormat="1" applyFont="1" applyFill="1" applyBorder="1" applyAlignment="1" applyProtection="1">
      <alignment horizontal="left" vertical="center"/>
      <protection/>
    </xf>
    <xf numFmtId="164" fontId="1" fillId="0" borderId="5" xfId="0" applyNumberFormat="1" applyFont="1" applyFill="1" applyBorder="1" applyAlignment="1" applyProtection="1">
      <alignment horizontal="left" vertical="center" wrapText="1"/>
      <protection/>
    </xf>
    <xf numFmtId="164" fontId="4" fillId="0" borderId="22" xfId="0" applyNumberFormat="1" applyFont="1" applyFill="1" applyBorder="1" applyAlignment="1" applyProtection="1">
      <alignment horizontal="left" vertical="center"/>
      <protection/>
    </xf>
    <xf numFmtId="164" fontId="4" fillId="0" borderId="23" xfId="0" applyNumberFormat="1" applyFont="1" applyFill="1" applyBorder="1" applyAlignment="1" applyProtection="1">
      <alignment horizontal="left" vertical="center"/>
      <protection/>
    </xf>
    <xf numFmtId="164" fontId="4" fillId="0" borderId="23" xfId="0" applyNumberFormat="1" applyFont="1" applyFill="1" applyBorder="1" applyAlignment="1" applyProtection="1">
      <alignment horizontal="center" vertical="center"/>
      <protection/>
    </xf>
    <xf numFmtId="164" fontId="4" fillId="0" borderId="24" xfId="0" applyNumberFormat="1" applyFont="1" applyFill="1" applyBorder="1" applyAlignment="1" applyProtection="1">
      <alignment horizontal="center" vertical="center"/>
      <protection/>
    </xf>
    <xf numFmtId="164" fontId="4" fillId="0" borderId="25" xfId="0" applyNumberFormat="1" applyFont="1" applyFill="1" applyBorder="1" applyAlignment="1" applyProtection="1">
      <alignment horizontal="center" vertical="center"/>
      <protection/>
    </xf>
    <xf numFmtId="164" fontId="4" fillId="2" borderId="0" xfId="0" applyNumberFormat="1" applyFont="1" applyFill="1" applyBorder="1" applyAlignment="1" applyProtection="1">
      <alignment horizontal="right" vertical="center"/>
      <protection/>
    </xf>
    <xf numFmtId="164" fontId="4" fillId="0" borderId="0" xfId="0" applyNumberFormat="1" applyFont="1" applyFill="1" applyBorder="1" applyAlignment="1" applyProtection="1">
      <alignment horizontal="right" vertical="center"/>
      <protection/>
    </xf>
    <xf numFmtId="164" fontId="1" fillId="0" borderId="26" xfId="0" applyNumberFormat="1" applyFont="1" applyFill="1" applyBorder="1" applyAlignment="1" applyProtection="1">
      <alignment horizontal="left" vertical="center"/>
      <protection/>
    </xf>
    <xf numFmtId="164" fontId="1" fillId="0" borderId="13" xfId="0" applyNumberFormat="1" applyFont="1" applyFill="1" applyBorder="1" applyAlignment="1" applyProtection="1">
      <alignment horizontal="left" vertical="center"/>
      <protection/>
    </xf>
    <xf numFmtId="164" fontId="4" fillId="0" borderId="13" xfId="0" applyNumberFormat="1" applyFont="1" applyFill="1" applyBorder="1" applyAlignment="1" applyProtection="1">
      <alignment horizontal="left" vertical="center"/>
      <protection/>
    </xf>
    <xf numFmtId="164" fontId="4" fillId="0" borderId="27" xfId="0" applyNumberFormat="1" applyFont="1" applyFill="1" applyBorder="1" applyAlignment="1" applyProtection="1">
      <alignment horizontal="center" vertical="center"/>
      <protection/>
    </xf>
    <xf numFmtId="164" fontId="4" fillId="0" borderId="28" xfId="0" applyNumberFormat="1" applyFont="1" applyFill="1" applyBorder="1" applyAlignment="1" applyProtection="1">
      <alignment horizontal="center" vertical="center"/>
      <protection/>
    </xf>
    <xf numFmtId="164" fontId="4" fillId="0" borderId="13" xfId="0" applyNumberFormat="1" applyFont="1" applyFill="1" applyBorder="1" applyAlignment="1" applyProtection="1">
      <alignment horizontal="center" vertical="center"/>
      <protection/>
    </xf>
    <xf numFmtId="164" fontId="4" fillId="0" borderId="21" xfId="0" applyNumberFormat="1" applyFont="1" applyFill="1" applyBorder="1" applyAlignment="1" applyProtection="1">
      <alignment horizontal="center" vertical="center"/>
      <protection/>
    </xf>
    <xf numFmtId="164" fontId="1" fillId="2" borderId="4" xfId="0" applyNumberFormat="1" applyFont="1" applyFill="1" applyBorder="1" applyAlignment="1" applyProtection="1">
      <alignment horizontal="left" vertical="center"/>
      <protection/>
    </xf>
    <xf numFmtId="164" fontId="4" fillId="2" borderId="0" xfId="0" applyNumberFormat="1" applyFont="1" applyFill="1" applyBorder="1" applyAlignment="1" applyProtection="1">
      <alignment horizontal="left" vertical="center"/>
      <protection/>
    </xf>
    <xf numFmtId="164" fontId="4" fillId="2" borderId="0" xfId="0" applyNumberFormat="1" applyFont="1" applyFill="1" applyBorder="1" applyAlignment="1" applyProtection="1">
      <alignment horizontal="left" vertical="center" wrapText="1"/>
      <protection/>
    </xf>
    <xf numFmtId="164" fontId="1" fillId="2" borderId="0" xfId="0" applyNumberFormat="1" applyFont="1" applyFill="1" applyBorder="1" applyAlignment="1" applyProtection="1">
      <alignment horizontal="left" vertical="center"/>
      <protection/>
    </xf>
    <xf numFmtId="164" fontId="4" fillId="2" borderId="5" xfId="0" applyNumberFormat="1" applyFont="1" applyFill="1" applyBorder="1" applyAlignment="1" applyProtection="1">
      <alignment horizontal="right" vertical="center"/>
      <protection/>
    </xf>
    <xf numFmtId="164" fontId="1" fillId="0" borderId="4" xfId="0" applyNumberFormat="1" applyFont="1" applyFill="1" applyBorder="1" applyAlignment="1" applyProtection="1">
      <alignment horizontal="left" vertical="center"/>
      <protection/>
    </xf>
    <xf numFmtId="166" fontId="1" fillId="0" borderId="0" xfId="0" applyNumberFormat="1" applyFont="1" applyFill="1" applyBorder="1" applyAlignment="1" applyProtection="1">
      <alignment horizontal="right" vertical="center"/>
      <protection/>
    </xf>
    <xf numFmtId="164" fontId="1" fillId="0" borderId="5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Border="1" applyAlignment="1" applyProtection="1">
      <alignment horizontal="right" vertical="center"/>
      <protection/>
    </xf>
    <xf numFmtId="164" fontId="1" fillId="0" borderId="6" xfId="0" applyNumberFormat="1" applyFont="1" applyFill="1" applyBorder="1" applyAlignment="1" applyProtection="1">
      <alignment horizontal="left" vertical="center"/>
      <protection/>
    </xf>
    <xf numFmtId="166" fontId="1" fillId="0" borderId="7" xfId="0" applyNumberFormat="1" applyFont="1" applyFill="1" applyBorder="1" applyAlignment="1" applyProtection="1">
      <alignment horizontal="right" vertical="center"/>
      <protection/>
    </xf>
    <xf numFmtId="164" fontId="1" fillId="0" borderId="8" xfId="0" applyNumberFormat="1" applyFont="1" applyFill="1" applyBorder="1" applyAlignment="1" applyProtection="1">
      <alignment horizontal="right" vertical="center"/>
      <protection/>
    </xf>
    <xf numFmtId="164" fontId="4" fillId="0" borderId="0" xfId="0" applyNumberFormat="1" applyFont="1" applyFill="1" applyBorder="1" applyAlignment="1" applyProtection="1">
      <alignment horizontal="left" vertical="center"/>
      <protection/>
    </xf>
    <xf numFmtId="166" fontId="4" fillId="0" borderId="0" xfId="0" applyNumberFormat="1" applyFont="1" applyFill="1" applyBorder="1" applyAlignment="1" applyProtection="1">
      <alignment horizontal="right" vertical="center"/>
      <protection/>
    </xf>
    <xf numFmtId="164" fontId="8" fillId="0" borderId="0" xfId="0" applyNumberFormat="1" applyFont="1" applyFill="1" applyBorder="1" applyAlignment="1" applyProtection="1">
      <alignment horizontal="left" vertical="center"/>
      <protection/>
    </xf>
    <xf numFmtId="164" fontId="4" fillId="0" borderId="25" xfId="0" applyNumberFormat="1" applyFont="1" applyFill="1" applyBorder="1" applyAlignment="1" applyProtection="1">
      <alignment horizontal="left" vertical="center"/>
      <protection/>
    </xf>
    <xf numFmtId="164" fontId="4" fillId="0" borderId="29" xfId="0" applyNumberFormat="1" applyFont="1" applyFill="1" applyBorder="1" applyAlignment="1" applyProtection="1">
      <alignment horizontal="right" vertical="center"/>
      <protection/>
    </xf>
    <xf numFmtId="164" fontId="1" fillId="0" borderId="12" xfId="0" applyNumberFormat="1" applyFont="1" applyFill="1" applyBorder="1" applyAlignment="1" applyProtection="1">
      <alignment horizontal="left" vertical="center"/>
      <protection/>
    </xf>
    <xf numFmtId="164" fontId="1" fillId="0" borderId="8" xfId="0" applyNumberFormat="1" applyFont="1" applyFill="1" applyBorder="1" applyAlignment="1" applyProtection="1">
      <alignment horizontal="left" vertical="center"/>
      <protection/>
    </xf>
    <xf numFmtId="166" fontId="1" fillId="0" borderId="8" xfId="0" applyNumberFormat="1" applyFont="1" applyFill="1" applyBorder="1" applyAlignment="1" applyProtection="1">
      <alignment horizontal="right" vertical="center"/>
      <protection/>
    </xf>
    <xf numFmtId="164" fontId="1" fillId="0" borderId="11" xfId="0" applyNumberFormat="1" applyFont="1" applyFill="1" applyBorder="1" applyAlignment="1" applyProtection="1">
      <alignment horizontal="left" vertical="center"/>
      <protection/>
    </xf>
    <xf numFmtId="166" fontId="1" fillId="0" borderId="5" xfId="0" applyNumberFormat="1" applyFont="1" applyFill="1" applyBorder="1" applyAlignment="1" applyProtection="1">
      <alignment horizontal="right" vertical="center"/>
      <protection/>
    </xf>
    <xf numFmtId="164" fontId="4" fillId="0" borderId="30" xfId="0" applyNumberFormat="1" applyFont="1" applyFill="1" applyBorder="1" applyAlignment="1" applyProtection="1">
      <alignment horizontal="left" vertical="center"/>
      <protection/>
    </xf>
    <xf numFmtId="164" fontId="4" fillId="0" borderId="31" xfId="0" applyNumberFormat="1" applyFont="1" applyFill="1" applyBorder="1" applyAlignment="1" applyProtection="1">
      <alignment horizontal="left" vertical="center"/>
      <protection/>
    </xf>
    <xf numFmtId="164" fontId="4" fillId="0" borderId="31" xfId="0" applyNumberFormat="1" applyFont="1" applyFill="1" applyBorder="1" applyAlignment="1" applyProtection="1">
      <alignment horizontal="right" vertical="center"/>
      <protection/>
    </xf>
    <xf numFmtId="166" fontId="4" fillId="0" borderId="31" xfId="0" applyNumberFormat="1" applyFont="1" applyFill="1" applyBorder="1" applyAlignment="1" applyProtection="1">
      <alignment horizontal="right" vertical="center"/>
      <protection/>
    </xf>
    <xf numFmtId="164" fontId="8" fillId="0" borderId="30" xfId="0" applyNumberFormat="1" applyFont="1" applyFill="1" applyBorder="1" applyAlignment="1" applyProtection="1">
      <alignment horizontal="left" vertical="center"/>
      <protection/>
    </xf>
    <xf numFmtId="166" fontId="8" fillId="0" borderId="31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showOutlineSymbols="0" workbookViewId="0" topLeftCell="A7">
      <selection activeCell="A37" sqref="A37"/>
    </sheetView>
  </sheetViews>
  <sheetFormatPr defaultColWidth="16" defaultRowHeight="15" customHeight="1"/>
  <cols>
    <col min="1" max="1" width="12.796875" style="1" customWidth="1"/>
    <col min="2" max="2" width="18" style="1" customWidth="1"/>
    <col min="3" max="3" width="38" style="1" customWidth="1"/>
    <col min="4" max="4" width="14" style="1" customWidth="1"/>
    <col min="5" max="5" width="19.59765625" style="1" customWidth="1"/>
    <col min="6" max="6" width="38" style="1" customWidth="1"/>
    <col min="7" max="7" width="12.796875" style="1" customWidth="1"/>
    <col min="8" max="8" width="18" style="1" customWidth="1"/>
    <col min="9" max="9" width="38" style="1" customWidth="1"/>
    <col min="10" max="16384" width="17" style="0" customWidth="1"/>
  </cols>
  <sheetData>
    <row r="1" spans="1:9" ht="54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" customHeight="1">
      <c r="A2" s="3" t="s">
        <v>1</v>
      </c>
      <c r="B2" s="3"/>
      <c r="C2" s="4">
        <f>'Stavební rozpočet'!C2</f>
        <v>0</v>
      </c>
      <c r="D2" s="4"/>
      <c r="E2" s="5" t="s">
        <v>2</v>
      </c>
      <c r="F2" s="5">
        <f>'Stavební rozpočet'!I2</f>
        <v>0</v>
      </c>
      <c r="G2" s="5"/>
      <c r="H2" s="5" t="s">
        <v>3</v>
      </c>
      <c r="I2" s="6"/>
    </row>
    <row r="3" spans="1:9" ht="15" customHeight="1">
      <c r="A3" s="3"/>
      <c r="B3" s="3"/>
      <c r="C3" s="4"/>
      <c r="D3" s="4"/>
      <c r="E3" s="5"/>
      <c r="F3" s="5"/>
      <c r="G3" s="5"/>
      <c r="H3" s="5"/>
      <c r="I3" s="6"/>
    </row>
    <row r="4" spans="1:9" ht="15" customHeight="1">
      <c r="A4" s="7" t="s">
        <v>4</v>
      </c>
      <c r="B4" s="7"/>
      <c r="C4" s="8">
        <f>'Stavební rozpočet'!C4</f>
        <v>0</v>
      </c>
      <c r="D4" s="8"/>
      <c r="E4" s="8" t="s">
        <v>5</v>
      </c>
      <c r="F4" s="8">
        <f>'Stavební rozpočet'!I4</f>
        <v>0</v>
      </c>
      <c r="G4" s="8"/>
      <c r="H4" s="8" t="s">
        <v>3</v>
      </c>
      <c r="I4" s="9"/>
    </row>
    <row r="5" spans="1:9" ht="15" customHeight="1">
      <c r="A5" s="7"/>
      <c r="B5" s="7"/>
      <c r="C5" s="8"/>
      <c r="D5" s="8"/>
      <c r="E5" s="8"/>
      <c r="F5" s="8"/>
      <c r="G5" s="8"/>
      <c r="H5" s="8"/>
      <c r="I5" s="9"/>
    </row>
    <row r="6" spans="1:9" ht="15" customHeight="1">
      <c r="A6" s="7" t="s">
        <v>6</v>
      </c>
      <c r="B6" s="7"/>
      <c r="C6" s="8">
        <f>'Stavební rozpočet'!C6</f>
        <v>0</v>
      </c>
      <c r="D6" s="8"/>
      <c r="E6" s="8" t="s">
        <v>7</v>
      </c>
      <c r="F6" s="8">
        <f>'Stavební rozpočet'!I6</f>
        <v>0</v>
      </c>
      <c r="G6" s="8"/>
      <c r="H6" s="8" t="s">
        <v>3</v>
      </c>
      <c r="I6" s="9"/>
    </row>
    <row r="7" spans="1:9" ht="15" customHeight="1">
      <c r="A7" s="7"/>
      <c r="B7" s="7"/>
      <c r="C7" s="8"/>
      <c r="D7" s="8"/>
      <c r="E7" s="8"/>
      <c r="F7" s="8"/>
      <c r="G7" s="8"/>
      <c r="H7" s="8"/>
      <c r="I7" s="9"/>
    </row>
    <row r="8" spans="1:9" ht="15" customHeight="1">
      <c r="A8" s="7" t="s">
        <v>8</v>
      </c>
      <c r="B8" s="7"/>
      <c r="C8" s="8">
        <f>'Stavební rozpočet'!G4</f>
        <v>0</v>
      </c>
      <c r="D8" s="8"/>
      <c r="E8" s="8" t="s">
        <v>9</v>
      </c>
      <c r="F8" s="8">
        <f>'Stavební rozpočet'!G6</f>
        <v>0</v>
      </c>
      <c r="G8" s="8"/>
      <c r="H8" s="10" t="s">
        <v>10</v>
      </c>
      <c r="I8" s="11">
        <v>155</v>
      </c>
    </row>
    <row r="9" spans="1:9" ht="15" customHeight="1">
      <c r="A9" s="7"/>
      <c r="B9" s="7"/>
      <c r="C9" s="8"/>
      <c r="D9" s="8"/>
      <c r="E9" s="8"/>
      <c r="F9" s="8"/>
      <c r="G9" s="8"/>
      <c r="H9" s="10"/>
      <c r="I9" s="11"/>
    </row>
    <row r="10" spans="1:9" ht="15" customHeight="1">
      <c r="A10" s="12" t="s">
        <v>11</v>
      </c>
      <c r="B10" s="12"/>
      <c r="C10" s="13">
        <f>'Stavební rozpočet'!C8</f>
        <v>0</v>
      </c>
      <c r="D10" s="13"/>
      <c r="E10" s="13" t="s">
        <v>12</v>
      </c>
      <c r="F10" s="13">
        <f>'Stavební rozpočet'!I8</f>
        <v>0</v>
      </c>
      <c r="G10" s="13"/>
      <c r="H10" s="14" t="s">
        <v>13</v>
      </c>
      <c r="I10" s="15">
        <f>'Stavební rozpočet'!G8</f>
        <v>0</v>
      </c>
    </row>
    <row r="11" spans="1:9" ht="15" customHeight="1">
      <c r="A11" s="12"/>
      <c r="B11" s="12"/>
      <c r="C11" s="13"/>
      <c r="D11" s="13"/>
      <c r="E11" s="13"/>
      <c r="F11" s="13"/>
      <c r="G11" s="13"/>
      <c r="H11" s="14"/>
      <c r="I11" s="15"/>
    </row>
    <row r="12" spans="1:9" ht="22.5" customHeight="1">
      <c r="A12" s="16" t="s">
        <v>14</v>
      </c>
      <c r="B12" s="16"/>
      <c r="C12" s="16"/>
      <c r="D12" s="16"/>
      <c r="E12" s="16"/>
      <c r="F12" s="16"/>
      <c r="G12" s="16"/>
      <c r="H12" s="16"/>
      <c r="I12" s="16"/>
    </row>
    <row r="13" spans="1:9" ht="26.25" customHeight="1">
      <c r="A13" s="17" t="s">
        <v>15</v>
      </c>
      <c r="B13" s="18" t="s">
        <v>16</v>
      </c>
      <c r="C13" s="18"/>
      <c r="D13" s="19" t="s">
        <v>17</v>
      </c>
      <c r="E13" s="18" t="s">
        <v>18</v>
      </c>
      <c r="F13" s="18"/>
      <c r="G13" s="19" t="s">
        <v>19</v>
      </c>
      <c r="H13" s="18" t="s">
        <v>20</v>
      </c>
      <c r="I13" s="18"/>
    </row>
    <row r="14" spans="1:9" ht="15" customHeight="1">
      <c r="A14" s="20" t="s">
        <v>21</v>
      </c>
      <c r="B14" s="21" t="s">
        <v>22</v>
      </c>
      <c r="C14" s="22">
        <f>SUM('Stavební rozpočet'!AB12:AB173)</f>
        <v>0</v>
      </c>
      <c r="D14" s="21" t="s">
        <v>23</v>
      </c>
      <c r="E14" s="21"/>
      <c r="F14" s="22">
        <f>VORN!I15</f>
        <v>0</v>
      </c>
      <c r="G14" s="21" t="s">
        <v>24</v>
      </c>
      <c r="H14" s="21"/>
      <c r="I14" s="23">
        <f>VORN!I21</f>
        <v>0</v>
      </c>
    </row>
    <row r="15" spans="1:9" ht="15" customHeight="1">
      <c r="A15" s="24"/>
      <c r="B15" s="21" t="s">
        <v>25</v>
      </c>
      <c r="C15" s="22">
        <f>SUM('Stavební rozpočet'!AC12:AC173)</f>
        <v>0</v>
      </c>
      <c r="D15" s="21" t="s">
        <v>26</v>
      </c>
      <c r="E15" s="21"/>
      <c r="F15" s="22">
        <f>VORN!I16</f>
        <v>0</v>
      </c>
      <c r="G15" s="21" t="s">
        <v>27</v>
      </c>
      <c r="H15" s="21"/>
      <c r="I15" s="23">
        <f>VORN!I22</f>
        <v>0</v>
      </c>
    </row>
    <row r="16" spans="1:9" ht="15" customHeight="1">
      <c r="A16" s="20" t="s">
        <v>28</v>
      </c>
      <c r="B16" s="21" t="s">
        <v>22</v>
      </c>
      <c r="C16" s="22">
        <f>SUM('Stavební rozpočet'!AD12:AD173)</f>
        <v>0</v>
      </c>
      <c r="D16" s="21" t="s">
        <v>29</v>
      </c>
      <c r="E16" s="21"/>
      <c r="F16" s="22">
        <f>VORN!I17</f>
        <v>0</v>
      </c>
      <c r="G16" s="21" t="s">
        <v>30</v>
      </c>
      <c r="H16" s="21"/>
      <c r="I16" s="23">
        <f>VORN!I23</f>
        <v>0</v>
      </c>
    </row>
    <row r="17" spans="1:9" ht="15" customHeight="1">
      <c r="A17" s="24"/>
      <c r="B17" s="21" t="s">
        <v>25</v>
      </c>
      <c r="C17" s="22">
        <f>SUM('Stavební rozpočet'!AE12:AE173)</f>
        <v>0</v>
      </c>
      <c r="D17" s="21"/>
      <c r="E17" s="21"/>
      <c r="F17" s="23"/>
      <c r="G17" s="21" t="s">
        <v>31</v>
      </c>
      <c r="H17" s="21"/>
      <c r="I17" s="23">
        <f>VORN!I24</f>
        <v>0</v>
      </c>
    </row>
    <row r="18" spans="1:9" ht="15" customHeight="1">
      <c r="A18" s="20" t="s">
        <v>32</v>
      </c>
      <c r="B18" s="21" t="s">
        <v>22</v>
      </c>
      <c r="C18" s="22">
        <f>SUM('Stavební rozpočet'!AF12:AF173)</f>
        <v>0</v>
      </c>
      <c r="D18" s="21"/>
      <c r="E18" s="21"/>
      <c r="F18" s="23"/>
      <c r="G18" s="21" t="s">
        <v>33</v>
      </c>
      <c r="H18" s="21"/>
      <c r="I18" s="23">
        <f>VORN!I25</f>
        <v>0</v>
      </c>
    </row>
    <row r="19" spans="1:9" ht="15" customHeight="1">
      <c r="A19" s="24"/>
      <c r="B19" s="21" t="s">
        <v>25</v>
      </c>
      <c r="C19" s="22">
        <f>SUM('Stavební rozpočet'!AG12:AG173)</f>
        <v>0</v>
      </c>
      <c r="D19" s="21"/>
      <c r="E19" s="21"/>
      <c r="F19" s="23"/>
      <c r="G19" s="21" t="s">
        <v>34</v>
      </c>
      <c r="H19" s="21"/>
      <c r="I19" s="23">
        <f>VORN!I26</f>
        <v>0</v>
      </c>
    </row>
    <row r="20" spans="1:9" ht="15" customHeight="1">
      <c r="A20" s="24" t="s">
        <v>35</v>
      </c>
      <c r="B20" s="24"/>
      <c r="C20" s="22">
        <f>SUM('Stavební rozpočet'!AH12:AH173)</f>
        <v>0</v>
      </c>
      <c r="D20" s="21"/>
      <c r="E20" s="21"/>
      <c r="F20" s="23"/>
      <c r="G20" s="21"/>
      <c r="H20" s="21"/>
      <c r="I20" s="23"/>
    </row>
    <row r="21" spans="1:9" ht="15" customHeight="1">
      <c r="A21" s="20" t="s">
        <v>36</v>
      </c>
      <c r="B21" s="20"/>
      <c r="C21" s="25">
        <f>SUM('Stavební rozpočet'!Z12:Z173)</f>
        <v>0</v>
      </c>
      <c r="D21" s="26"/>
      <c r="E21" s="26"/>
      <c r="F21" s="27"/>
      <c r="G21" s="26"/>
      <c r="H21" s="26"/>
      <c r="I21" s="27"/>
    </row>
    <row r="22" spans="1:9" ht="16.5" customHeight="1">
      <c r="A22" s="28" t="s">
        <v>37</v>
      </c>
      <c r="B22" s="28"/>
      <c r="C22" s="29">
        <f>SUM(C14:C21)</f>
        <v>0</v>
      </c>
      <c r="D22" s="30" t="s">
        <v>38</v>
      </c>
      <c r="E22" s="30"/>
      <c r="F22" s="29">
        <f>SUM(F14:F21)</f>
        <v>0</v>
      </c>
      <c r="G22" s="30" t="s">
        <v>39</v>
      </c>
      <c r="H22" s="30"/>
      <c r="I22" s="29">
        <f>SUM(I14:I21)</f>
        <v>0</v>
      </c>
    </row>
    <row r="23" spans="4:9" ht="15" customHeight="1">
      <c r="D23" s="24" t="s">
        <v>40</v>
      </c>
      <c r="E23" s="24"/>
      <c r="F23" s="31">
        <v>0</v>
      </c>
      <c r="G23" s="32" t="s">
        <v>41</v>
      </c>
      <c r="H23" s="32"/>
      <c r="I23" s="22">
        <v>0</v>
      </c>
    </row>
    <row r="24" spans="7:9" ht="15" customHeight="1">
      <c r="G24" s="24" t="s">
        <v>42</v>
      </c>
      <c r="H24" s="24"/>
      <c r="I24" s="25">
        <f>vorn_sum</f>
        <v>0</v>
      </c>
    </row>
    <row r="25" spans="7:9" ht="15" customHeight="1">
      <c r="G25" s="24" t="s">
        <v>43</v>
      </c>
      <c r="H25" s="24"/>
      <c r="I25" s="29">
        <v>0</v>
      </c>
    </row>
    <row r="27" spans="1:3" ht="15" customHeight="1">
      <c r="A27" s="33" t="s">
        <v>44</v>
      </c>
      <c r="B27" s="33"/>
      <c r="C27" s="34">
        <f>SUM('Stavební rozpočet'!AJ12:AJ173)</f>
        <v>0</v>
      </c>
    </row>
    <row r="28" spans="1:9" ht="15" customHeight="1">
      <c r="A28" s="35" t="s">
        <v>45</v>
      </c>
      <c r="B28" s="35"/>
      <c r="C28" s="36">
        <f>SUM('Stavební rozpočet'!AK12:AK173)</f>
        <v>0</v>
      </c>
      <c r="D28" s="37" t="s">
        <v>46</v>
      </c>
      <c r="E28" s="37"/>
      <c r="F28" s="34">
        <f>ROUND(C28*(12/100),2)</f>
        <v>0</v>
      </c>
      <c r="G28" s="37" t="s">
        <v>47</v>
      </c>
      <c r="H28" s="37"/>
      <c r="I28" s="34">
        <f>SUM(C27:C29)</f>
        <v>0</v>
      </c>
    </row>
    <row r="29" spans="1:9" ht="15" customHeight="1">
      <c r="A29" s="35" t="s">
        <v>48</v>
      </c>
      <c r="B29" s="35"/>
      <c r="C29" s="36">
        <f>SUM('Stavební rozpočet'!AL12:AL173)+(F22+I22+F23+I23+I24+I25)</f>
        <v>0</v>
      </c>
      <c r="D29" s="38" t="s">
        <v>49</v>
      </c>
      <c r="E29" s="38"/>
      <c r="F29" s="36">
        <f>ROUND(C29*(21/100),2)</f>
        <v>0</v>
      </c>
      <c r="G29" s="38" t="s">
        <v>50</v>
      </c>
      <c r="H29" s="38"/>
      <c r="I29" s="36">
        <f>SUM(F28:F29)+I28</f>
        <v>0</v>
      </c>
    </row>
    <row r="31" spans="1:9" ht="15" customHeight="1">
      <c r="A31" s="39" t="s">
        <v>51</v>
      </c>
      <c r="B31" s="39"/>
      <c r="C31" s="39"/>
      <c r="D31" s="40" t="s">
        <v>52</v>
      </c>
      <c r="E31" s="40"/>
      <c r="F31" s="40"/>
      <c r="G31" s="40" t="s">
        <v>53</v>
      </c>
      <c r="H31" s="40"/>
      <c r="I31" s="40"/>
    </row>
    <row r="32" spans="1:9" ht="15" customHeight="1">
      <c r="A32" s="41"/>
      <c r="B32" s="41"/>
      <c r="C32" s="41"/>
      <c r="D32" s="42"/>
      <c r="E32" s="42"/>
      <c r="F32" s="42"/>
      <c r="G32" s="42"/>
      <c r="H32" s="42"/>
      <c r="I32" s="42"/>
    </row>
    <row r="33" spans="1:9" ht="15" customHeight="1">
      <c r="A33" s="41"/>
      <c r="B33" s="41"/>
      <c r="C33" s="41"/>
      <c r="D33" s="42"/>
      <c r="E33" s="42"/>
      <c r="F33" s="42"/>
      <c r="G33" s="42"/>
      <c r="H33" s="42"/>
      <c r="I33" s="42"/>
    </row>
    <row r="34" spans="1:9" ht="15" customHeight="1">
      <c r="A34" s="41"/>
      <c r="B34" s="41"/>
      <c r="C34" s="41"/>
      <c r="D34" s="42"/>
      <c r="E34" s="42"/>
      <c r="F34" s="42"/>
      <c r="G34" s="42"/>
      <c r="H34" s="42"/>
      <c r="I34" s="42"/>
    </row>
    <row r="35" spans="1:9" ht="15" customHeight="1">
      <c r="A35" s="43" t="s">
        <v>54</v>
      </c>
      <c r="B35" s="43"/>
      <c r="C35" s="43"/>
      <c r="D35" s="44" t="s">
        <v>54</v>
      </c>
      <c r="E35" s="44"/>
      <c r="F35" s="44"/>
      <c r="G35" s="44" t="s">
        <v>54</v>
      </c>
      <c r="H35" s="44"/>
      <c r="I35" s="44"/>
    </row>
    <row r="36" ht="15" customHeight="1">
      <c r="A36" s="45" t="s">
        <v>55</v>
      </c>
    </row>
    <row r="37" spans="1:9" ht="12.75" customHeight="1">
      <c r="A37" s="8"/>
      <c r="B37" s="8"/>
      <c r="C37" s="8"/>
      <c r="D37" s="8"/>
      <c r="E37" s="8"/>
      <c r="F37" s="8"/>
      <c r="G37" s="8"/>
      <c r="H37" s="8"/>
      <c r="I37" s="8"/>
    </row>
  </sheetData>
  <sheetProtection selectLockedCells="1" selectUnlockedCells="1"/>
  <mergeCells count="83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7:I37"/>
  </mergeCells>
  <printOptions/>
  <pageMargins left="0.39375" right="0.39375" top="0.5909722222222222" bottom="0.5909722222222222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76"/>
  <sheetViews>
    <sheetView showOutlineSymbols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16" defaultRowHeight="15" customHeight="1"/>
  <cols>
    <col min="1" max="1" width="5.59765625" style="1" customWidth="1"/>
    <col min="2" max="2" width="25" style="1" customWidth="1"/>
    <col min="3" max="3" width="60" style="1" customWidth="1"/>
    <col min="4" max="4" width="50" style="1" customWidth="1"/>
    <col min="5" max="5" width="6.3984375" style="1" customWidth="1"/>
    <col min="6" max="6" width="18" style="1" customWidth="1"/>
    <col min="7" max="7" width="16.796875" style="1" customWidth="1"/>
    <col min="8" max="10" width="22" style="1" customWidth="1"/>
    <col min="11" max="11" width="20.59765625" style="1" customWidth="1"/>
    <col min="12" max="24" width="17" style="0" customWidth="1"/>
    <col min="25" max="75" width="17" style="1" hidden="1" customWidth="1"/>
    <col min="76" max="16384" width="17" style="0" customWidth="1"/>
  </cols>
  <sheetData>
    <row r="1" spans="1:47" ht="54.75" customHeight="1">
      <c r="A1" s="46" t="s">
        <v>56</v>
      </c>
      <c r="B1" s="46"/>
      <c r="C1" s="46"/>
      <c r="D1" s="46"/>
      <c r="E1" s="46"/>
      <c r="F1" s="46"/>
      <c r="G1" s="46"/>
      <c r="H1" s="46"/>
      <c r="I1" s="46"/>
      <c r="J1" s="46"/>
      <c r="K1" s="46"/>
      <c r="AS1" s="47">
        <f>SUM(AJ1:AJ2)</f>
        <v>0</v>
      </c>
      <c r="AT1" s="47">
        <f>SUM(AK1:AK2)</f>
        <v>0</v>
      </c>
      <c r="AU1" s="47">
        <f>SUM(AL1:AL2)</f>
        <v>0</v>
      </c>
    </row>
    <row r="2" spans="1:11" ht="15" customHeight="1">
      <c r="A2" s="3" t="s">
        <v>1</v>
      </c>
      <c r="B2" s="3"/>
      <c r="C2" s="4" t="s">
        <v>57</v>
      </c>
      <c r="D2" s="4"/>
      <c r="E2" s="48" t="s">
        <v>58</v>
      </c>
      <c r="F2" s="48"/>
      <c r="G2" s="48" t="s">
        <v>59</v>
      </c>
      <c r="H2" s="5" t="s">
        <v>2</v>
      </c>
      <c r="I2" s="6" t="s">
        <v>60</v>
      </c>
      <c r="J2" s="6"/>
      <c r="K2" s="6"/>
    </row>
    <row r="3" spans="1:11" ht="15" customHeight="1">
      <c r="A3" s="3"/>
      <c r="B3" s="3"/>
      <c r="C3" s="4"/>
      <c r="D3" s="4"/>
      <c r="E3" s="48"/>
      <c r="F3" s="48"/>
      <c r="G3" s="48"/>
      <c r="H3" s="48"/>
      <c r="I3" s="48"/>
      <c r="J3" s="6"/>
      <c r="K3" s="6"/>
    </row>
    <row r="4" spans="1:11" ht="15" customHeight="1">
      <c r="A4" s="7" t="s">
        <v>4</v>
      </c>
      <c r="B4" s="7"/>
      <c r="C4" s="8" t="s">
        <v>61</v>
      </c>
      <c r="D4" s="8"/>
      <c r="E4" s="10" t="s">
        <v>8</v>
      </c>
      <c r="F4" s="10"/>
      <c r="G4" s="10" t="s">
        <v>62</v>
      </c>
      <c r="H4" s="8" t="s">
        <v>5</v>
      </c>
      <c r="I4" s="9" t="s">
        <v>60</v>
      </c>
      <c r="J4" s="9"/>
      <c r="K4" s="9"/>
    </row>
    <row r="5" spans="1:11" ht="15" customHeight="1">
      <c r="A5" s="7"/>
      <c r="B5" s="7"/>
      <c r="C5" s="8"/>
      <c r="D5" s="8"/>
      <c r="E5" s="10"/>
      <c r="F5" s="10"/>
      <c r="G5" s="10"/>
      <c r="H5" s="10"/>
      <c r="I5" s="10"/>
      <c r="J5" s="9"/>
      <c r="K5" s="9"/>
    </row>
    <row r="6" spans="1:11" ht="15" customHeight="1">
      <c r="A6" s="7" t="s">
        <v>6</v>
      </c>
      <c r="B6" s="7"/>
      <c r="C6" s="8" t="s">
        <v>63</v>
      </c>
      <c r="D6" s="8"/>
      <c r="E6" s="10" t="s">
        <v>9</v>
      </c>
      <c r="F6" s="10"/>
      <c r="G6" s="10" t="s">
        <v>59</v>
      </c>
      <c r="H6" s="8" t="s">
        <v>7</v>
      </c>
      <c r="I6" s="9" t="s">
        <v>60</v>
      </c>
      <c r="J6" s="9"/>
      <c r="K6" s="9"/>
    </row>
    <row r="7" spans="1:11" ht="15" customHeight="1">
      <c r="A7" s="7"/>
      <c r="B7" s="7"/>
      <c r="C7" s="8"/>
      <c r="D7" s="8"/>
      <c r="E7" s="10"/>
      <c r="F7" s="10"/>
      <c r="G7" s="10"/>
      <c r="H7" s="10"/>
      <c r="I7" s="10"/>
      <c r="J7" s="9"/>
      <c r="K7" s="9"/>
    </row>
    <row r="8" spans="1:11" ht="15" customHeight="1">
      <c r="A8" s="7" t="s">
        <v>11</v>
      </c>
      <c r="B8" s="7"/>
      <c r="C8" s="8" t="s">
        <v>59</v>
      </c>
      <c r="D8" s="8"/>
      <c r="E8" s="10" t="s">
        <v>64</v>
      </c>
      <c r="F8" s="10"/>
      <c r="G8" s="10" t="s">
        <v>62</v>
      </c>
      <c r="H8" s="8" t="s">
        <v>12</v>
      </c>
      <c r="I8" s="49" t="s">
        <v>65</v>
      </c>
      <c r="J8" s="49"/>
      <c r="K8" s="49"/>
    </row>
    <row r="9" spans="1:11" ht="15" customHeight="1">
      <c r="A9" s="7"/>
      <c r="B9" s="7"/>
      <c r="C9" s="8"/>
      <c r="D9" s="8"/>
      <c r="E9" s="10"/>
      <c r="F9" s="10"/>
      <c r="G9" s="10"/>
      <c r="H9" s="10"/>
      <c r="I9" s="10"/>
      <c r="J9" s="49"/>
      <c r="K9" s="49"/>
    </row>
    <row r="10" spans="1:75" ht="15" customHeight="1">
      <c r="A10" s="50" t="s">
        <v>66</v>
      </c>
      <c r="B10" s="51" t="s">
        <v>67</v>
      </c>
      <c r="C10" s="51" t="s">
        <v>68</v>
      </c>
      <c r="D10" s="51"/>
      <c r="E10" s="51" t="s">
        <v>69</v>
      </c>
      <c r="F10" s="52" t="s">
        <v>70</v>
      </c>
      <c r="G10" s="53" t="s">
        <v>71</v>
      </c>
      <c r="H10" s="54" t="s">
        <v>72</v>
      </c>
      <c r="I10" s="54"/>
      <c r="J10" s="54"/>
      <c r="K10" s="52" t="s">
        <v>73</v>
      </c>
      <c r="BK10" s="55" t="s">
        <v>74</v>
      </c>
      <c r="BL10" s="56" t="s">
        <v>75</v>
      </c>
      <c r="BW10" s="56" t="s">
        <v>76</v>
      </c>
    </row>
    <row r="11" spans="1:62" ht="15" customHeight="1">
      <c r="A11" s="57" t="s">
        <v>59</v>
      </c>
      <c r="B11" s="58" t="s">
        <v>59</v>
      </c>
      <c r="C11" s="59" t="s">
        <v>77</v>
      </c>
      <c r="D11" s="59"/>
      <c r="E11" s="58" t="s">
        <v>59</v>
      </c>
      <c r="F11" s="58" t="s">
        <v>59</v>
      </c>
      <c r="G11" s="60" t="s">
        <v>78</v>
      </c>
      <c r="H11" s="61" t="s">
        <v>79</v>
      </c>
      <c r="I11" s="62" t="s">
        <v>25</v>
      </c>
      <c r="J11" s="63" t="s">
        <v>80</v>
      </c>
      <c r="K11" s="62" t="s">
        <v>81</v>
      </c>
      <c r="Z11" s="55" t="s">
        <v>82</v>
      </c>
      <c r="AA11" s="55" t="s">
        <v>83</v>
      </c>
      <c r="AB11" s="55" t="s">
        <v>84</v>
      </c>
      <c r="AC11" s="55" t="s">
        <v>85</v>
      </c>
      <c r="AD11" s="55" t="s">
        <v>86</v>
      </c>
      <c r="AE11" s="55" t="s">
        <v>87</v>
      </c>
      <c r="AF11" s="55" t="s">
        <v>88</v>
      </c>
      <c r="AG11" s="55" t="s">
        <v>89</v>
      </c>
      <c r="AH11" s="55" t="s">
        <v>90</v>
      </c>
      <c r="BH11" s="55" t="s">
        <v>91</v>
      </c>
      <c r="BI11" s="55" t="s">
        <v>92</v>
      </c>
      <c r="BJ11" s="55" t="s">
        <v>93</v>
      </c>
    </row>
    <row r="12" spans="1:47" ht="15" customHeight="1">
      <c r="A12" s="64"/>
      <c r="B12" s="65" t="s">
        <v>94</v>
      </c>
      <c r="C12" s="66" t="s">
        <v>95</v>
      </c>
      <c r="D12" s="66"/>
      <c r="E12" s="67" t="s">
        <v>59</v>
      </c>
      <c r="F12" s="67" t="s">
        <v>59</v>
      </c>
      <c r="G12" s="67" t="s">
        <v>59</v>
      </c>
      <c r="H12" s="47">
        <f>SUM(H13:H14)</f>
        <v>0</v>
      </c>
      <c r="I12" s="47">
        <f>SUM(I13:I14)</f>
        <v>0</v>
      </c>
      <c r="J12" s="47">
        <f>SUM(J13:J14)</f>
        <v>0</v>
      </c>
      <c r="K12" s="68"/>
      <c r="AI12" s="55"/>
      <c r="AS12" s="47">
        <f>SUM(AJ13:AJ14)</f>
        <v>0</v>
      </c>
      <c r="AT12" s="47">
        <f>SUM(AK13:AK14)</f>
        <v>0</v>
      </c>
      <c r="AU12" s="47">
        <f>SUM(AL13:AL14)</f>
        <v>0</v>
      </c>
    </row>
    <row r="13" spans="1:75" ht="13.5" customHeight="1">
      <c r="A13" s="69" t="s">
        <v>96</v>
      </c>
      <c r="B13" s="10" t="s">
        <v>97</v>
      </c>
      <c r="C13" s="8" t="s">
        <v>98</v>
      </c>
      <c r="D13" s="8"/>
      <c r="E13" s="10" t="s">
        <v>99</v>
      </c>
      <c r="F13" s="70">
        <v>1</v>
      </c>
      <c r="G13" s="70">
        <v>0</v>
      </c>
      <c r="H13" s="70">
        <f aca="true" t="shared" si="0" ref="H13:H14">F13*AO13</f>
        <v>0</v>
      </c>
      <c r="I13" s="70">
        <f aca="true" t="shared" si="1" ref="I13:I14">F13*AP13</f>
        <v>0</v>
      </c>
      <c r="J13" s="70">
        <f aca="true" t="shared" si="2" ref="J13:J14">F13*G13</f>
        <v>0</v>
      </c>
      <c r="K13" s="71"/>
      <c r="Z13" s="70">
        <f aca="true" t="shared" si="3" ref="Z13:Z14">IF(AQ13="5",BJ13,0)</f>
        <v>0</v>
      </c>
      <c r="AB13" s="70">
        <f aca="true" t="shared" si="4" ref="AB13:AB14">IF(AQ13="1",BH13,0)</f>
        <v>0</v>
      </c>
      <c r="AC13" s="70">
        <f aca="true" t="shared" si="5" ref="AC13:AC14">IF(AQ13="1",BI13,0)</f>
        <v>0</v>
      </c>
      <c r="AD13" s="70">
        <f aca="true" t="shared" si="6" ref="AD13:AD14">IF(AQ13="7",BH13,0)</f>
        <v>0</v>
      </c>
      <c r="AE13" s="70">
        <f aca="true" t="shared" si="7" ref="AE13:AE14">IF(AQ13="7",BI13,0)</f>
        <v>0</v>
      </c>
      <c r="AF13" s="70">
        <f aca="true" t="shared" si="8" ref="AF13:AF14">IF(AQ13="2",BH13,0)</f>
        <v>0</v>
      </c>
      <c r="AG13" s="70">
        <f aca="true" t="shared" si="9" ref="AG13:AG14">IF(AQ13="2",BI13,0)</f>
        <v>0</v>
      </c>
      <c r="AH13" s="70">
        <f aca="true" t="shared" si="10" ref="AH13:AH14">IF(AQ13="0",BJ13,0)</f>
        <v>0</v>
      </c>
      <c r="AI13" s="55"/>
      <c r="AJ13" s="70">
        <f aca="true" t="shared" si="11" ref="AJ13:AJ14">IF(AN13=0,J13,0)</f>
        <v>0</v>
      </c>
      <c r="AK13" s="70">
        <f aca="true" t="shared" si="12" ref="AK13:AK14">IF(AN13=12,J13,0)</f>
        <v>0</v>
      </c>
      <c r="AL13" s="70">
        <f aca="true" t="shared" si="13" ref="AL13:AL14">IF(AN13=21,J13,0)</f>
        <v>0</v>
      </c>
      <c r="AN13" s="70">
        <v>21</v>
      </c>
      <c r="AO13" s="70">
        <f aca="true" t="shared" si="14" ref="AO13:AO14">G13*0</f>
        <v>0</v>
      </c>
      <c r="AP13" s="70">
        <f aca="true" t="shared" si="15" ref="AP13:AP14">G13*(1-0)</f>
        <v>0</v>
      </c>
      <c r="AQ13" s="72" t="s">
        <v>96</v>
      </c>
      <c r="AV13" s="70">
        <f aca="true" t="shared" si="16" ref="AV13:AV14">AW13+AX13</f>
        <v>0</v>
      </c>
      <c r="AW13" s="70">
        <f aca="true" t="shared" si="17" ref="AW13:AW14">F13*AO13</f>
        <v>0</v>
      </c>
      <c r="AX13" s="70">
        <f aca="true" t="shared" si="18" ref="AX13:AX14">F13*AP13</f>
        <v>0</v>
      </c>
      <c r="AY13" s="72" t="s">
        <v>100</v>
      </c>
      <c r="AZ13" s="72" t="s">
        <v>100</v>
      </c>
      <c r="BA13" s="55" t="s">
        <v>101</v>
      </c>
      <c r="BC13" s="70">
        <f aca="true" t="shared" si="19" ref="BC13:BC14">AW13+AX13</f>
        <v>0</v>
      </c>
      <c r="BD13" s="70">
        <f aca="true" t="shared" si="20" ref="BD13:BD14">G13/(100-BE13)*100</f>
        <v>0</v>
      </c>
      <c r="BE13" s="70">
        <v>0</v>
      </c>
      <c r="BF13" s="70">
        <f>13</f>
        <v>13</v>
      </c>
      <c r="BH13" s="70">
        <f aca="true" t="shared" si="21" ref="BH13:BH14">F13*AO13</f>
        <v>0</v>
      </c>
      <c r="BI13" s="70">
        <f aca="true" t="shared" si="22" ref="BI13:BI14">F13*AP13</f>
        <v>0</v>
      </c>
      <c r="BJ13" s="70">
        <f aca="true" t="shared" si="23" ref="BJ13:BJ14">F13*G13</f>
        <v>0</v>
      </c>
      <c r="BK13" s="70"/>
      <c r="BL13" s="70">
        <v>0</v>
      </c>
      <c r="BW13" s="70">
        <v>21</v>
      </c>
    </row>
    <row r="14" spans="1:75" ht="13.5" customHeight="1">
      <c r="A14" s="69" t="s">
        <v>102</v>
      </c>
      <c r="B14" s="10" t="s">
        <v>103</v>
      </c>
      <c r="C14" s="8" t="s">
        <v>104</v>
      </c>
      <c r="D14" s="8"/>
      <c r="E14" s="10" t="s">
        <v>99</v>
      </c>
      <c r="F14" s="70">
        <v>1</v>
      </c>
      <c r="G14" s="70">
        <v>0</v>
      </c>
      <c r="H14" s="70">
        <f t="shared" si="0"/>
        <v>0</v>
      </c>
      <c r="I14" s="70">
        <f t="shared" si="1"/>
        <v>0</v>
      </c>
      <c r="J14" s="70">
        <f t="shared" si="2"/>
        <v>0</v>
      </c>
      <c r="K14" s="71"/>
      <c r="Z14" s="70">
        <f t="shared" si="3"/>
        <v>0</v>
      </c>
      <c r="AB14" s="70">
        <f t="shared" si="4"/>
        <v>0</v>
      </c>
      <c r="AC14" s="70">
        <f t="shared" si="5"/>
        <v>0</v>
      </c>
      <c r="AD14" s="70">
        <f t="shared" si="6"/>
        <v>0</v>
      </c>
      <c r="AE14" s="70">
        <f t="shared" si="7"/>
        <v>0</v>
      </c>
      <c r="AF14" s="70">
        <f t="shared" si="8"/>
        <v>0</v>
      </c>
      <c r="AG14" s="70">
        <f t="shared" si="9"/>
        <v>0</v>
      </c>
      <c r="AH14" s="70">
        <f t="shared" si="10"/>
        <v>0</v>
      </c>
      <c r="AI14" s="55"/>
      <c r="AJ14" s="70">
        <f t="shared" si="11"/>
        <v>0</v>
      </c>
      <c r="AK14" s="70">
        <f t="shared" si="12"/>
        <v>0</v>
      </c>
      <c r="AL14" s="70">
        <f t="shared" si="13"/>
        <v>0</v>
      </c>
      <c r="AN14" s="70">
        <v>21</v>
      </c>
      <c r="AO14" s="70">
        <f t="shared" si="14"/>
        <v>0</v>
      </c>
      <c r="AP14" s="70">
        <f t="shared" si="15"/>
        <v>0</v>
      </c>
      <c r="AQ14" s="72" t="s">
        <v>96</v>
      </c>
      <c r="AV14" s="70">
        <f t="shared" si="16"/>
        <v>0</v>
      </c>
      <c r="AW14" s="70">
        <f t="shared" si="17"/>
        <v>0</v>
      </c>
      <c r="AX14" s="70">
        <f t="shared" si="18"/>
        <v>0</v>
      </c>
      <c r="AY14" s="72" t="s">
        <v>100</v>
      </c>
      <c r="AZ14" s="72" t="s">
        <v>100</v>
      </c>
      <c r="BA14" s="55" t="s">
        <v>101</v>
      </c>
      <c r="BC14" s="70">
        <f t="shared" si="19"/>
        <v>0</v>
      </c>
      <c r="BD14" s="70">
        <f t="shared" si="20"/>
        <v>0</v>
      </c>
      <c r="BE14" s="70">
        <v>0</v>
      </c>
      <c r="BF14" s="70">
        <f>14</f>
        <v>14</v>
      </c>
      <c r="BH14" s="70">
        <f t="shared" si="21"/>
        <v>0</v>
      </c>
      <c r="BI14" s="70">
        <f t="shared" si="22"/>
        <v>0</v>
      </c>
      <c r="BJ14" s="70">
        <f t="shared" si="23"/>
        <v>0</v>
      </c>
      <c r="BK14" s="70"/>
      <c r="BL14" s="70">
        <v>0</v>
      </c>
      <c r="BW14" s="70">
        <v>21</v>
      </c>
    </row>
    <row r="15" spans="1:47" ht="15" customHeight="1">
      <c r="A15" s="64"/>
      <c r="B15" s="65" t="s">
        <v>105</v>
      </c>
      <c r="C15" s="66" t="s">
        <v>106</v>
      </c>
      <c r="D15" s="66"/>
      <c r="E15" s="67" t="s">
        <v>59</v>
      </c>
      <c r="F15" s="67" t="s">
        <v>59</v>
      </c>
      <c r="G15" s="67" t="s">
        <v>59</v>
      </c>
      <c r="H15" s="47">
        <f>SUM(H16:H18)</f>
        <v>0</v>
      </c>
      <c r="I15" s="47">
        <f>SUM(I16:I18)</f>
        <v>0</v>
      </c>
      <c r="J15" s="47">
        <f>SUM(J16:J18)</f>
        <v>0</v>
      </c>
      <c r="K15" s="68"/>
      <c r="AI15" s="55"/>
      <c r="AS15" s="47">
        <f>SUM(AJ16:AJ18)</f>
        <v>0</v>
      </c>
      <c r="AT15" s="47">
        <f>SUM(AK16:AK18)</f>
        <v>0</v>
      </c>
      <c r="AU15" s="47">
        <f>SUM(AL16:AL18)</f>
        <v>0</v>
      </c>
    </row>
    <row r="16" spans="1:75" ht="13.5" customHeight="1">
      <c r="A16" s="69" t="s">
        <v>107</v>
      </c>
      <c r="B16" s="10" t="s">
        <v>108</v>
      </c>
      <c r="C16" s="8" t="s">
        <v>109</v>
      </c>
      <c r="D16" s="8"/>
      <c r="E16" s="10" t="s">
        <v>110</v>
      </c>
      <c r="F16" s="70">
        <v>15</v>
      </c>
      <c r="G16" s="70">
        <v>0</v>
      </c>
      <c r="H16" s="70">
        <f aca="true" t="shared" si="24" ref="H16:H18">F16*AO16</f>
        <v>0</v>
      </c>
      <c r="I16" s="70">
        <f aca="true" t="shared" si="25" ref="I16:I18">F16*AP16</f>
        <v>0</v>
      </c>
      <c r="J16" s="70">
        <f aca="true" t="shared" si="26" ref="J16:J18">F16*G16</f>
        <v>0</v>
      </c>
      <c r="K16" s="71" t="s">
        <v>111</v>
      </c>
      <c r="Z16" s="70">
        <f aca="true" t="shared" si="27" ref="Z16:Z18">IF(AQ16="5",BJ16,0)</f>
        <v>0</v>
      </c>
      <c r="AB16" s="70">
        <f aca="true" t="shared" si="28" ref="AB16:AB18">IF(AQ16="1",BH16,0)</f>
        <v>0</v>
      </c>
      <c r="AC16" s="70">
        <f aca="true" t="shared" si="29" ref="AC16:AC18">IF(AQ16="1",BI16,0)</f>
        <v>0</v>
      </c>
      <c r="AD16" s="70">
        <f aca="true" t="shared" si="30" ref="AD16:AD18">IF(AQ16="7",BH16,0)</f>
        <v>0</v>
      </c>
      <c r="AE16" s="70">
        <f aca="true" t="shared" si="31" ref="AE16:AE18">IF(AQ16="7",BI16,0)</f>
        <v>0</v>
      </c>
      <c r="AF16" s="70">
        <f aca="true" t="shared" si="32" ref="AF16:AF18">IF(AQ16="2",BH16,0)</f>
        <v>0</v>
      </c>
      <c r="AG16" s="70">
        <f aca="true" t="shared" si="33" ref="AG16:AG18">IF(AQ16="2",BI16,0)</f>
        <v>0</v>
      </c>
      <c r="AH16" s="70">
        <f aca="true" t="shared" si="34" ref="AH16:AH18">IF(AQ16="0",BJ16,0)</f>
        <v>0</v>
      </c>
      <c r="AI16" s="55"/>
      <c r="AJ16" s="70">
        <f aca="true" t="shared" si="35" ref="AJ16:AJ18">IF(AN16=0,J16,0)</f>
        <v>0</v>
      </c>
      <c r="AK16" s="70">
        <f aca="true" t="shared" si="36" ref="AK16:AK18">IF(AN16=12,J16,0)</f>
        <v>0</v>
      </c>
      <c r="AL16" s="70">
        <f aca="true" t="shared" si="37" ref="AL16:AL18">IF(AN16=21,J16,0)</f>
        <v>0</v>
      </c>
      <c r="AN16" s="70">
        <v>21</v>
      </c>
      <c r="AO16" s="70">
        <f>G16*0.127055563312961</f>
        <v>0</v>
      </c>
      <c r="AP16" s="70">
        <f>G16*(1-0.127055563312961)</f>
        <v>0</v>
      </c>
      <c r="AQ16" s="72" t="s">
        <v>96</v>
      </c>
      <c r="AV16" s="70">
        <f aca="true" t="shared" si="38" ref="AV16:AV18">AW16+AX16</f>
        <v>0</v>
      </c>
      <c r="AW16" s="70">
        <f aca="true" t="shared" si="39" ref="AW16:AW18">F16*AO16</f>
        <v>0</v>
      </c>
      <c r="AX16" s="70">
        <f aca="true" t="shared" si="40" ref="AX16:AX18">F16*AP16</f>
        <v>0</v>
      </c>
      <c r="AY16" s="72" t="s">
        <v>112</v>
      </c>
      <c r="AZ16" s="72" t="s">
        <v>113</v>
      </c>
      <c r="BA16" s="55" t="s">
        <v>101</v>
      </c>
      <c r="BC16" s="70">
        <f aca="true" t="shared" si="41" ref="BC16:BC18">AW16+AX16</f>
        <v>0</v>
      </c>
      <c r="BD16" s="70">
        <f aca="true" t="shared" si="42" ref="BD16:BD18">G16/(100-BE16)*100</f>
        <v>0</v>
      </c>
      <c r="BE16" s="70">
        <v>0</v>
      </c>
      <c r="BF16" s="70">
        <f>16</f>
        <v>16</v>
      </c>
      <c r="BH16" s="70">
        <f aca="true" t="shared" si="43" ref="BH16:BH18">F16*AO16</f>
        <v>0</v>
      </c>
      <c r="BI16" s="70">
        <f aca="true" t="shared" si="44" ref="BI16:BI18">F16*AP16</f>
        <v>0</v>
      </c>
      <c r="BJ16" s="70">
        <f aca="true" t="shared" si="45" ref="BJ16:BJ18">F16*G16</f>
        <v>0</v>
      </c>
      <c r="BK16" s="70"/>
      <c r="BL16" s="70">
        <v>61</v>
      </c>
      <c r="BW16" s="70">
        <v>21</v>
      </c>
    </row>
    <row r="17" spans="1:75" ht="13.5" customHeight="1">
      <c r="A17" s="69" t="s">
        <v>114</v>
      </c>
      <c r="B17" s="10" t="s">
        <v>115</v>
      </c>
      <c r="C17" s="8" t="s">
        <v>116</v>
      </c>
      <c r="D17" s="8"/>
      <c r="E17" s="10" t="s">
        <v>110</v>
      </c>
      <c r="F17" s="70">
        <v>20</v>
      </c>
      <c r="G17" s="70">
        <v>0</v>
      </c>
      <c r="H17" s="70">
        <f t="shared" si="24"/>
        <v>0</v>
      </c>
      <c r="I17" s="70">
        <f t="shared" si="25"/>
        <v>0</v>
      </c>
      <c r="J17" s="70">
        <f t="shared" si="26"/>
        <v>0</v>
      </c>
      <c r="K17" s="71" t="s">
        <v>111</v>
      </c>
      <c r="Z17" s="70">
        <f t="shared" si="27"/>
        <v>0</v>
      </c>
      <c r="AB17" s="70">
        <f t="shared" si="28"/>
        <v>0</v>
      </c>
      <c r="AC17" s="70">
        <f t="shared" si="29"/>
        <v>0</v>
      </c>
      <c r="AD17" s="70">
        <f t="shared" si="30"/>
        <v>0</v>
      </c>
      <c r="AE17" s="70">
        <f t="shared" si="31"/>
        <v>0</v>
      </c>
      <c r="AF17" s="70">
        <f t="shared" si="32"/>
        <v>0</v>
      </c>
      <c r="AG17" s="70">
        <f t="shared" si="33"/>
        <v>0</v>
      </c>
      <c r="AH17" s="70">
        <f t="shared" si="34"/>
        <v>0</v>
      </c>
      <c r="AI17" s="55"/>
      <c r="AJ17" s="70">
        <f t="shared" si="35"/>
        <v>0</v>
      </c>
      <c r="AK17" s="70">
        <f t="shared" si="36"/>
        <v>0</v>
      </c>
      <c r="AL17" s="70">
        <f t="shared" si="37"/>
        <v>0</v>
      </c>
      <c r="AN17" s="70">
        <v>21</v>
      </c>
      <c r="AO17" s="70">
        <f>G17*0.172208683027282</f>
        <v>0</v>
      </c>
      <c r="AP17" s="70">
        <f>G17*(1-0.172208683027282)</f>
        <v>0</v>
      </c>
      <c r="AQ17" s="72" t="s">
        <v>96</v>
      </c>
      <c r="AV17" s="70">
        <f t="shared" si="38"/>
        <v>0</v>
      </c>
      <c r="AW17" s="70">
        <f t="shared" si="39"/>
        <v>0</v>
      </c>
      <c r="AX17" s="70">
        <f t="shared" si="40"/>
        <v>0</v>
      </c>
      <c r="AY17" s="72" t="s">
        <v>112</v>
      </c>
      <c r="AZ17" s="72" t="s">
        <v>113</v>
      </c>
      <c r="BA17" s="55" t="s">
        <v>101</v>
      </c>
      <c r="BC17" s="70">
        <f t="shared" si="41"/>
        <v>0</v>
      </c>
      <c r="BD17" s="70">
        <f t="shared" si="42"/>
        <v>0</v>
      </c>
      <c r="BE17" s="70">
        <v>0</v>
      </c>
      <c r="BF17" s="70">
        <f>17</f>
        <v>17</v>
      </c>
      <c r="BH17" s="70">
        <f t="shared" si="43"/>
        <v>0</v>
      </c>
      <c r="BI17" s="70">
        <f t="shared" si="44"/>
        <v>0</v>
      </c>
      <c r="BJ17" s="70">
        <f t="shared" si="45"/>
        <v>0</v>
      </c>
      <c r="BK17" s="70"/>
      <c r="BL17" s="70">
        <v>61</v>
      </c>
      <c r="BW17" s="70">
        <v>21</v>
      </c>
    </row>
    <row r="18" spans="1:75" ht="13.5" customHeight="1">
      <c r="A18" s="69" t="s">
        <v>117</v>
      </c>
      <c r="B18" s="10" t="s">
        <v>118</v>
      </c>
      <c r="C18" s="8" t="s">
        <v>119</v>
      </c>
      <c r="D18" s="8"/>
      <c r="E18" s="10" t="s">
        <v>110</v>
      </c>
      <c r="F18" s="70">
        <v>25</v>
      </c>
      <c r="G18" s="70">
        <v>0</v>
      </c>
      <c r="H18" s="70">
        <f t="shared" si="24"/>
        <v>0</v>
      </c>
      <c r="I18" s="70">
        <f t="shared" si="25"/>
        <v>0</v>
      </c>
      <c r="J18" s="70">
        <f t="shared" si="26"/>
        <v>0</v>
      </c>
      <c r="K18" s="71" t="s">
        <v>111</v>
      </c>
      <c r="Z18" s="70">
        <f t="shared" si="27"/>
        <v>0</v>
      </c>
      <c r="AB18" s="70">
        <f t="shared" si="28"/>
        <v>0</v>
      </c>
      <c r="AC18" s="70">
        <f t="shared" si="29"/>
        <v>0</v>
      </c>
      <c r="AD18" s="70">
        <f t="shared" si="30"/>
        <v>0</v>
      </c>
      <c r="AE18" s="70">
        <f t="shared" si="31"/>
        <v>0</v>
      </c>
      <c r="AF18" s="70">
        <f t="shared" si="32"/>
        <v>0</v>
      </c>
      <c r="AG18" s="70">
        <f t="shared" si="33"/>
        <v>0</v>
      </c>
      <c r="AH18" s="70">
        <f t="shared" si="34"/>
        <v>0</v>
      </c>
      <c r="AI18" s="55"/>
      <c r="AJ18" s="70">
        <f t="shared" si="35"/>
        <v>0</v>
      </c>
      <c r="AK18" s="70">
        <f t="shared" si="36"/>
        <v>0</v>
      </c>
      <c r="AL18" s="70">
        <f t="shared" si="37"/>
        <v>0</v>
      </c>
      <c r="AN18" s="70">
        <v>21</v>
      </c>
      <c r="AO18" s="70">
        <f>G18*0.112788210125981</f>
        <v>0</v>
      </c>
      <c r="AP18" s="70">
        <f>G18*(1-0.112788210125981)</f>
        <v>0</v>
      </c>
      <c r="AQ18" s="72" t="s">
        <v>96</v>
      </c>
      <c r="AV18" s="70">
        <f t="shared" si="38"/>
        <v>0</v>
      </c>
      <c r="AW18" s="70">
        <f t="shared" si="39"/>
        <v>0</v>
      </c>
      <c r="AX18" s="70">
        <f t="shared" si="40"/>
        <v>0</v>
      </c>
      <c r="AY18" s="72" t="s">
        <v>112</v>
      </c>
      <c r="AZ18" s="72" t="s">
        <v>113</v>
      </c>
      <c r="BA18" s="55" t="s">
        <v>101</v>
      </c>
      <c r="BC18" s="70">
        <f t="shared" si="41"/>
        <v>0</v>
      </c>
      <c r="BD18" s="70">
        <f t="shared" si="42"/>
        <v>0</v>
      </c>
      <c r="BE18" s="70">
        <v>0</v>
      </c>
      <c r="BF18" s="70">
        <f>18</f>
        <v>18</v>
      </c>
      <c r="BH18" s="70">
        <f t="shared" si="43"/>
        <v>0</v>
      </c>
      <c r="BI18" s="70">
        <f t="shared" si="44"/>
        <v>0</v>
      </c>
      <c r="BJ18" s="70">
        <f t="shared" si="45"/>
        <v>0</v>
      </c>
      <c r="BK18" s="70"/>
      <c r="BL18" s="70">
        <v>61</v>
      </c>
      <c r="BW18" s="70">
        <v>21</v>
      </c>
    </row>
    <row r="19" spans="1:47" ht="15" customHeight="1">
      <c r="A19" s="64"/>
      <c r="B19" s="65" t="s">
        <v>120</v>
      </c>
      <c r="C19" s="66" t="s">
        <v>121</v>
      </c>
      <c r="D19" s="66"/>
      <c r="E19" s="67" t="s">
        <v>59</v>
      </c>
      <c r="F19" s="67" t="s">
        <v>59</v>
      </c>
      <c r="G19" s="67" t="s">
        <v>59</v>
      </c>
      <c r="H19" s="47">
        <f>SUM(H20:H21)</f>
        <v>0</v>
      </c>
      <c r="I19" s="47">
        <f>SUM(I20:I21)</f>
        <v>0</v>
      </c>
      <c r="J19" s="47">
        <f>SUM(J20:J21)</f>
        <v>0</v>
      </c>
      <c r="K19" s="68"/>
      <c r="AI19" s="55"/>
      <c r="AS19" s="47">
        <f>SUM(AJ20:AJ21)</f>
        <v>0</v>
      </c>
      <c r="AT19" s="47">
        <f>SUM(AK20:AK21)</f>
        <v>0</v>
      </c>
      <c r="AU19" s="47">
        <f>SUM(AL20:AL21)</f>
        <v>0</v>
      </c>
    </row>
    <row r="20" spans="1:75" ht="13.5" customHeight="1">
      <c r="A20" s="69" t="s">
        <v>122</v>
      </c>
      <c r="B20" s="10" t="s">
        <v>123</v>
      </c>
      <c r="C20" s="8" t="s">
        <v>124</v>
      </c>
      <c r="D20" s="8"/>
      <c r="E20" s="10" t="s">
        <v>110</v>
      </c>
      <c r="F20" s="70">
        <v>900</v>
      </c>
      <c r="G20" s="70">
        <v>0</v>
      </c>
      <c r="H20" s="70">
        <f aca="true" t="shared" si="46" ref="H20:H21">F20*AO20</f>
        <v>0</v>
      </c>
      <c r="I20" s="70">
        <f aca="true" t="shared" si="47" ref="I20:I21">F20*AP20</f>
        <v>0</v>
      </c>
      <c r="J20" s="70">
        <f aca="true" t="shared" si="48" ref="J20:J21">F20*G20</f>
        <v>0</v>
      </c>
      <c r="K20" s="71" t="s">
        <v>111</v>
      </c>
      <c r="Z20" s="70">
        <f aca="true" t="shared" si="49" ref="Z20:Z21">IF(AQ20="5",BJ20,0)</f>
        <v>0</v>
      </c>
      <c r="AB20" s="70">
        <f aca="true" t="shared" si="50" ref="AB20:AB21">IF(AQ20="1",BH20,0)</f>
        <v>0</v>
      </c>
      <c r="AC20" s="70">
        <f aca="true" t="shared" si="51" ref="AC20:AC21">IF(AQ20="1",BI20,0)</f>
        <v>0</v>
      </c>
      <c r="AD20" s="70">
        <f aca="true" t="shared" si="52" ref="AD20:AD21">IF(AQ20="7",BH20,0)</f>
        <v>0</v>
      </c>
      <c r="AE20" s="70">
        <f aca="true" t="shared" si="53" ref="AE20:AE21">IF(AQ20="7",BI20,0)</f>
        <v>0</v>
      </c>
      <c r="AF20" s="70">
        <f aca="true" t="shared" si="54" ref="AF20:AF21">IF(AQ20="2",BH20,0)</f>
        <v>0</v>
      </c>
      <c r="AG20" s="70">
        <f aca="true" t="shared" si="55" ref="AG20:AG21">IF(AQ20="2",BI20,0)</f>
        <v>0</v>
      </c>
      <c r="AH20" s="70">
        <f aca="true" t="shared" si="56" ref="AH20:AH21">IF(AQ20="0",BJ20,0)</f>
        <v>0</v>
      </c>
      <c r="AI20" s="55"/>
      <c r="AJ20" s="70">
        <f aca="true" t="shared" si="57" ref="AJ20:AJ21">IF(AN20=0,J20,0)</f>
        <v>0</v>
      </c>
      <c r="AK20" s="70">
        <f aca="true" t="shared" si="58" ref="AK20:AK21">IF(AN20=12,J20,0)</f>
        <v>0</v>
      </c>
      <c r="AL20" s="70">
        <f aca="true" t="shared" si="59" ref="AL20:AL21">IF(AN20=21,J20,0)</f>
        <v>0</v>
      </c>
      <c r="AN20" s="70">
        <v>21</v>
      </c>
      <c r="AO20" s="70">
        <f aca="true" t="shared" si="60" ref="AO20:AO21">G20*0.25331599479844</f>
        <v>0</v>
      </c>
      <c r="AP20" s="70">
        <f aca="true" t="shared" si="61" ref="AP20:AP21">G20*(1-0.25331599479844)</f>
        <v>0</v>
      </c>
      <c r="AQ20" s="72" t="s">
        <v>125</v>
      </c>
      <c r="AV20" s="70">
        <f aca="true" t="shared" si="62" ref="AV20:AV21">AW20+AX20</f>
        <v>0</v>
      </c>
      <c r="AW20" s="70">
        <f aca="true" t="shared" si="63" ref="AW20:AW21">F20*AO20</f>
        <v>0</v>
      </c>
      <c r="AX20" s="70">
        <f aca="true" t="shared" si="64" ref="AX20:AX21">F20*AP20</f>
        <v>0</v>
      </c>
      <c r="AY20" s="72" t="s">
        <v>126</v>
      </c>
      <c r="AZ20" s="72" t="s">
        <v>127</v>
      </c>
      <c r="BA20" s="55" t="s">
        <v>101</v>
      </c>
      <c r="BC20" s="70">
        <f aca="true" t="shared" si="65" ref="BC20:BC21">AW20+AX20</f>
        <v>0</v>
      </c>
      <c r="BD20" s="70">
        <f aca="true" t="shared" si="66" ref="BD20:BD21">G20/(100-BE20)*100</f>
        <v>0</v>
      </c>
      <c r="BE20" s="70">
        <v>0</v>
      </c>
      <c r="BF20" s="70">
        <f>20</f>
        <v>20</v>
      </c>
      <c r="BH20" s="70">
        <f aca="true" t="shared" si="67" ref="BH20:BH21">F20*AO20</f>
        <v>0</v>
      </c>
      <c r="BI20" s="70">
        <f aca="true" t="shared" si="68" ref="BI20:BI21">F20*AP20</f>
        <v>0</v>
      </c>
      <c r="BJ20" s="70">
        <f aca="true" t="shared" si="69" ref="BJ20:BJ21">F20*G20</f>
        <v>0</v>
      </c>
      <c r="BK20" s="70"/>
      <c r="BL20" s="70">
        <v>784</v>
      </c>
      <c r="BW20" s="70">
        <v>21</v>
      </c>
    </row>
    <row r="21" spans="1:75" ht="13.5" customHeight="1">
      <c r="A21" s="69" t="s">
        <v>125</v>
      </c>
      <c r="B21" s="10" t="s">
        <v>123</v>
      </c>
      <c r="C21" s="8" t="s">
        <v>124</v>
      </c>
      <c r="D21" s="8"/>
      <c r="E21" s="10" t="s">
        <v>110</v>
      </c>
      <c r="F21" s="70">
        <v>270</v>
      </c>
      <c r="G21" s="70">
        <v>0</v>
      </c>
      <c r="H21" s="70">
        <f t="shared" si="46"/>
        <v>0</v>
      </c>
      <c r="I21" s="70">
        <f t="shared" si="47"/>
        <v>0</v>
      </c>
      <c r="J21" s="70">
        <f t="shared" si="48"/>
        <v>0</v>
      </c>
      <c r="K21" s="71" t="s">
        <v>111</v>
      </c>
      <c r="Z21" s="70">
        <f t="shared" si="49"/>
        <v>0</v>
      </c>
      <c r="AB21" s="70">
        <f t="shared" si="50"/>
        <v>0</v>
      </c>
      <c r="AC21" s="70">
        <f t="shared" si="51"/>
        <v>0</v>
      </c>
      <c r="AD21" s="70">
        <f t="shared" si="52"/>
        <v>0</v>
      </c>
      <c r="AE21" s="70">
        <f t="shared" si="53"/>
        <v>0</v>
      </c>
      <c r="AF21" s="70">
        <f t="shared" si="54"/>
        <v>0</v>
      </c>
      <c r="AG21" s="70">
        <f t="shared" si="55"/>
        <v>0</v>
      </c>
      <c r="AH21" s="70">
        <f t="shared" si="56"/>
        <v>0</v>
      </c>
      <c r="AI21" s="55"/>
      <c r="AJ21" s="70">
        <f t="shared" si="57"/>
        <v>0</v>
      </c>
      <c r="AK21" s="70">
        <f t="shared" si="58"/>
        <v>0</v>
      </c>
      <c r="AL21" s="70">
        <f t="shared" si="59"/>
        <v>0</v>
      </c>
      <c r="AN21" s="70">
        <v>21</v>
      </c>
      <c r="AO21" s="70">
        <f t="shared" si="60"/>
        <v>0</v>
      </c>
      <c r="AP21" s="70">
        <f t="shared" si="61"/>
        <v>0</v>
      </c>
      <c r="AQ21" s="72" t="s">
        <v>125</v>
      </c>
      <c r="AV21" s="70">
        <f t="shared" si="62"/>
        <v>0</v>
      </c>
      <c r="AW21" s="70">
        <f t="shared" si="63"/>
        <v>0</v>
      </c>
      <c r="AX21" s="70">
        <f t="shared" si="64"/>
        <v>0</v>
      </c>
      <c r="AY21" s="72" t="s">
        <v>126</v>
      </c>
      <c r="AZ21" s="72" t="s">
        <v>127</v>
      </c>
      <c r="BA21" s="55" t="s">
        <v>101</v>
      </c>
      <c r="BC21" s="70">
        <f t="shared" si="65"/>
        <v>0</v>
      </c>
      <c r="BD21" s="70">
        <f t="shared" si="66"/>
        <v>0</v>
      </c>
      <c r="BE21" s="70">
        <v>0</v>
      </c>
      <c r="BF21" s="70">
        <f>21</f>
        <v>21</v>
      </c>
      <c r="BH21" s="70">
        <f t="shared" si="67"/>
        <v>0</v>
      </c>
      <c r="BI21" s="70">
        <f t="shared" si="68"/>
        <v>0</v>
      </c>
      <c r="BJ21" s="70">
        <f t="shared" si="69"/>
        <v>0</v>
      </c>
      <c r="BK21" s="70"/>
      <c r="BL21" s="70">
        <v>784</v>
      </c>
      <c r="BW21" s="70">
        <v>21</v>
      </c>
    </row>
    <row r="22" spans="1:47" ht="15" customHeight="1">
      <c r="A22" s="64"/>
      <c r="B22" s="65" t="s">
        <v>128</v>
      </c>
      <c r="C22" s="66" t="s">
        <v>129</v>
      </c>
      <c r="D22" s="66"/>
      <c r="E22" s="67" t="s">
        <v>59</v>
      </c>
      <c r="F22" s="67" t="s">
        <v>59</v>
      </c>
      <c r="G22" s="67" t="s">
        <v>59</v>
      </c>
      <c r="H22" s="47">
        <f>SUM(H23:H26)</f>
        <v>0</v>
      </c>
      <c r="I22" s="47">
        <f>SUM(I23:I26)</f>
        <v>0</v>
      </c>
      <c r="J22" s="47">
        <f>SUM(J23:J26)</f>
        <v>0</v>
      </c>
      <c r="K22" s="68"/>
      <c r="AI22" s="55"/>
      <c r="AS22" s="47">
        <f>SUM(AJ23:AJ26)</f>
        <v>0</v>
      </c>
      <c r="AT22" s="47">
        <f>SUM(AK23:AK26)</f>
        <v>0</v>
      </c>
      <c r="AU22" s="47">
        <f>SUM(AL23:AL26)</f>
        <v>0</v>
      </c>
    </row>
    <row r="23" spans="1:75" ht="13.5" customHeight="1">
      <c r="A23" s="69" t="s">
        <v>130</v>
      </c>
      <c r="B23" s="10" t="s">
        <v>131</v>
      </c>
      <c r="C23" s="8" t="s">
        <v>132</v>
      </c>
      <c r="D23" s="8"/>
      <c r="E23" s="10" t="s">
        <v>133</v>
      </c>
      <c r="F23" s="70">
        <v>250</v>
      </c>
      <c r="G23" s="70">
        <v>0</v>
      </c>
      <c r="H23" s="70">
        <f aca="true" t="shared" si="70" ref="H23:H26">F23*AO23</f>
        <v>0</v>
      </c>
      <c r="I23" s="70">
        <f aca="true" t="shared" si="71" ref="I23:I26">F23*AP23</f>
        <v>0</v>
      </c>
      <c r="J23" s="70">
        <f aca="true" t="shared" si="72" ref="J23:J26">F23*G23</f>
        <v>0</v>
      </c>
      <c r="K23" s="71" t="s">
        <v>111</v>
      </c>
      <c r="Z23" s="70">
        <f aca="true" t="shared" si="73" ref="Z23:Z26">IF(AQ23="5",BJ23,0)</f>
        <v>0</v>
      </c>
      <c r="AB23" s="70">
        <f aca="true" t="shared" si="74" ref="AB23:AB26">IF(AQ23="1",BH23,0)</f>
        <v>0</v>
      </c>
      <c r="AC23" s="70">
        <f aca="true" t="shared" si="75" ref="AC23:AC26">IF(AQ23="1",BI23,0)</f>
        <v>0</v>
      </c>
      <c r="AD23" s="70">
        <f aca="true" t="shared" si="76" ref="AD23:AD26">IF(AQ23="7",BH23,0)</f>
        <v>0</v>
      </c>
      <c r="AE23" s="70">
        <f aca="true" t="shared" si="77" ref="AE23:AE26">IF(AQ23="7",BI23,0)</f>
        <v>0</v>
      </c>
      <c r="AF23" s="70">
        <f aca="true" t="shared" si="78" ref="AF23:AF26">IF(AQ23="2",BH23,0)</f>
        <v>0</v>
      </c>
      <c r="AG23" s="70">
        <f aca="true" t="shared" si="79" ref="AG23:AG26">IF(AQ23="2",BI23,0)</f>
        <v>0</v>
      </c>
      <c r="AH23" s="70">
        <f aca="true" t="shared" si="80" ref="AH23:AH26">IF(AQ23="0",BJ23,0)</f>
        <v>0</v>
      </c>
      <c r="AI23" s="55"/>
      <c r="AJ23" s="70">
        <f aca="true" t="shared" si="81" ref="AJ23:AJ26">IF(AN23=0,J23,0)</f>
        <v>0</v>
      </c>
      <c r="AK23" s="70">
        <f aca="true" t="shared" si="82" ref="AK23:AK26">IF(AN23=12,J23,0)</f>
        <v>0</v>
      </c>
      <c r="AL23" s="70">
        <f aca="true" t="shared" si="83" ref="AL23:AL26">IF(AN23=21,J23,0)</f>
        <v>0</v>
      </c>
      <c r="AN23" s="70">
        <v>21</v>
      </c>
      <c r="AO23" s="70">
        <f>G23*0.0775675675675676</f>
        <v>0</v>
      </c>
      <c r="AP23" s="70">
        <f>G23*(1-0.0775675675675676)</f>
        <v>0</v>
      </c>
      <c r="AQ23" s="72" t="s">
        <v>96</v>
      </c>
      <c r="AV23" s="70">
        <f aca="true" t="shared" si="84" ref="AV23:AV26">AW23+AX23</f>
        <v>0</v>
      </c>
      <c r="AW23" s="70">
        <f aca="true" t="shared" si="85" ref="AW23:AW26">F23*AO23</f>
        <v>0</v>
      </c>
      <c r="AX23" s="70">
        <f aca="true" t="shared" si="86" ref="AX23:AX26">F23*AP23</f>
        <v>0</v>
      </c>
      <c r="AY23" s="72" t="s">
        <v>134</v>
      </c>
      <c r="AZ23" s="72" t="s">
        <v>135</v>
      </c>
      <c r="BA23" s="55" t="s">
        <v>101</v>
      </c>
      <c r="BC23" s="70">
        <f aca="true" t="shared" si="87" ref="BC23:BC26">AW23+AX23</f>
        <v>0</v>
      </c>
      <c r="BD23" s="70">
        <f aca="true" t="shared" si="88" ref="BD23:BD26">G23/(100-BE23)*100</f>
        <v>0</v>
      </c>
      <c r="BE23" s="70">
        <v>0</v>
      </c>
      <c r="BF23" s="70">
        <f>23</f>
        <v>23</v>
      </c>
      <c r="BH23" s="70">
        <f aca="true" t="shared" si="89" ref="BH23:BH26">F23*AO23</f>
        <v>0</v>
      </c>
      <c r="BI23" s="70">
        <f aca="true" t="shared" si="90" ref="BI23:BI26">F23*AP23</f>
        <v>0</v>
      </c>
      <c r="BJ23" s="70">
        <f aca="true" t="shared" si="91" ref="BJ23:BJ26">F23*G23</f>
        <v>0</v>
      </c>
      <c r="BK23" s="70"/>
      <c r="BL23" s="70">
        <v>97</v>
      </c>
      <c r="BW23" s="70">
        <v>21</v>
      </c>
    </row>
    <row r="24" spans="1:75" ht="13.5" customHeight="1">
      <c r="A24" s="69" t="s">
        <v>136</v>
      </c>
      <c r="B24" s="10" t="s">
        <v>137</v>
      </c>
      <c r="C24" s="8" t="s">
        <v>138</v>
      </c>
      <c r="D24" s="8"/>
      <c r="E24" s="10" t="s">
        <v>133</v>
      </c>
      <c r="F24" s="70">
        <v>100</v>
      </c>
      <c r="G24" s="70">
        <v>0</v>
      </c>
      <c r="H24" s="70">
        <f t="shared" si="70"/>
        <v>0</v>
      </c>
      <c r="I24" s="70">
        <f t="shared" si="71"/>
        <v>0</v>
      </c>
      <c r="J24" s="70">
        <f t="shared" si="72"/>
        <v>0</v>
      </c>
      <c r="K24" s="71" t="s">
        <v>111</v>
      </c>
      <c r="Z24" s="70">
        <f t="shared" si="73"/>
        <v>0</v>
      </c>
      <c r="AB24" s="70">
        <f t="shared" si="74"/>
        <v>0</v>
      </c>
      <c r="AC24" s="70">
        <f t="shared" si="75"/>
        <v>0</v>
      </c>
      <c r="AD24" s="70">
        <f t="shared" si="76"/>
        <v>0</v>
      </c>
      <c r="AE24" s="70">
        <f t="shared" si="77"/>
        <v>0</v>
      </c>
      <c r="AF24" s="70">
        <f t="shared" si="78"/>
        <v>0</v>
      </c>
      <c r="AG24" s="70">
        <f t="shared" si="79"/>
        <v>0</v>
      </c>
      <c r="AH24" s="70">
        <f t="shared" si="80"/>
        <v>0</v>
      </c>
      <c r="AI24" s="55"/>
      <c r="AJ24" s="70">
        <f t="shared" si="81"/>
        <v>0</v>
      </c>
      <c r="AK24" s="70">
        <f t="shared" si="82"/>
        <v>0</v>
      </c>
      <c r="AL24" s="70">
        <f t="shared" si="83"/>
        <v>0</v>
      </c>
      <c r="AN24" s="70">
        <v>21</v>
      </c>
      <c r="AO24" s="70">
        <f>G24*0.0515260323159785</f>
        <v>0</v>
      </c>
      <c r="AP24" s="70">
        <f>G24*(1-0.0515260323159785)</f>
        <v>0</v>
      </c>
      <c r="AQ24" s="72" t="s">
        <v>96</v>
      </c>
      <c r="AV24" s="70">
        <f t="shared" si="84"/>
        <v>0</v>
      </c>
      <c r="AW24" s="70">
        <f t="shared" si="85"/>
        <v>0</v>
      </c>
      <c r="AX24" s="70">
        <f t="shared" si="86"/>
        <v>0</v>
      </c>
      <c r="AY24" s="72" t="s">
        <v>134</v>
      </c>
      <c r="AZ24" s="72" t="s">
        <v>135</v>
      </c>
      <c r="BA24" s="55" t="s">
        <v>101</v>
      </c>
      <c r="BC24" s="70">
        <f t="shared" si="87"/>
        <v>0</v>
      </c>
      <c r="BD24" s="70">
        <f t="shared" si="88"/>
        <v>0</v>
      </c>
      <c r="BE24" s="70">
        <v>0</v>
      </c>
      <c r="BF24" s="70">
        <f>24</f>
        <v>24</v>
      </c>
      <c r="BH24" s="70">
        <f t="shared" si="89"/>
        <v>0</v>
      </c>
      <c r="BI24" s="70">
        <f t="shared" si="90"/>
        <v>0</v>
      </c>
      <c r="BJ24" s="70">
        <f t="shared" si="91"/>
        <v>0</v>
      </c>
      <c r="BK24" s="70"/>
      <c r="BL24" s="70">
        <v>97</v>
      </c>
      <c r="BW24" s="70">
        <v>21</v>
      </c>
    </row>
    <row r="25" spans="1:75" ht="13.5" customHeight="1">
      <c r="A25" s="69" t="s">
        <v>139</v>
      </c>
      <c r="B25" s="10" t="s">
        <v>140</v>
      </c>
      <c r="C25" s="8" t="s">
        <v>141</v>
      </c>
      <c r="D25" s="8"/>
      <c r="E25" s="10" t="s">
        <v>142</v>
      </c>
      <c r="F25" s="70">
        <v>45</v>
      </c>
      <c r="G25" s="70">
        <v>0</v>
      </c>
      <c r="H25" s="70">
        <f t="shared" si="70"/>
        <v>0</v>
      </c>
      <c r="I25" s="70">
        <f t="shared" si="71"/>
        <v>0</v>
      </c>
      <c r="J25" s="70">
        <f t="shared" si="72"/>
        <v>0</v>
      </c>
      <c r="K25" s="71" t="s">
        <v>111</v>
      </c>
      <c r="Z25" s="70">
        <f t="shared" si="73"/>
        <v>0</v>
      </c>
      <c r="AB25" s="70">
        <f t="shared" si="74"/>
        <v>0</v>
      </c>
      <c r="AC25" s="70">
        <f t="shared" si="75"/>
        <v>0</v>
      </c>
      <c r="AD25" s="70">
        <f t="shared" si="76"/>
        <v>0</v>
      </c>
      <c r="AE25" s="70">
        <f t="shared" si="77"/>
        <v>0</v>
      </c>
      <c r="AF25" s="70">
        <f t="shared" si="78"/>
        <v>0</v>
      </c>
      <c r="AG25" s="70">
        <f t="shared" si="79"/>
        <v>0</v>
      </c>
      <c r="AH25" s="70">
        <f t="shared" si="80"/>
        <v>0</v>
      </c>
      <c r="AI25" s="55"/>
      <c r="AJ25" s="70">
        <f t="shared" si="81"/>
        <v>0</v>
      </c>
      <c r="AK25" s="70">
        <f t="shared" si="82"/>
        <v>0</v>
      </c>
      <c r="AL25" s="70">
        <f t="shared" si="83"/>
        <v>0</v>
      </c>
      <c r="AN25" s="70">
        <v>21</v>
      </c>
      <c r="AO25" s="70">
        <f aca="true" t="shared" si="92" ref="AO25:AO26">G25*0</f>
        <v>0</v>
      </c>
      <c r="AP25" s="70">
        <f aca="true" t="shared" si="93" ref="AP25:AP26">G25*(1-0)</f>
        <v>0</v>
      </c>
      <c r="AQ25" s="72" t="s">
        <v>96</v>
      </c>
      <c r="AV25" s="70">
        <f t="shared" si="84"/>
        <v>0</v>
      </c>
      <c r="AW25" s="70">
        <f t="shared" si="85"/>
        <v>0</v>
      </c>
      <c r="AX25" s="70">
        <f t="shared" si="86"/>
        <v>0</v>
      </c>
      <c r="AY25" s="72" t="s">
        <v>134</v>
      </c>
      <c r="AZ25" s="72" t="s">
        <v>135</v>
      </c>
      <c r="BA25" s="55" t="s">
        <v>101</v>
      </c>
      <c r="BC25" s="70">
        <f t="shared" si="87"/>
        <v>0</v>
      </c>
      <c r="BD25" s="70">
        <f t="shared" si="88"/>
        <v>0</v>
      </c>
      <c r="BE25" s="70">
        <v>0</v>
      </c>
      <c r="BF25" s="70">
        <f>25</f>
        <v>25</v>
      </c>
      <c r="BH25" s="70">
        <f t="shared" si="89"/>
        <v>0</v>
      </c>
      <c r="BI25" s="70">
        <f t="shared" si="90"/>
        <v>0</v>
      </c>
      <c r="BJ25" s="70">
        <f t="shared" si="91"/>
        <v>0</v>
      </c>
      <c r="BK25" s="70"/>
      <c r="BL25" s="70">
        <v>97</v>
      </c>
      <c r="BW25" s="70">
        <v>21</v>
      </c>
    </row>
    <row r="26" spans="1:75" ht="13.5" customHeight="1">
      <c r="A26" s="69" t="s">
        <v>143</v>
      </c>
      <c r="B26" s="10" t="s">
        <v>144</v>
      </c>
      <c r="C26" s="8" t="s">
        <v>145</v>
      </c>
      <c r="D26" s="8"/>
      <c r="E26" s="10" t="s">
        <v>142</v>
      </c>
      <c r="F26" s="70">
        <v>120</v>
      </c>
      <c r="G26" s="70">
        <v>0</v>
      </c>
      <c r="H26" s="70">
        <f t="shared" si="70"/>
        <v>0</v>
      </c>
      <c r="I26" s="70">
        <f t="shared" si="71"/>
        <v>0</v>
      </c>
      <c r="J26" s="70">
        <f t="shared" si="72"/>
        <v>0</v>
      </c>
      <c r="K26" s="71" t="s">
        <v>111</v>
      </c>
      <c r="Z26" s="70">
        <f t="shared" si="73"/>
        <v>0</v>
      </c>
      <c r="AB26" s="70">
        <f t="shared" si="74"/>
        <v>0</v>
      </c>
      <c r="AC26" s="70">
        <f t="shared" si="75"/>
        <v>0</v>
      </c>
      <c r="AD26" s="70">
        <f t="shared" si="76"/>
        <v>0</v>
      </c>
      <c r="AE26" s="70">
        <f t="shared" si="77"/>
        <v>0</v>
      </c>
      <c r="AF26" s="70">
        <f t="shared" si="78"/>
        <v>0</v>
      </c>
      <c r="AG26" s="70">
        <f t="shared" si="79"/>
        <v>0</v>
      </c>
      <c r="AH26" s="70">
        <f t="shared" si="80"/>
        <v>0</v>
      </c>
      <c r="AI26" s="55"/>
      <c r="AJ26" s="70">
        <f t="shared" si="81"/>
        <v>0</v>
      </c>
      <c r="AK26" s="70">
        <f t="shared" si="82"/>
        <v>0</v>
      </c>
      <c r="AL26" s="70">
        <f t="shared" si="83"/>
        <v>0</v>
      </c>
      <c r="AN26" s="70">
        <v>21</v>
      </c>
      <c r="AO26" s="70">
        <f t="shared" si="92"/>
        <v>0</v>
      </c>
      <c r="AP26" s="70">
        <f t="shared" si="93"/>
        <v>0</v>
      </c>
      <c r="AQ26" s="72" t="s">
        <v>96</v>
      </c>
      <c r="AV26" s="70">
        <f t="shared" si="84"/>
        <v>0</v>
      </c>
      <c r="AW26" s="70">
        <f t="shared" si="85"/>
        <v>0</v>
      </c>
      <c r="AX26" s="70">
        <f t="shared" si="86"/>
        <v>0</v>
      </c>
      <c r="AY26" s="72" t="s">
        <v>134</v>
      </c>
      <c r="AZ26" s="72" t="s">
        <v>135</v>
      </c>
      <c r="BA26" s="55" t="s">
        <v>101</v>
      </c>
      <c r="BC26" s="70">
        <f t="shared" si="87"/>
        <v>0</v>
      </c>
      <c r="BD26" s="70">
        <f t="shared" si="88"/>
        <v>0</v>
      </c>
      <c r="BE26" s="70">
        <v>0</v>
      </c>
      <c r="BF26" s="70">
        <f>26</f>
        <v>26</v>
      </c>
      <c r="BH26" s="70">
        <f t="shared" si="89"/>
        <v>0</v>
      </c>
      <c r="BI26" s="70">
        <f t="shared" si="90"/>
        <v>0</v>
      </c>
      <c r="BJ26" s="70">
        <f t="shared" si="91"/>
        <v>0</v>
      </c>
      <c r="BK26" s="70"/>
      <c r="BL26" s="70">
        <v>97</v>
      </c>
      <c r="BW26" s="70">
        <v>21</v>
      </c>
    </row>
    <row r="27" spans="1:47" ht="15" customHeight="1">
      <c r="A27" s="64"/>
      <c r="B27" s="65" t="s">
        <v>146</v>
      </c>
      <c r="C27" s="66" t="s">
        <v>147</v>
      </c>
      <c r="D27" s="66"/>
      <c r="E27" s="67" t="s">
        <v>59</v>
      </c>
      <c r="F27" s="67" t="s">
        <v>59</v>
      </c>
      <c r="G27" s="67" t="s">
        <v>59</v>
      </c>
      <c r="H27" s="47">
        <f>SUM(H28:H80)</f>
        <v>0</v>
      </c>
      <c r="I27" s="47">
        <f>SUM(I28:I80)</f>
        <v>0</v>
      </c>
      <c r="J27" s="47">
        <f>SUM(J28:J80)</f>
        <v>0</v>
      </c>
      <c r="K27" s="68"/>
      <c r="AI27" s="55"/>
      <c r="AS27" s="47">
        <f>SUM(AJ28:AJ80)</f>
        <v>0</v>
      </c>
      <c r="AT27" s="47">
        <f>SUM(AK28:AK80)</f>
        <v>0</v>
      </c>
      <c r="AU27" s="47">
        <f>SUM(AL28:AL80)</f>
        <v>0</v>
      </c>
    </row>
    <row r="28" spans="1:75" ht="13.5" customHeight="1">
      <c r="A28" s="69" t="s">
        <v>148</v>
      </c>
      <c r="B28" s="10" t="s">
        <v>149</v>
      </c>
      <c r="C28" s="8" t="s">
        <v>150</v>
      </c>
      <c r="D28" s="8"/>
      <c r="E28" s="10" t="s">
        <v>142</v>
      </c>
      <c r="F28" s="70">
        <v>16</v>
      </c>
      <c r="G28" s="70">
        <v>0</v>
      </c>
      <c r="H28" s="70">
        <f aca="true" t="shared" si="94" ref="H28:H80">F28*AO28</f>
        <v>0</v>
      </c>
      <c r="I28" s="70">
        <f aca="true" t="shared" si="95" ref="I28:I80">F28*AP28</f>
        <v>0</v>
      </c>
      <c r="J28" s="70">
        <f aca="true" t="shared" si="96" ref="J28:J80">F28*G28</f>
        <v>0</v>
      </c>
      <c r="K28" s="71" t="s">
        <v>111</v>
      </c>
      <c r="Z28" s="70">
        <f aca="true" t="shared" si="97" ref="Z28:Z80">IF(AQ28="5",BJ28,0)</f>
        <v>0</v>
      </c>
      <c r="AB28" s="70">
        <f aca="true" t="shared" si="98" ref="AB28:AB80">IF(AQ28="1",BH28,0)</f>
        <v>0</v>
      </c>
      <c r="AC28" s="70">
        <f aca="true" t="shared" si="99" ref="AC28:AC80">IF(AQ28="1",BI28,0)</f>
        <v>0</v>
      </c>
      <c r="AD28" s="70">
        <f aca="true" t="shared" si="100" ref="AD28:AD80">IF(AQ28="7",BH28,0)</f>
        <v>0</v>
      </c>
      <c r="AE28" s="70">
        <f aca="true" t="shared" si="101" ref="AE28:AE80">IF(AQ28="7",BI28,0)</f>
        <v>0</v>
      </c>
      <c r="AF28" s="70">
        <f aca="true" t="shared" si="102" ref="AF28:AF80">IF(AQ28="2",BH28,0)</f>
        <v>0</v>
      </c>
      <c r="AG28" s="70">
        <f aca="true" t="shared" si="103" ref="AG28:AG80">IF(AQ28="2",BI28,0)</f>
        <v>0</v>
      </c>
      <c r="AH28" s="70">
        <f aca="true" t="shared" si="104" ref="AH28:AH80">IF(AQ28="0",BJ28,0)</f>
        <v>0</v>
      </c>
      <c r="AI28" s="55"/>
      <c r="AJ28" s="70">
        <f aca="true" t="shared" si="105" ref="AJ28:AJ80">IF(AN28=0,J28,0)</f>
        <v>0</v>
      </c>
      <c r="AK28" s="70">
        <f aca="true" t="shared" si="106" ref="AK28:AK80">IF(AN28=12,J28,0)</f>
        <v>0</v>
      </c>
      <c r="AL28" s="70">
        <f aca="true" t="shared" si="107" ref="AL28:AL80">IF(AN28=21,J28,0)</f>
        <v>0</v>
      </c>
      <c r="AN28" s="70">
        <v>21</v>
      </c>
      <c r="AO28" s="70">
        <f aca="true" t="shared" si="108" ref="AO28:AO80">G28*0</f>
        <v>0</v>
      </c>
      <c r="AP28" s="70">
        <f aca="true" t="shared" si="109" ref="AP28:AP80">G28*(1-0)</f>
        <v>0</v>
      </c>
      <c r="AQ28" s="72" t="s">
        <v>102</v>
      </c>
      <c r="AV28" s="70">
        <f aca="true" t="shared" si="110" ref="AV28:AV80">AW28+AX28</f>
        <v>0</v>
      </c>
      <c r="AW28" s="70">
        <f aca="true" t="shared" si="111" ref="AW28:AW80">F28*AO28</f>
        <v>0</v>
      </c>
      <c r="AX28" s="70">
        <f aca="true" t="shared" si="112" ref="AX28:AX80">F28*AP28</f>
        <v>0</v>
      </c>
      <c r="AY28" s="72" t="s">
        <v>151</v>
      </c>
      <c r="AZ28" s="72" t="s">
        <v>135</v>
      </c>
      <c r="BA28" s="55" t="s">
        <v>101</v>
      </c>
      <c r="BC28" s="70">
        <f aca="true" t="shared" si="113" ref="BC28:BC80">AW28+AX28</f>
        <v>0</v>
      </c>
      <c r="BD28" s="70">
        <f aca="true" t="shared" si="114" ref="BD28:BD80">G28/(100-BE28)*100</f>
        <v>0</v>
      </c>
      <c r="BE28" s="70">
        <v>0</v>
      </c>
      <c r="BF28" s="70">
        <f>28</f>
        <v>28</v>
      </c>
      <c r="BH28" s="70">
        <f aca="true" t="shared" si="115" ref="BH28:BH80">F28*AO28</f>
        <v>0</v>
      </c>
      <c r="BI28" s="70">
        <f aca="true" t="shared" si="116" ref="BI28:BI80">F28*AP28</f>
        <v>0</v>
      </c>
      <c r="BJ28" s="70">
        <f aca="true" t="shared" si="117" ref="BJ28:BJ80">F28*G28</f>
        <v>0</v>
      </c>
      <c r="BK28" s="70"/>
      <c r="BL28" s="70"/>
      <c r="BW28" s="70">
        <v>21</v>
      </c>
    </row>
    <row r="29" spans="1:75" ht="13.5" customHeight="1">
      <c r="A29" s="69" t="s">
        <v>152</v>
      </c>
      <c r="B29" s="10" t="s">
        <v>153</v>
      </c>
      <c r="C29" s="8" t="s">
        <v>154</v>
      </c>
      <c r="D29" s="8"/>
      <c r="E29" s="10" t="s">
        <v>142</v>
      </c>
      <c r="F29" s="70">
        <v>16</v>
      </c>
      <c r="G29" s="70">
        <v>0</v>
      </c>
      <c r="H29" s="70">
        <f t="shared" si="94"/>
        <v>0</v>
      </c>
      <c r="I29" s="70">
        <f t="shared" si="95"/>
        <v>0</v>
      </c>
      <c r="J29" s="70">
        <f t="shared" si="96"/>
        <v>0</v>
      </c>
      <c r="K29" s="71" t="s">
        <v>111</v>
      </c>
      <c r="Z29" s="70">
        <f t="shared" si="97"/>
        <v>0</v>
      </c>
      <c r="AB29" s="70">
        <f t="shared" si="98"/>
        <v>0</v>
      </c>
      <c r="AC29" s="70">
        <f t="shared" si="99"/>
        <v>0</v>
      </c>
      <c r="AD29" s="70">
        <f t="shared" si="100"/>
        <v>0</v>
      </c>
      <c r="AE29" s="70">
        <f t="shared" si="101"/>
        <v>0</v>
      </c>
      <c r="AF29" s="70">
        <f t="shared" si="102"/>
        <v>0</v>
      </c>
      <c r="AG29" s="70">
        <f t="shared" si="103"/>
        <v>0</v>
      </c>
      <c r="AH29" s="70">
        <f t="shared" si="104"/>
        <v>0</v>
      </c>
      <c r="AI29" s="55"/>
      <c r="AJ29" s="70">
        <f t="shared" si="105"/>
        <v>0</v>
      </c>
      <c r="AK29" s="70">
        <f t="shared" si="106"/>
        <v>0</v>
      </c>
      <c r="AL29" s="70">
        <f t="shared" si="107"/>
        <v>0</v>
      </c>
      <c r="AN29" s="70">
        <v>21</v>
      </c>
      <c r="AO29" s="70">
        <f t="shared" si="108"/>
        <v>0</v>
      </c>
      <c r="AP29" s="70">
        <f t="shared" si="109"/>
        <v>0</v>
      </c>
      <c r="AQ29" s="72" t="s">
        <v>102</v>
      </c>
      <c r="AV29" s="70">
        <f t="shared" si="110"/>
        <v>0</v>
      </c>
      <c r="AW29" s="70">
        <f t="shared" si="111"/>
        <v>0</v>
      </c>
      <c r="AX29" s="70">
        <f t="shared" si="112"/>
        <v>0</v>
      </c>
      <c r="AY29" s="72" t="s">
        <v>151</v>
      </c>
      <c r="AZ29" s="72" t="s">
        <v>135</v>
      </c>
      <c r="BA29" s="55" t="s">
        <v>101</v>
      </c>
      <c r="BC29" s="70">
        <f t="shared" si="113"/>
        <v>0</v>
      </c>
      <c r="BD29" s="70">
        <f t="shared" si="114"/>
        <v>0</v>
      </c>
      <c r="BE29" s="70">
        <v>0</v>
      </c>
      <c r="BF29" s="70">
        <f>29</f>
        <v>29</v>
      </c>
      <c r="BH29" s="70">
        <f t="shared" si="115"/>
        <v>0</v>
      </c>
      <c r="BI29" s="70">
        <f t="shared" si="116"/>
        <v>0</v>
      </c>
      <c r="BJ29" s="70">
        <f t="shared" si="117"/>
        <v>0</v>
      </c>
      <c r="BK29" s="70"/>
      <c r="BL29" s="70"/>
      <c r="BW29" s="70">
        <v>21</v>
      </c>
    </row>
    <row r="30" spans="1:75" ht="13.5" customHeight="1">
      <c r="A30" s="69" t="s">
        <v>155</v>
      </c>
      <c r="B30" s="10" t="s">
        <v>156</v>
      </c>
      <c r="C30" s="8" t="s">
        <v>157</v>
      </c>
      <c r="D30" s="8"/>
      <c r="E30" s="10" t="s">
        <v>142</v>
      </c>
      <c r="F30" s="70">
        <v>9</v>
      </c>
      <c r="G30" s="70">
        <v>0</v>
      </c>
      <c r="H30" s="70">
        <f t="shared" si="94"/>
        <v>0</v>
      </c>
      <c r="I30" s="70">
        <f t="shared" si="95"/>
        <v>0</v>
      </c>
      <c r="J30" s="70">
        <f t="shared" si="96"/>
        <v>0</v>
      </c>
      <c r="K30" s="71" t="s">
        <v>111</v>
      </c>
      <c r="Z30" s="70">
        <f t="shared" si="97"/>
        <v>0</v>
      </c>
      <c r="AB30" s="70">
        <f t="shared" si="98"/>
        <v>0</v>
      </c>
      <c r="AC30" s="70">
        <f t="shared" si="99"/>
        <v>0</v>
      </c>
      <c r="AD30" s="70">
        <f t="shared" si="100"/>
        <v>0</v>
      </c>
      <c r="AE30" s="70">
        <f t="shared" si="101"/>
        <v>0</v>
      </c>
      <c r="AF30" s="70">
        <f t="shared" si="102"/>
        <v>0</v>
      </c>
      <c r="AG30" s="70">
        <f t="shared" si="103"/>
        <v>0</v>
      </c>
      <c r="AH30" s="70">
        <f t="shared" si="104"/>
        <v>0</v>
      </c>
      <c r="AI30" s="55"/>
      <c r="AJ30" s="70">
        <f t="shared" si="105"/>
        <v>0</v>
      </c>
      <c r="AK30" s="70">
        <f t="shared" si="106"/>
        <v>0</v>
      </c>
      <c r="AL30" s="70">
        <f t="shared" si="107"/>
        <v>0</v>
      </c>
      <c r="AN30" s="70">
        <v>21</v>
      </c>
      <c r="AO30" s="70">
        <f t="shared" si="108"/>
        <v>0</v>
      </c>
      <c r="AP30" s="70">
        <f t="shared" si="109"/>
        <v>0</v>
      </c>
      <c r="AQ30" s="72" t="s">
        <v>102</v>
      </c>
      <c r="AV30" s="70">
        <f t="shared" si="110"/>
        <v>0</v>
      </c>
      <c r="AW30" s="70">
        <f t="shared" si="111"/>
        <v>0</v>
      </c>
      <c r="AX30" s="70">
        <f t="shared" si="112"/>
        <v>0</v>
      </c>
      <c r="AY30" s="72" t="s">
        <v>151</v>
      </c>
      <c r="AZ30" s="72" t="s">
        <v>135</v>
      </c>
      <c r="BA30" s="55" t="s">
        <v>101</v>
      </c>
      <c r="BC30" s="70">
        <f t="shared" si="113"/>
        <v>0</v>
      </c>
      <c r="BD30" s="70">
        <f t="shared" si="114"/>
        <v>0</v>
      </c>
      <c r="BE30" s="70">
        <v>0</v>
      </c>
      <c r="BF30" s="70">
        <f>30</f>
        <v>30</v>
      </c>
      <c r="BH30" s="70">
        <f t="shared" si="115"/>
        <v>0</v>
      </c>
      <c r="BI30" s="70">
        <f t="shared" si="116"/>
        <v>0</v>
      </c>
      <c r="BJ30" s="70">
        <f t="shared" si="117"/>
        <v>0</v>
      </c>
      <c r="BK30" s="70"/>
      <c r="BL30" s="70"/>
      <c r="BW30" s="70">
        <v>21</v>
      </c>
    </row>
    <row r="31" spans="1:75" ht="13.5" customHeight="1">
      <c r="A31" s="69" t="s">
        <v>158</v>
      </c>
      <c r="B31" s="10" t="s">
        <v>159</v>
      </c>
      <c r="C31" s="8" t="s">
        <v>160</v>
      </c>
      <c r="D31" s="8"/>
      <c r="E31" s="10" t="s">
        <v>142</v>
      </c>
      <c r="F31" s="70">
        <v>5</v>
      </c>
      <c r="G31" s="70">
        <v>0</v>
      </c>
      <c r="H31" s="70">
        <f t="shared" si="94"/>
        <v>0</v>
      </c>
      <c r="I31" s="70">
        <f t="shared" si="95"/>
        <v>0</v>
      </c>
      <c r="J31" s="70">
        <f t="shared" si="96"/>
        <v>0</v>
      </c>
      <c r="K31" s="71" t="s">
        <v>111</v>
      </c>
      <c r="Z31" s="70">
        <f t="shared" si="97"/>
        <v>0</v>
      </c>
      <c r="AB31" s="70">
        <f t="shared" si="98"/>
        <v>0</v>
      </c>
      <c r="AC31" s="70">
        <f t="shared" si="99"/>
        <v>0</v>
      </c>
      <c r="AD31" s="70">
        <f t="shared" si="100"/>
        <v>0</v>
      </c>
      <c r="AE31" s="70">
        <f t="shared" si="101"/>
        <v>0</v>
      </c>
      <c r="AF31" s="70">
        <f t="shared" si="102"/>
        <v>0</v>
      </c>
      <c r="AG31" s="70">
        <f t="shared" si="103"/>
        <v>0</v>
      </c>
      <c r="AH31" s="70">
        <f t="shared" si="104"/>
        <v>0</v>
      </c>
      <c r="AI31" s="55"/>
      <c r="AJ31" s="70">
        <f t="shared" si="105"/>
        <v>0</v>
      </c>
      <c r="AK31" s="70">
        <f t="shared" si="106"/>
        <v>0</v>
      </c>
      <c r="AL31" s="70">
        <f t="shared" si="107"/>
        <v>0</v>
      </c>
      <c r="AN31" s="70">
        <v>21</v>
      </c>
      <c r="AO31" s="70">
        <f t="shared" si="108"/>
        <v>0</v>
      </c>
      <c r="AP31" s="70">
        <f t="shared" si="109"/>
        <v>0</v>
      </c>
      <c r="AQ31" s="72" t="s">
        <v>102</v>
      </c>
      <c r="AV31" s="70">
        <f t="shared" si="110"/>
        <v>0</v>
      </c>
      <c r="AW31" s="70">
        <f t="shared" si="111"/>
        <v>0</v>
      </c>
      <c r="AX31" s="70">
        <f t="shared" si="112"/>
        <v>0</v>
      </c>
      <c r="AY31" s="72" t="s">
        <v>151</v>
      </c>
      <c r="AZ31" s="72" t="s">
        <v>135</v>
      </c>
      <c r="BA31" s="55" t="s">
        <v>101</v>
      </c>
      <c r="BC31" s="70">
        <f t="shared" si="113"/>
        <v>0</v>
      </c>
      <c r="BD31" s="70">
        <f t="shared" si="114"/>
        <v>0</v>
      </c>
      <c r="BE31" s="70">
        <v>0</v>
      </c>
      <c r="BF31" s="70">
        <f>31</f>
        <v>31</v>
      </c>
      <c r="BH31" s="70">
        <f t="shared" si="115"/>
        <v>0</v>
      </c>
      <c r="BI31" s="70">
        <f t="shared" si="116"/>
        <v>0</v>
      </c>
      <c r="BJ31" s="70">
        <f t="shared" si="117"/>
        <v>0</v>
      </c>
      <c r="BK31" s="70"/>
      <c r="BL31" s="70"/>
      <c r="BW31" s="70">
        <v>21</v>
      </c>
    </row>
    <row r="32" spans="1:75" ht="13.5" customHeight="1">
      <c r="A32" s="69" t="s">
        <v>161</v>
      </c>
      <c r="B32" s="10" t="s">
        <v>162</v>
      </c>
      <c r="C32" s="8" t="s">
        <v>163</v>
      </c>
      <c r="D32" s="8"/>
      <c r="E32" s="10" t="s">
        <v>142</v>
      </c>
      <c r="F32" s="70">
        <v>220</v>
      </c>
      <c r="G32" s="70">
        <v>0</v>
      </c>
      <c r="H32" s="70">
        <f t="shared" si="94"/>
        <v>0</v>
      </c>
      <c r="I32" s="70">
        <f t="shared" si="95"/>
        <v>0</v>
      </c>
      <c r="J32" s="70">
        <f t="shared" si="96"/>
        <v>0</v>
      </c>
      <c r="K32" s="71" t="s">
        <v>111</v>
      </c>
      <c r="Z32" s="70">
        <f t="shared" si="97"/>
        <v>0</v>
      </c>
      <c r="AB32" s="70">
        <f t="shared" si="98"/>
        <v>0</v>
      </c>
      <c r="AC32" s="70">
        <f t="shared" si="99"/>
        <v>0</v>
      </c>
      <c r="AD32" s="70">
        <f t="shared" si="100"/>
        <v>0</v>
      </c>
      <c r="AE32" s="70">
        <f t="shared" si="101"/>
        <v>0</v>
      </c>
      <c r="AF32" s="70">
        <f t="shared" si="102"/>
        <v>0</v>
      </c>
      <c r="AG32" s="70">
        <f t="shared" si="103"/>
        <v>0</v>
      </c>
      <c r="AH32" s="70">
        <f t="shared" si="104"/>
        <v>0</v>
      </c>
      <c r="AI32" s="55"/>
      <c r="AJ32" s="70">
        <f t="shared" si="105"/>
        <v>0</v>
      </c>
      <c r="AK32" s="70">
        <f t="shared" si="106"/>
        <v>0</v>
      </c>
      <c r="AL32" s="70">
        <f t="shared" si="107"/>
        <v>0</v>
      </c>
      <c r="AN32" s="70">
        <v>21</v>
      </c>
      <c r="AO32" s="70">
        <f t="shared" si="108"/>
        <v>0</v>
      </c>
      <c r="AP32" s="70">
        <f t="shared" si="109"/>
        <v>0</v>
      </c>
      <c r="AQ32" s="72" t="s">
        <v>102</v>
      </c>
      <c r="AV32" s="70">
        <f t="shared" si="110"/>
        <v>0</v>
      </c>
      <c r="AW32" s="70">
        <f t="shared" si="111"/>
        <v>0</v>
      </c>
      <c r="AX32" s="70">
        <f t="shared" si="112"/>
        <v>0</v>
      </c>
      <c r="AY32" s="72" t="s">
        <v>151</v>
      </c>
      <c r="AZ32" s="72" t="s">
        <v>135</v>
      </c>
      <c r="BA32" s="55" t="s">
        <v>101</v>
      </c>
      <c r="BC32" s="70">
        <f t="shared" si="113"/>
        <v>0</v>
      </c>
      <c r="BD32" s="70">
        <f t="shared" si="114"/>
        <v>0</v>
      </c>
      <c r="BE32" s="70">
        <v>0</v>
      </c>
      <c r="BF32" s="70">
        <f>32</f>
        <v>32</v>
      </c>
      <c r="BH32" s="70">
        <f t="shared" si="115"/>
        <v>0</v>
      </c>
      <c r="BI32" s="70">
        <f t="shared" si="116"/>
        <v>0</v>
      </c>
      <c r="BJ32" s="70">
        <f t="shared" si="117"/>
        <v>0</v>
      </c>
      <c r="BK32" s="70"/>
      <c r="BL32" s="70"/>
      <c r="BW32" s="70">
        <v>21</v>
      </c>
    </row>
    <row r="33" spans="1:75" ht="13.5" customHeight="1">
      <c r="A33" s="69" t="s">
        <v>164</v>
      </c>
      <c r="B33" s="10" t="s">
        <v>165</v>
      </c>
      <c r="C33" s="8" t="s">
        <v>166</v>
      </c>
      <c r="D33" s="8"/>
      <c r="E33" s="10" t="s">
        <v>133</v>
      </c>
      <c r="F33" s="70">
        <v>5</v>
      </c>
      <c r="G33" s="70">
        <v>0</v>
      </c>
      <c r="H33" s="70">
        <f t="shared" si="94"/>
        <v>0</v>
      </c>
      <c r="I33" s="70">
        <f t="shared" si="95"/>
        <v>0</v>
      </c>
      <c r="J33" s="70">
        <f t="shared" si="96"/>
        <v>0</v>
      </c>
      <c r="K33" s="71" t="s">
        <v>111</v>
      </c>
      <c r="Z33" s="70">
        <f t="shared" si="97"/>
        <v>0</v>
      </c>
      <c r="AB33" s="70">
        <f t="shared" si="98"/>
        <v>0</v>
      </c>
      <c r="AC33" s="70">
        <f t="shared" si="99"/>
        <v>0</v>
      </c>
      <c r="AD33" s="70">
        <f t="shared" si="100"/>
        <v>0</v>
      </c>
      <c r="AE33" s="70">
        <f t="shared" si="101"/>
        <v>0</v>
      </c>
      <c r="AF33" s="70">
        <f t="shared" si="102"/>
        <v>0</v>
      </c>
      <c r="AG33" s="70">
        <f t="shared" si="103"/>
        <v>0</v>
      </c>
      <c r="AH33" s="70">
        <f t="shared" si="104"/>
        <v>0</v>
      </c>
      <c r="AI33" s="55"/>
      <c r="AJ33" s="70">
        <f t="shared" si="105"/>
        <v>0</v>
      </c>
      <c r="AK33" s="70">
        <f t="shared" si="106"/>
        <v>0</v>
      </c>
      <c r="AL33" s="70">
        <f t="shared" si="107"/>
        <v>0</v>
      </c>
      <c r="AN33" s="70">
        <v>21</v>
      </c>
      <c r="AO33" s="70">
        <f t="shared" si="108"/>
        <v>0</v>
      </c>
      <c r="AP33" s="70">
        <f t="shared" si="109"/>
        <v>0</v>
      </c>
      <c r="AQ33" s="72" t="s">
        <v>102</v>
      </c>
      <c r="AV33" s="70">
        <f t="shared" si="110"/>
        <v>0</v>
      </c>
      <c r="AW33" s="70">
        <f t="shared" si="111"/>
        <v>0</v>
      </c>
      <c r="AX33" s="70">
        <f t="shared" si="112"/>
        <v>0</v>
      </c>
      <c r="AY33" s="72" t="s">
        <v>151</v>
      </c>
      <c r="AZ33" s="72" t="s">
        <v>135</v>
      </c>
      <c r="BA33" s="55" t="s">
        <v>101</v>
      </c>
      <c r="BC33" s="70">
        <f t="shared" si="113"/>
        <v>0</v>
      </c>
      <c r="BD33" s="70">
        <f t="shared" si="114"/>
        <v>0</v>
      </c>
      <c r="BE33" s="70">
        <v>0</v>
      </c>
      <c r="BF33" s="70">
        <f>33</f>
        <v>33</v>
      </c>
      <c r="BH33" s="70">
        <f t="shared" si="115"/>
        <v>0</v>
      </c>
      <c r="BI33" s="70">
        <f t="shared" si="116"/>
        <v>0</v>
      </c>
      <c r="BJ33" s="70">
        <f t="shared" si="117"/>
        <v>0</v>
      </c>
      <c r="BK33" s="70"/>
      <c r="BL33" s="70"/>
      <c r="BW33" s="70">
        <v>21</v>
      </c>
    </row>
    <row r="34" spans="1:75" ht="13.5" customHeight="1">
      <c r="A34" s="69" t="s">
        <v>167</v>
      </c>
      <c r="B34" s="10" t="s">
        <v>168</v>
      </c>
      <c r="C34" s="8" t="s">
        <v>169</v>
      </c>
      <c r="D34" s="8"/>
      <c r="E34" s="10" t="s">
        <v>133</v>
      </c>
      <c r="F34" s="70">
        <v>50</v>
      </c>
      <c r="G34" s="70">
        <v>0</v>
      </c>
      <c r="H34" s="70">
        <f t="shared" si="94"/>
        <v>0</v>
      </c>
      <c r="I34" s="70">
        <f t="shared" si="95"/>
        <v>0</v>
      </c>
      <c r="J34" s="70">
        <f t="shared" si="96"/>
        <v>0</v>
      </c>
      <c r="K34" s="71" t="s">
        <v>111</v>
      </c>
      <c r="Z34" s="70">
        <f t="shared" si="97"/>
        <v>0</v>
      </c>
      <c r="AB34" s="70">
        <f t="shared" si="98"/>
        <v>0</v>
      </c>
      <c r="AC34" s="70">
        <f t="shared" si="99"/>
        <v>0</v>
      </c>
      <c r="AD34" s="70">
        <f t="shared" si="100"/>
        <v>0</v>
      </c>
      <c r="AE34" s="70">
        <f t="shared" si="101"/>
        <v>0</v>
      </c>
      <c r="AF34" s="70">
        <f t="shared" si="102"/>
        <v>0</v>
      </c>
      <c r="AG34" s="70">
        <f t="shared" si="103"/>
        <v>0</v>
      </c>
      <c r="AH34" s="70">
        <f t="shared" si="104"/>
        <v>0</v>
      </c>
      <c r="AI34" s="55"/>
      <c r="AJ34" s="70">
        <f t="shared" si="105"/>
        <v>0</v>
      </c>
      <c r="AK34" s="70">
        <f t="shared" si="106"/>
        <v>0</v>
      </c>
      <c r="AL34" s="70">
        <f t="shared" si="107"/>
        <v>0</v>
      </c>
      <c r="AN34" s="70">
        <v>21</v>
      </c>
      <c r="AO34" s="70">
        <f t="shared" si="108"/>
        <v>0</v>
      </c>
      <c r="AP34" s="70">
        <f t="shared" si="109"/>
        <v>0</v>
      </c>
      <c r="AQ34" s="72" t="s">
        <v>102</v>
      </c>
      <c r="AV34" s="70">
        <f t="shared" si="110"/>
        <v>0</v>
      </c>
      <c r="AW34" s="70">
        <f t="shared" si="111"/>
        <v>0</v>
      </c>
      <c r="AX34" s="70">
        <f t="shared" si="112"/>
        <v>0</v>
      </c>
      <c r="AY34" s="72" t="s">
        <v>151</v>
      </c>
      <c r="AZ34" s="72" t="s">
        <v>135</v>
      </c>
      <c r="BA34" s="55" t="s">
        <v>101</v>
      </c>
      <c r="BC34" s="70">
        <f t="shared" si="113"/>
        <v>0</v>
      </c>
      <c r="BD34" s="70">
        <f t="shared" si="114"/>
        <v>0</v>
      </c>
      <c r="BE34" s="70">
        <v>0</v>
      </c>
      <c r="BF34" s="70">
        <f>34</f>
        <v>34</v>
      </c>
      <c r="BH34" s="70">
        <f t="shared" si="115"/>
        <v>0</v>
      </c>
      <c r="BI34" s="70">
        <f t="shared" si="116"/>
        <v>0</v>
      </c>
      <c r="BJ34" s="70">
        <f t="shared" si="117"/>
        <v>0</v>
      </c>
      <c r="BK34" s="70"/>
      <c r="BL34" s="70"/>
      <c r="BW34" s="70">
        <v>21</v>
      </c>
    </row>
    <row r="35" spans="1:75" ht="13.5" customHeight="1">
      <c r="A35" s="69" t="s">
        <v>170</v>
      </c>
      <c r="B35" s="10" t="s">
        <v>171</v>
      </c>
      <c r="C35" s="8" t="s">
        <v>172</v>
      </c>
      <c r="D35" s="8"/>
      <c r="E35" s="10" t="s">
        <v>133</v>
      </c>
      <c r="F35" s="70">
        <v>100</v>
      </c>
      <c r="G35" s="70">
        <v>0</v>
      </c>
      <c r="H35" s="70">
        <f t="shared" si="94"/>
        <v>0</v>
      </c>
      <c r="I35" s="70">
        <f t="shared" si="95"/>
        <v>0</v>
      </c>
      <c r="J35" s="70">
        <f t="shared" si="96"/>
        <v>0</v>
      </c>
      <c r="K35" s="71" t="s">
        <v>111</v>
      </c>
      <c r="Z35" s="70">
        <f t="shared" si="97"/>
        <v>0</v>
      </c>
      <c r="AB35" s="70">
        <f t="shared" si="98"/>
        <v>0</v>
      </c>
      <c r="AC35" s="70">
        <f t="shared" si="99"/>
        <v>0</v>
      </c>
      <c r="AD35" s="70">
        <f t="shared" si="100"/>
        <v>0</v>
      </c>
      <c r="AE35" s="70">
        <f t="shared" si="101"/>
        <v>0</v>
      </c>
      <c r="AF35" s="70">
        <f t="shared" si="102"/>
        <v>0</v>
      </c>
      <c r="AG35" s="70">
        <f t="shared" si="103"/>
        <v>0</v>
      </c>
      <c r="AH35" s="70">
        <f t="shared" si="104"/>
        <v>0</v>
      </c>
      <c r="AI35" s="55"/>
      <c r="AJ35" s="70">
        <f t="shared" si="105"/>
        <v>0</v>
      </c>
      <c r="AK35" s="70">
        <f t="shared" si="106"/>
        <v>0</v>
      </c>
      <c r="AL35" s="70">
        <f t="shared" si="107"/>
        <v>0</v>
      </c>
      <c r="AN35" s="70">
        <v>21</v>
      </c>
      <c r="AO35" s="70">
        <f t="shared" si="108"/>
        <v>0</v>
      </c>
      <c r="AP35" s="70">
        <f t="shared" si="109"/>
        <v>0</v>
      </c>
      <c r="AQ35" s="72" t="s">
        <v>102</v>
      </c>
      <c r="AV35" s="70">
        <f t="shared" si="110"/>
        <v>0</v>
      </c>
      <c r="AW35" s="70">
        <f t="shared" si="111"/>
        <v>0</v>
      </c>
      <c r="AX35" s="70">
        <f t="shared" si="112"/>
        <v>0</v>
      </c>
      <c r="AY35" s="72" t="s">
        <v>151</v>
      </c>
      <c r="AZ35" s="72" t="s">
        <v>135</v>
      </c>
      <c r="BA35" s="55" t="s">
        <v>101</v>
      </c>
      <c r="BC35" s="70">
        <f t="shared" si="113"/>
        <v>0</v>
      </c>
      <c r="BD35" s="70">
        <f t="shared" si="114"/>
        <v>0</v>
      </c>
      <c r="BE35" s="70">
        <v>0</v>
      </c>
      <c r="BF35" s="70">
        <f>35</f>
        <v>35</v>
      </c>
      <c r="BH35" s="70">
        <f t="shared" si="115"/>
        <v>0</v>
      </c>
      <c r="BI35" s="70">
        <f t="shared" si="116"/>
        <v>0</v>
      </c>
      <c r="BJ35" s="70">
        <f t="shared" si="117"/>
        <v>0</v>
      </c>
      <c r="BK35" s="70"/>
      <c r="BL35" s="70"/>
      <c r="BW35" s="70">
        <v>21</v>
      </c>
    </row>
    <row r="36" spans="1:75" ht="13.5" customHeight="1">
      <c r="A36" s="69" t="s">
        <v>173</v>
      </c>
      <c r="B36" s="10" t="s">
        <v>174</v>
      </c>
      <c r="C36" s="8" t="s">
        <v>175</v>
      </c>
      <c r="D36" s="8"/>
      <c r="E36" s="10" t="s">
        <v>133</v>
      </c>
      <c r="F36" s="70">
        <v>30</v>
      </c>
      <c r="G36" s="70">
        <v>0</v>
      </c>
      <c r="H36" s="70">
        <f t="shared" si="94"/>
        <v>0</v>
      </c>
      <c r="I36" s="70">
        <f t="shared" si="95"/>
        <v>0</v>
      </c>
      <c r="J36" s="70">
        <f t="shared" si="96"/>
        <v>0</v>
      </c>
      <c r="K36" s="71" t="s">
        <v>111</v>
      </c>
      <c r="Z36" s="70">
        <f t="shared" si="97"/>
        <v>0</v>
      </c>
      <c r="AB36" s="70">
        <f t="shared" si="98"/>
        <v>0</v>
      </c>
      <c r="AC36" s="70">
        <f t="shared" si="99"/>
        <v>0</v>
      </c>
      <c r="AD36" s="70">
        <f t="shared" si="100"/>
        <v>0</v>
      </c>
      <c r="AE36" s="70">
        <f t="shared" si="101"/>
        <v>0</v>
      </c>
      <c r="AF36" s="70">
        <f t="shared" si="102"/>
        <v>0</v>
      </c>
      <c r="AG36" s="70">
        <f t="shared" si="103"/>
        <v>0</v>
      </c>
      <c r="AH36" s="70">
        <f t="shared" si="104"/>
        <v>0</v>
      </c>
      <c r="AI36" s="55"/>
      <c r="AJ36" s="70">
        <f t="shared" si="105"/>
        <v>0</v>
      </c>
      <c r="AK36" s="70">
        <f t="shared" si="106"/>
        <v>0</v>
      </c>
      <c r="AL36" s="70">
        <f t="shared" si="107"/>
        <v>0</v>
      </c>
      <c r="AN36" s="70">
        <v>21</v>
      </c>
      <c r="AO36" s="70">
        <f t="shared" si="108"/>
        <v>0</v>
      </c>
      <c r="AP36" s="70">
        <f t="shared" si="109"/>
        <v>0</v>
      </c>
      <c r="AQ36" s="72" t="s">
        <v>102</v>
      </c>
      <c r="AV36" s="70">
        <f t="shared" si="110"/>
        <v>0</v>
      </c>
      <c r="AW36" s="70">
        <f t="shared" si="111"/>
        <v>0</v>
      </c>
      <c r="AX36" s="70">
        <f t="shared" si="112"/>
        <v>0</v>
      </c>
      <c r="AY36" s="72" t="s">
        <v>151</v>
      </c>
      <c r="AZ36" s="72" t="s">
        <v>135</v>
      </c>
      <c r="BA36" s="55" t="s">
        <v>101</v>
      </c>
      <c r="BC36" s="70">
        <f t="shared" si="113"/>
        <v>0</v>
      </c>
      <c r="BD36" s="70">
        <f t="shared" si="114"/>
        <v>0</v>
      </c>
      <c r="BE36" s="70">
        <v>0</v>
      </c>
      <c r="BF36" s="70">
        <f>36</f>
        <v>36</v>
      </c>
      <c r="BH36" s="70">
        <f t="shared" si="115"/>
        <v>0</v>
      </c>
      <c r="BI36" s="70">
        <f t="shared" si="116"/>
        <v>0</v>
      </c>
      <c r="BJ36" s="70">
        <f t="shared" si="117"/>
        <v>0</v>
      </c>
      <c r="BK36" s="70"/>
      <c r="BL36" s="70"/>
      <c r="BW36" s="70">
        <v>21</v>
      </c>
    </row>
    <row r="37" spans="1:75" ht="13.5" customHeight="1">
      <c r="A37" s="69" t="s">
        <v>176</v>
      </c>
      <c r="B37" s="10" t="s">
        <v>177</v>
      </c>
      <c r="C37" s="8" t="s">
        <v>178</v>
      </c>
      <c r="D37" s="8"/>
      <c r="E37" s="10" t="s">
        <v>133</v>
      </c>
      <c r="F37" s="70">
        <v>950</v>
      </c>
      <c r="G37" s="70">
        <v>0</v>
      </c>
      <c r="H37" s="70">
        <f t="shared" si="94"/>
        <v>0</v>
      </c>
      <c r="I37" s="70">
        <f t="shared" si="95"/>
        <v>0</v>
      </c>
      <c r="J37" s="70">
        <f t="shared" si="96"/>
        <v>0</v>
      </c>
      <c r="K37" s="71" t="s">
        <v>111</v>
      </c>
      <c r="Z37" s="70">
        <f t="shared" si="97"/>
        <v>0</v>
      </c>
      <c r="AB37" s="70">
        <f t="shared" si="98"/>
        <v>0</v>
      </c>
      <c r="AC37" s="70">
        <f t="shared" si="99"/>
        <v>0</v>
      </c>
      <c r="AD37" s="70">
        <f t="shared" si="100"/>
        <v>0</v>
      </c>
      <c r="AE37" s="70">
        <f t="shared" si="101"/>
        <v>0</v>
      </c>
      <c r="AF37" s="70">
        <f t="shared" si="102"/>
        <v>0</v>
      </c>
      <c r="AG37" s="70">
        <f t="shared" si="103"/>
        <v>0</v>
      </c>
      <c r="AH37" s="70">
        <f t="shared" si="104"/>
        <v>0</v>
      </c>
      <c r="AI37" s="55"/>
      <c r="AJ37" s="70">
        <f t="shared" si="105"/>
        <v>0</v>
      </c>
      <c r="AK37" s="70">
        <f t="shared" si="106"/>
        <v>0</v>
      </c>
      <c r="AL37" s="70">
        <f t="shared" si="107"/>
        <v>0</v>
      </c>
      <c r="AN37" s="70">
        <v>21</v>
      </c>
      <c r="AO37" s="70">
        <f t="shared" si="108"/>
        <v>0</v>
      </c>
      <c r="AP37" s="70">
        <f t="shared" si="109"/>
        <v>0</v>
      </c>
      <c r="AQ37" s="72" t="s">
        <v>102</v>
      </c>
      <c r="AV37" s="70">
        <f t="shared" si="110"/>
        <v>0</v>
      </c>
      <c r="AW37" s="70">
        <f t="shared" si="111"/>
        <v>0</v>
      </c>
      <c r="AX37" s="70">
        <f t="shared" si="112"/>
        <v>0</v>
      </c>
      <c r="AY37" s="72" t="s">
        <v>151</v>
      </c>
      <c r="AZ37" s="72" t="s">
        <v>135</v>
      </c>
      <c r="BA37" s="55" t="s">
        <v>101</v>
      </c>
      <c r="BC37" s="70">
        <f t="shared" si="113"/>
        <v>0</v>
      </c>
      <c r="BD37" s="70">
        <f t="shared" si="114"/>
        <v>0</v>
      </c>
      <c r="BE37" s="70">
        <v>0</v>
      </c>
      <c r="BF37" s="70">
        <f>37</f>
        <v>37</v>
      </c>
      <c r="BH37" s="70">
        <f t="shared" si="115"/>
        <v>0</v>
      </c>
      <c r="BI37" s="70">
        <f t="shared" si="116"/>
        <v>0</v>
      </c>
      <c r="BJ37" s="70">
        <f t="shared" si="117"/>
        <v>0</v>
      </c>
      <c r="BK37" s="70"/>
      <c r="BL37" s="70"/>
      <c r="BW37" s="70">
        <v>21</v>
      </c>
    </row>
    <row r="38" spans="1:75" ht="13.5" customHeight="1">
      <c r="A38" s="69" t="s">
        <v>179</v>
      </c>
      <c r="B38" s="10" t="s">
        <v>180</v>
      </c>
      <c r="C38" s="8" t="s">
        <v>181</v>
      </c>
      <c r="D38" s="8"/>
      <c r="E38" s="10" t="s">
        <v>133</v>
      </c>
      <c r="F38" s="70">
        <v>800</v>
      </c>
      <c r="G38" s="70">
        <v>0</v>
      </c>
      <c r="H38" s="70">
        <f t="shared" si="94"/>
        <v>0</v>
      </c>
      <c r="I38" s="70">
        <f t="shared" si="95"/>
        <v>0</v>
      </c>
      <c r="J38" s="70">
        <f t="shared" si="96"/>
        <v>0</v>
      </c>
      <c r="K38" s="71" t="s">
        <v>111</v>
      </c>
      <c r="Z38" s="70">
        <f t="shared" si="97"/>
        <v>0</v>
      </c>
      <c r="AB38" s="70">
        <f t="shared" si="98"/>
        <v>0</v>
      </c>
      <c r="AC38" s="70">
        <f t="shared" si="99"/>
        <v>0</v>
      </c>
      <c r="AD38" s="70">
        <f t="shared" si="100"/>
        <v>0</v>
      </c>
      <c r="AE38" s="70">
        <f t="shared" si="101"/>
        <v>0</v>
      </c>
      <c r="AF38" s="70">
        <f t="shared" si="102"/>
        <v>0</v>
      </c>
      <c r="AG38" s="70">
        <f t="shared" si="103"/>
        <v>0</v>
      </c>
      <c r="AH38" s="70">
        <f t="shared" si="104"/>
        <v>0</v>
      </c>
      <c r="AI38" s="55"/>
      <c r="AJ38" s="70">
        <f t="shared" si="105"/>
        <v>0</v>
      </c>
      <c r="AK38" s="70">
        <f t="shared" si="106"/>
        <v>0</v>
      </c>
      <c r="AL38" s="70">
        <f t="shared" si="107"/>
        <v>0</v>
      </c>
      <c r="AN38" s="70">
        <v>21</v>
      </c>
      <c r="AO38" s="70">
        <f t="shared" si="108"/>
        <v>0</v>
      </c>
      <c r="AP38" s="70">
        <f t="shared" si="109"/>
        <v>0</v>
      </c>
      <c r="AQ38" s="72" t="s">
        <v>102</v>
      </c>
      <c r="AV38" s="70">
        <f t="shared" si="110"/>
        <v>0</v>
      </c>
      <c r="AW38" s="70">
        <f t="shared" si="111"/>
        <v>0</v>
      </c>
      <c r="AX38" s="70">
        <f t="shared" si="112"/>
        <v>0</v>
      </c>
      <c r="AY38" s="72" t="s">
        <v>151</v>
      </c>
      <c r="AZ38" s="72" t="s">
        <v>135</v>
      </c>
      <c r="BA38" s="55" t="s">
        <v>101</v>
      </c>
      <c r="BC38" s="70">
        <f t="shared" si="113"/>
        <v>0</v>
      </c>
      <c r="BD38" s="70">
        <f t="shared" si="114"/>
        <v>0</v>
      </c>
      <c r="BE38" s="70">
        <v>0</v>
      </c>
      <c r="BF38" s="70">
        <f>38</f>
        <v>38</v>
      </c>
      <c r="BH38" s="70">
        <f t="shared" si="115"/>
        <v>0</v>
      </c>
      <c r="BI38" s="70">
        <f t="shared" si="116"/>
        <v>0</v>
      </c>
      <c r="BJ38" s="70">
        <f t="shared" si="117"/>
        <v>0</v>
      </c>
      <c r="BK38" s="70"/>
      <c r="BL38" s="70"/>
      <c r="BW38" s="70">
        <v>21</v>
      </c>
    </row>
    <row r="39" spans="1:75" ht="13.5" customHeight="1">
      <c r="A39" s="69" t="s">
        <v>182</v>
      </c>
      <c r="B39" s="10" t="s">
        <v>183</v>
      </c>
      <c r="C39" s="8" t="s">
        <v>184</v>
      </c>
      <c r="D39" s="8"/>
      <c r="E39" s="10" t="s">
        <v>133</v>
      </c>
      <c r="F39" s="70">
        <v>120</v>
      </c>
      <c r="G39" s="70">
        <v>0</v>
      </c>
      <c r="H39" s="70">
        <f t="shared" si="94"/>
        <v>0</v>
      </c>
      <c r="I39" s="70">
        <f t="shared" si="95"/>
        <v>0</v>
      </c>
      <c r="J39" s="70">
        <f t="shared" si="96"/>
        <v>0</v>
      </c>
      <c r="K39" s="71" t="s">
        <v>111</v>
      </c>
      <c r="Z39" s="70">
        <f t="shared" si="97"/>
        <v>0</v>
      </c>
      <c r="AB39" s="70">
        <f t="shared" si="98"/>
        <v>0</v>
      </c>
      <c r="AC39" s="70">
        <f t="shared" si="99"/>
        <v>0</v>
      </c>
      <c r="AD39" s="70">
        <f t="shared" si="100"/>
        <v>0</v>
      </c>
      <c r="AE39" s="70">
        <f t="shared" si="101"/>
        <v>0</v>
      </c>
      <c r="AF39" s="70">
        <f t="shared" si="102"/>
        <v>0</v>
      </c>
      <c r="AG39" s="70">
        <f t="shared" si="103"/>
        <v>0</v>
      </c>
      <c r="AH39" s="70">
        <f t="shared" si="104"/>
        <v>0</v>
      </c>
      <c r="AI39" s="55"/>
      <c r="AJ39" s="70">
        <f t="shared" si="105"/>
        <v>0</v>
      </c>
      <c r="AK39" s="70">
        <f t="shared" si="106"/>
        <v>0</v>
      </c>
      <c r="AL39" s="70">
        <f t="shared" si="107"/>
        <v>0</v>
      </c>
      <c r="AN39" s="70">
        <v>21</v>
      </c>
      <c r="AO39" s="70">
        <f t="shared" si="108"/>
        <v>0</v>
      </c>
      <c r="AP39" s="70">
        <f t="shared" si="109"/>
        <v>0</v>
      </c>
      <c r="AQ39" s="72" t="s">
        <v>102</v>
      </c>
      <c r="AV39" s="70">
        <f t="shared" si="110"/>
        <v>0</v>
      </c>
      <c r="AW39" s="70">
        <f t="shared" si="111"/>
        <v>0</v>
      </c>
      <c r="AX39" s="70">
        <f t="shared" si="112"/>
        <v>0</v>
      </c>
      <c r="AY39" s="72" t="s">
        <v>151</v>
      </c>
      <c r="AZ39" s="72" t="s">
        <v>135</v>
      </c>
      <c r="BA39" s="55" t="s">
        <v>101</v>
      </c>
      <c r="BC39" s="70">
        <f t="shared" si="113"/>
        <v>0</v>
      </c>
      <c r="BD39" s="70">
        <f t="shared" si="114"/>
        <v>0</v>
      </c>
      <c r="BE39" s="70">
        <v>0</v>
      </c>
      <c r="BF39" s="70">
        <f>39</f>
        <v>39</v>
      </c>
      <c r="BH39" s="70">
        <f t="shared" si="115"/>
        <v>0</v>
      </c>
      <c r="BI39" s="70">
        <f t="shared" si="116"/>
        <v>0</v>
      </c>
      <c r="BJ39" s="70">
        <f t="shared" si="117"/>
        <v>0</v>
      </c>
      <c r="BK39" s="70"/>
      <c r="BL39" s="70"/>
      <c r="BW39" s="70">
        <v>21</v>
      </c>
    </row>
    <row r="40" spans="1:75" ht="13.5" customHeight="1">
      <c r="A40" s="69" t="s">
        <v>185</v>
      </c>
      <c r="B40" s="10" t="s">
        <v>186</v>
      </c>
      <c r="C40" s="8" t="s">
        <v>187</v>
      </c>
      <c r="D40" s="8"/>
      <c r="E40" s="10" t="s">
        <v>133</v>
      </c>
      <c r="F40" s="70">
        <v>2</v>
      </c>
      <c r="G40" s="70">
        <v>0</v>
      </c>
      <c r="H40" s="70">
        <f t="shared" si="94"/>
        <v>0</v>
      </c>
      <c r="I40" s="70">
        <f t="shared" si="95"/>
        <v>0</v>
      </c>
      <c r="J40" s="70">
        <f t="shared" si="96"/>
        <v>0</v>
      </c>
      <c r="K40" s="71" t="s">
        <v>111</v>
      </c>
      <c r="Z40" s="70">
        <f t="shared" si="97"/>
        <v>0</v>
      </c>
      <c r="AB40" s="70">
        <f t="shared" si="98"/>
        <v>0</v>
      </c>
      <c r="AC40" s="70">
        <f t="shared" si="99"/>
        <v>0</v>
      </c>
      <c r="AD40" s="70">
        <f t="shared" si="100"/>
        <v>0</v>
      </c>
      <c r="AE40" s="70">
        <f t="shared" si="101"/>
        <v>0</v>
      </c>
      <c r="AF40" s="70">
        <f t="shared" si="102"/>
        <v>0</v>
      </c>
      <c r="AG40" s="70">
        <f t="shared" si="103"/>
        <v>0</v>
      </c>
      <c r="AH40" s="70">
        <f t="shared" si="104"/>
        <v>0</v>
      </c>
      <c r="AI40" s="55"/>
      <c r="AJ40" s="70">
        <f t="shared" si="105"/>
        <v>0</v>
      </c>
      <c r="AK40" s="70">
        <f t="shared" si="106"/>
        <v>0</v>
      </c>
      <c r="AL40" s="70">
        <f t="shared" si="107"/>
        <v>0</v>
      </c>
      <c r="AN40" s="70">
        <v>21</v>
      </c>
      <c r="AO40" s="70">
        <f t="shared" si="108"/>
        <v>0</v>
      </c>
      <c r="AP40" s="70">
        <f t="shared" si="109"/>
        <v>0</v>
      </c>
      <c r="AQ40" s="72" t="s">
        <v>102</v>
      </c>
      <c r="AV40" s="70">
        <f t="shared" si="110"/>
        <v>0</v>
      </c>
      <c r="AW40" s="70">
        <f t="shared" si="111"/>
        <v>0</v>
      </c>
      <c r="AX40" s="70">
        <f t="shared" si="112"/>
        <v>0</v>
      </c>
      <c r="AY40" s="72" t="s">
        <v>151</v>
      </c>
      <c r="AZ40" s="72" t="s">
        <v>135</v>
      </c>
      <c r="BA40" s="55" t="s">
        <v>101</v>
      </c>
      <c r="BC40" s="70">
        <f t="shared" si="113"/>
        <v>0</v>
      </c>
      <c r="BD40" s="70">
        <f t="shared" si="114"/>
        <v>0</v>
      </c>
      <c r="BE40" s="70">
        <v>0</v>
      </c>
      <c r="BF40" s="70">
        <f>40</f>
        <v>40</v>
      </c>
      <c r="BH40" s="70">
        <f t="shared" si="115"/>
        <v>0</v>
      </c>
      <c r="BI40" s="70">
        <f t="shared" si="116"/>
        <v>0</v>
      </c>
      <c r="BJ40" s="70">
        <f t="shared" si="117"/>
        <v>0</v>
      </c>
      <c r="BK40" s="70"/>
      <c r="BL40" s="70"/>
      <c r="BW40" s="70">
        <v>21</v>
      </c>
    </row>
    <row r="41" spans="1:75" ht="13.5" customHeight="1">
      <c r="A41" s="69" t="s">
        <v>188</v>
      </c>
      <c r="B41" s="10" t="s">
        <v>189</v>
      </c>
      <c r="C41" s="8" t="s">
        <v>190</v>
      </c>
      <c r="D41" s="8"/>
      <c r="E41" s="10" t="s">
        <v>133</v>
      </c>
      <c r="F41" s="70">
        <v>2</v>
      </c>
      <c r="G41" s="70">
        <v>0</v>
      </c>
      <c r="H41" s="70">
        <f t="shared" si="94"/>
        <v>0</v>
      </c>
      <c r="I41" s="70">
        <f t="shared" si="95"/>
        <v>0</v>
      </c>
      <c r="J41" s="70">
        <f t="shared" si="96"/>
        <v>0</v>
      </c>
      <c r="K41" s="71" t="s">
        <v>111</v>
      </c>
      <c r="Z41" s="70">
        <f t="shared" si="97"/>
        <v>0</v>
      </c>
      <c r="AB41" s="70">
        <f t="shared" si="98"/>
        <v>0</v>
      </c>
      <c r="AC41" s="70">
        <f t="shared" si="99"/>
        <v>0</v>
      </c>
      <c r="AD41" s="70">
        <f t="shared" si="100"/>
        <v>0</v>
      </c>
      <c r="AE41" s="70">
        <f t="shared" si="101"/>
        <v>0</v>
      </c>
      <c r="AF41" s="70">
        <f t="shared" si="102"/>
        <v>0</v>
      </c>
      <c r="AG41" s="70">
        <f t="shared" si="103"/>
        <v>0</v>
      </c>
      <c r="AH41" s="70">
        <f t="shared" si="104"/>
        <v>0</v>
      </c>
      <c r="AI41" s="55"/>
      <c r="AJ41" s="70">
        <f t="shared" si="105"/>
        <v>0</v>
      </c>
      <c r="AK41" s="70">
        <f t="shared" si="106"/>
        <v>0</v>
      </c>
      <c r="AL41" s="70">
        <f t="shared" si="107"/>
        <v>0</v>
      </c>
      <c r="AN41" s="70">
        <v>21</v>
      </c>
      <c r="AO41" s="70">
        <f t="shared" si="108"/>
        <v>0</v>
      </c>
      <c r="AP41" s="70">
        <f t="shared" si="109"/>
        <v>0</v>
      </c>
      <c r="AQ41" s="72" t="s">
        <v>102</v>
      </c>
      <c r="AV41" s="70">
        <f t="shared" si="110"/>
        <v>0</v>
      </c>
      <c r="AW41" s="70">
        <f t="shared" si="111"/>
        <v>0</v>
      </c>
      <c r="AX41" s="70">
        <f t="shared" si="112"/>
        <v>0</v>
      </c>
      <c r="AY41" s="72" t="s">
        <v>151</v>
      </c>
      <c r="AZ41" s="72" t="s">
        <v>135</v>
      </c>
      <c r="BA41" s="55" t="s">
        <v>101</v>
      </c>
      <c r="BC41" s="70">
        <f t="shared" si="113"/>
        <v>0</v>
      </c>
      <c r="BD41" s="70">
        <f t="shared" si="114"/>
        <v>0</v>
      </c>
      <c r="BE41" s="70">
        <v>0</v>
      </c>
      <c r="BF41" s="70">
        <f>41</f>
        <v>41</v>
      </c>
      <c r="BH41" s="70">
        <f t="shared" si="115"/>
        <v>0</v>
      </c>
      <c r="BI41" s="70">
        <f t="shared" si="116"/>
        <v>0</v>
      </c>
      <c r="BJ41" s="70">
        <f t="shared" si="117"/>
        <v>0</v>
      </c>
      <c r="BK41" s="70"/>
      <c r="BL41" s="70"/>
      <c r="BW41" s="70">
        <v>21</v>
      </c>
    </row>
    <row r="42" spans="1:75" ht="13.5" customHeight="1">
      <c r="A42" s="69" t="s">
        <v>191</v>
      </c>
      <c r="B42" s="10" t="s">
        <v>192</v>
      </c>
      <c r="C42" s="8" t="s">
        <v>193</v>
      </c>
      <c r="D42" s="8"/>
      <c r="E42" s="10" t="s">
        <v>133</v>
      </c>
      <c r="F42" s="70">
        <v>8</v>
      </c>
      <c r="G42" s="70">
        <v>0</v>
      </c>
      <c r="H42" s="70">
        <f t="shared" si="94"/>
        <v>0</v>
      </c>
      <c r="I42" s="70">
        <f t="shared" si="95"/>
        <v>0</v>
      </c>
      <c r="J42" s="70">
        <f t="shared" si="96"/>
        <v>0</v>
      </c>
      <c r="K42" s="71" t="s">
        <v>111</v>
      </c>
      <c r="Z42" s="70">
        <f t="shared" si="97"/>
        <v>0</v>
      </c>
      <c r="AB42" s="70">
        <f t="shared" si="98"/>
        <v>0</v>
      </c>
      <c r="AC42" s="70">
        <f t="shared" si="99"/>
        <v>0</v>
      </c>
      <c r="AD42" s="70">
        <f t="shared" si="100"/>
        <v>0</v>
      </c>
      <c r="AE42" s="70">
        <f t="shared" si="101"/>
        <v>0</v>
      </c>
      <c r="AF42" s="70">
        <f t="shared" si="102"/>
        <v>0</v>
      </c>
      <c r="AG42" s="70">
        <f t="shared" si="103"/>
        <v>0</v>
      </c>
      <c r="AH42" s="70">
        <f t="shared" si="104"/>
        <v>0</v>
      </c>
      <c r="AI42" s="55"/>
      <c r="AJ42" s="70">
        <f t="shared" si="105"/>
        <v>0</v>
      </c>
      <c r="AK42" s="70">
        <f t="shared" si="106"/>
        <v>0</v>
      </c>
      <c r="AL42" s="70">
        <f t="shared" si="107"/>
        <v>0</v>
      </c>
      <c r="AN42" s="70">
        <v>21</v>
      </c>
      <c r="AO42" s="70">
        <f t="shared" si="108"/>
        <v>0</v>
      </c>
      <c r="AP42" s="70">
        <f t="shared" si="109"/>
        <v>0</v>
      </c>
      <c r="AQ42" s="72" t="s">
        <v>102</v>
      </c>
      <c r="AV42" s="70">
        <f t="shared" si="110"/>
        <v>0</v>
      </c>
      <c r="AW42" s="70">
        <f t="shared" si="111"/>
        <v>0</v>
      </c>
      <c r="AX42" s="70">
        <f t="shared" si="112"/>
        <v>0</v>
      </c>
      <c r="AY42" s="72" t="s">
        <v>151</v>
      </c>
      <c r="AZ42" s="72" t="s">
        <v>135</v>
      </c>
      <c r="BA42" s="55" t="s">
        <v>101</v>
      </c>
      <c r="BC42" s="70">
        <f t="shared" si="113"/>
        <v>0</v>
      </c>
      <c r="BD42" s="70">
        <f t="shared" si="114"/>
        <v>0</v>
      </c>
      <c r="BE42" s="70">
        <v>0</v>
      </c>
      <c r="BF42" s="70">
        <f>42</f>
        <v>42</v>
      </c>
      <c r="BH42" s="70">
        <f t="shared" si="115"/>
        <v>0</v>
      </c>
      <c r="BI42" s="70">
        <f t="shared" si="116"/>
        <v>0</v>
      </c>
      <c r="BJ42" s="70">
        <f t="shared" si="117"/>
        <v>0</v>
      </c>
      <c r="BK42" s="70"/>
      <c r="BL42" s="70"/>
      <c r="BW42" s="70">
        <v>21</v>
      </c>
    </row>
    <row r="43" spans="1:75" ht="13.5" customHeight="1">
      <c r="A43" s="69" t="s">
        <v>194</v>
      </c>
      <c r="B43" s="10" t="s">
        <v>195</v>
      </c>
      <c r="C43" s="8" t="s">
        <v>196</v>
      </c>
      <c r="D43" s="8"/>
      <c r="E43" s="10" t="s">
        <v>133</v>
      </c>
      <c r="F43" s="70">
        <v>50</v>
      </c>
      <c r="G43" s="70">
        <v>0</v>
      </c>
      <c r="H43" s="70">
        <f t="shared" si="94"/>
        <v>0</v>
      </c>
      <c r="I43" s="70">
        <f t="shared" si="95"/>
        <v>0</v>
      </c>
      <c r="J43" s="70">
        <f t="shared" si="96"/>
        <v>0</v>
      </c>
      <c r="K43" s="71" t="s">
        <v>111</v>
      </c>
      <c r="Z43" s="70">
        <f t="shared" si="97"/>
        <v>0</v>
      </c>
      <c r="AB43" s="70">
        <f t="shared" si="98"/>
        <v>0</v>
      </c>
      <c r="AC43" s="70">
        <f t="shared" si="99"/>
        <v>0</v>
      </c>
      <c r="AD43" s="70">
        <f t="shared" si="100"/>
        <v>0</v>
      </c>
      <c r="AE43" s="70">
        <f t="shared" si="101"/>
        <v>0</v>
      </c>
      <c r="AF43" s="70">
        <f t="shared" si="102"/>
        <v>0</v>
      </c>
      <c r="AG43" s="70">
        <f t="shared" si="103"/>
        <v>0</v>
      </c>
      <c r="AH43" s="70">
        <f t="shared" si="104"/>
        <v>0</v>
      </c>
      <c r="AI43" s="55"/>
      <c r="AJ43" s="70">
        <f t="shared" si="105"/>
        <v>0</v>
      </c>
      <c r="AK43" s="70">
        <f t="shared" si="106"/>
        <v>0</v>
      </c>
      <c r="AL43" s="70">
        <f t="shared" si="107"/>
        <v>0</v>
      </c>
      <c r="AN43" s="70">
        <v>21</v>
      </c>
      <c r="AO43" s="70">
        <f t="shared" si="108"/>
        <v>0</v>
      </c>
      <c r="AP43" s="70">
        <f t="shared" si="109"/>
        <v>0</v>
      </c>
      <c r="AQ43" s="72" t="s">
        <v>102</v>
      </c>
      <c r="AV43" s="70">
        <f t="shared" si="110"/>
        <v>0</v>
      </c>
      <c r="AW43" s="70">
        <f t="shared" si="111"/>
        <v>0</v>
      </c>
      <c r="AX43" s="70">
        <f t="shared" si="112"/>
        <v>0</v>
      </c>
      <c r="AY43" s="72" t="s">
        <v>151</v>
      </c>
      <c r="AZ43" s="72" t="s">
        <v>135</v>
      </c>
      <c r="BA43" s="55" t="s">
        <v>101</v>
      </c>
      <c r="BC43" s="70">
        <f t="shared" si="113"/>
        <v>0</v>
      </c>
      <c r="BD43" s="70">
        <f t="shared" si="114"/>
        <v>0</v>
      </c>
      <c r="BE43" s="70">
        <v>0</v>
      </c>
      <c r="BF43" s="70">
        <f>43</f>
        <v>43</v>
      </c>
      <c r="BH43" s="70">
        <f t="shared" si="115"/>
        <v>0</v>
      </c>
      <c r="BI43" s="70">
        <f t="shared" si="116"/>
        <v>0</v>
      </c>
      <c r="BJ43" s="70">
        <f t="shared" si="117"/>
        <v>0</v>
      </c>
      <c r="BK43" s="70"/>
      <c r="BL43" s="70"/>
      <c r="BW43" s="70">
        <v>21</v>
      </c>
    </row>
    <row r="44" spans="1:75" ht="13.5" customHeight="1">
      <c r="A44" s="69" t="s">
        <v>197</v>
      </c>
      <c r="B44" s="10" t="s">
        <v>198</v>
      </c>
      <c r="C44" s="8" t="s">
        <v>199</v>
      </c>
      <c r="D44" s="8"/>
      <c r="E44" s="10" t="s">
        <v>133</v>
      </c>
      <c r="F44" s="70">
        <v>200</v>
      </c>
      <c r="G44" s="70">
        <v>0</v>
      </c>
      <c r="H44" s="70">
        <f t="shared" si="94"/>
        <v>0</v>
      </c>
      <c r="I44" s="70">
        <f t="shared" si="95"/>
        <v>0</v>
      </c>
      <c r="J44" s="70">
        <f t="shared" si="96"/>
        <v>0</v>
      </c>
      <c r="K44" s="71" t="s">
        <v>111</v>
      </c>
      <c r="Z44" s="70">
        <f t="shared" si="97"/>
        <v>0</v>
      </c>
      <c r="AB44" s="70">
        <f t="shared" si="98"/>
        <v>0</v>
      </c>
      <c r="AC44" s="70">
        <f t="shared" si="99"/>
        <v>0</v>
      </c>
      <c r="AD44" s="70">
        <f t="shared" si="100"/>
        <v>0</v>
      </c>
      <c r="AE44" s="70">
        <f t="shared" si="101"/>
        <v>0</v>
      </c>
      <c r="AF44" s="70">
        <f t="shared" si="102"/>
        <v>0</v>
      </c>
      <c r="AG44" s="70">
        <f t="shared" si="103"/>
        <v>0</v>
      </c>
      <c r="AH44" s="70">
        <f t="shared" si="104"/>
        <v>0</v>
      </c>
      <c r="AI44" s="55"/>
      <c r="AJ44" s="70">
        <f t="shared" si="105"/>
        <v>0</v>
      </c>
      <c r="AK44" s="70">
        <f t="shared" si="106"/>
        <v>0</v>
      </c>
      <c r="AL44" s="70">
        <f t="shared" si="107"/>
        <v>0</v>
      </c>
      <c r="AN44" s="70">
        <v>21</v>
      </c>
      <c r="AO44" s="70">
        <f t="shared" si="108"/>
        <v>0</v>
      </c>
      <c r="AP44" s="70">
        <f t="shared" si="109"/>
        <v>0</v>
      </c>
      <c r="AQ44" s="72" t="s">
        <v>102</v>
      </c>
      <c r="AV44" s="70">
        <f t="shared" si="110"/>
        <v>0</v>
      </c>
      <c r="AW44" s="70">
        <f t="shared" si="111"/>
        <v>0</v>
      </c>
      <c r="AX44" s="70">
        <f t="shared" si="112"/>
        <v>0</v>
      </c>
      <c r="AY44" s="72" t="s">
        <v>151</v>
      </c>
      <c r="AZ44" s="72" t="s">
        <v>135</v>
      </c>
      <c r="BA44" s="55" t="s">
        <v>101</v>
      </c>
      <c r="BC44" s="70">
        <f t="shared" si="113"/>
        <v>0</v>
      </c>
      <c r="BD44" s="70">
        <f t="shared" si="114"/>
        <v>0</v>
      </c>
      <c r="BE44" s="70">
        <v>0</v>
      </c>
      <c r="BF44" s="70">
        <f>44</f>
        <v>44</v>
      </c>
      <c r="BH44" s="70">
        <f t="shared" si="115"/>
        <v>0</v>
      </c>
      <c r="BI44" s="70">
        <f t="shared" si="116"/>
        <v>0</v>
      </c>
      <c r="BJ44" s="70">
        <f t="shared" si="117"/>
        <v>0</v>
      </c>
      <c r="BK44" s="70"/>
      <c r="BL44" s="70"/>
      <c r="BW44" s="70">
        <v>21</v>
      </c>
    </row>
    <row r="45" spans="1:75" ht="13.5" customHeight="1">
      <c r="A45" s="69" t="s">
        <v>200</v>
      </c>
      <c r="B45" s="10" t="s">
        <v>201</v>
      </c>
      <c r="C45" s="8" t="s">
        <v>202</v>
      </c>
      <c r="D45" s="8"/>
      <c r="E45" s="10" t="s">
        <v>133</v>
      </c>
      <c r="F45" s="70">
        <v>50</v>
      </c>
      <c r="G45" s="70">
        <v>0</v>
      </c>
      <c r="H45" s="70">
        <f t="shared" si="94"/>
        <v>0</v>
      </c>
      <c r="I45" s="70">
        <f t="shared" si="95"/>
        <v>0</v>
      </c>
      <c r="J45" s="70">
        <f t="shared" si="96"/>
        <v>0</v>
      </c>
      <c r="K45" s="71" t="s">
        <v>111</v>
      </c>
      <c r="Z45" s="70">
        <f t="shared" si="97"/>
        <v>0</v>
      </c>
      <c r="AB45" s="70">
        <f t="shared" si="98"/>
        <v>0</v>
      </c>
      <c r="AC45" s="70">
        <f t="shared" si="99"/>
        <v>0</v>
      </c>
      <c r="AD45" s="70">
        <f t="shared" si="100"/>
        <v>0</v>
      </c>
      <c r="AE45" s="70">
        <f t="shared" si="101"/>
        <v>0</v>
      </c>
      <c r="AF45" s="70">
        <f t="shared" si="102"/>
        <v>0</v>
      </c>
      <c r="AG45" s="70">
        <f t="shared" si="103"/>
        <v>0</v>
      </c>
      <c r="AH45" s="70">
        <f t="shared" si="104"/>
        <v>0</v>
      </c>
      <c r="AI45" s="55"/>
      <c r="AJ45" s="70">
        <f t="shared" si="105"/>
        <v>0</v>
      </c>
      <c r="AK45" s="70">
        <f t="shared" si="106"/>
        <v>0</v>
      </c>
      <c r="AL45" s="70">
        <f t="shared" si="107"/>
        <v>0</v>
      </c>
      <c r="AN45" s="70">
        <v>21</v>
      </c>
      <c r="AO45" s="70">
        <f t="shared" si="108"/>
        <v>0</v>
      </c>
      <c r="AP45" s="70">
        <f t="shared" si="109"/>
        <v>0</v>
      </c>
      <c r="AQ45" s="72" t="s">
        <v>102</v>
      </c>
      <c r="AV45" s="70">
        <f t="shared" si="110"/>
        <v>0</v>
      </c>
      <c r="AW45" s="70">
        <f t="shared" si="111"/>
        <v>0</v>
      </c>
      <c r="AX45" s="70">
        <f t="shared" si="112"/>
        <v>0</v>
      </c>
      <c r="AY45" s="72" t="s">
        <v>151</v>
      </c>
      <c r="AZ45" s="72" t="s">
        <v>135</v>
      </c>
      <c r="BA45" s="55" t="s">
        <v>101</v>
      </c>
      <c r="BC45" s="70">
        <f t="shared" si="113"/>
        <v>0</v>
      </c>
      <c r="BD45" s="70">
        <f t="shared" si="114"/>
        <v>0</v>
      </c>
      <c r="BE45" s="70">
        <v>0</v>
      </c>
      <c r="BF45" s="70">
        <f>45</f>
        <v>45</v>
      </c>
      <c r="BH45" s="70">
        <f t="shared" si="115"/>
        <v>0</v>
      </c>
      <c r="BI45" s="70">
        <f t="shared" si="116"/>
        <v>0</v>
      </c>
      <c r="BJ45" s="70">
        <f t="shared" si="117"/>
        <v>0</v>
      </c>
      <c r="BK45" s="70"/>
      <c r="BL45" s="70"/>
      <c r="BW45" s="70">
        <v>21</v>
      </c>
    </row>
    <row r="46" spans="1:75" ht="13.5" customHeight="1">
      <c r="A46" s="69" t="s">
        <v>203</v>
      </c>
      <c r="B46" s="10" t="s">
        <v>204</v>
      </c>
      <c r="C46" s="8" t="s">
        <v>205</v>
      </c>
      <c r="D46" s="8"/>
      <c r="E46" s="10" t="s">
        <v>133</v>
      </c>
      <c r="F46" s="70">
        <v>5</v>
      </c>
      <c r="G46" s="70">
        <v>0</v>
      </c>
      <c r="H46" s="70">
        <f t="shared" si="94"/>
        <v>0</v>
      </c>
      <c r="I46" s="70">
        <f t="shared" si="95"/>
        <v>0</v>
      </c>
      <c r="J46" s="70">
        <f t="shared" si="96"/>
        <v>0</v>
      </c>
      <c r="K46" s="71" t="s">
        <v>111</v>
      </c>
      <c r="Z46" s="70">
        <f t="shared" si="97"/>
        <v>0</v>
      </c>
      <c r="AB46" s="70">
        <f t="shared" si="98"/>
        <v>0</v>
      </c>
      <c r="AC46" s="70">
        <f t="shared" si="99"/>
        <v>0</v>
      </c>
      <c r="AD46" s="70">
        <f t="shared" si="100"/>
        <v>0</v>
      </c>
      <c r="AE46" s="70">
        <f t="shared" si="101"/>
        <v>0</v>
      </c>
      <c r="AF46" s="70">
        <f t="shared" si="102"/>
        <v>0</v>
      </c>
      <c r="AG46" s="70">
        <f t="shared" si="103"/>
        <v>0</v>
      </c>
      <c r="AH46" s="70">
        <f t="shared" si="104"/>
        <v>0</v>
      </c>
      <c r="AI46" s="55"/>
      <c r="AJ46" s="70">
        <f t="shared" si="105"/>
        <v>0</v>
      </c>
      <c r="AK46" s="70">
        <f t="shared" si="106"/>
        <v>0</v>
      </c>
      <c r="AL46" s="70">
        <f t="shared" si="107"/>
        <v>0</v>
      </c>
      <c r="AN46" s="70">
        <v>21</v>
      </c>
      <c r="AO46" s="70">
        <f t="shared" si="108"/>
        <v>0</v>
      </c>
      <c r="AP46" s="70">
        <f t="shared" si="109"/>
        <v>0</v>
      </c>
      <c r="AQ46" s="72" t="s">
        <v>102</v>
      </c>
      <c r="AV46" s="70">
        <f t="shared" si="110"/>
        <v>0</v>
      </c>
      <c r="AW46" s="70">
        <f t="shared" si="111"/>
        <v>0</v>
      </c>
      <c r="AX46" s="70">
        <f t="shared" si="112"/>
        <v>0</v>
      </c>
      <c r="AY46" s="72" t="s">
        <v>151</v>
      </c>
      <c r="AZ46" s="72" t="s">
        <v>135</v>
      </c>
      <c r="BA46" s="55" t="s">
        <v>101</v>
      </c>
      <c r="BC46" s="70">
        <f t="shared" si="113"/>
        <v>0</v>
      </c>
      <c r="BD46" s="70">
        <f t="shared" si="114"/>
        <v>0</v>
      </c>
      <c r="BE46" s="70">
        <v>0</v>
      </c>
      <c r="BF46" s="70">
        <f>46</f>
        <v>46</v>
      </c>
      <c r="BH46" s="70">
        <f t="shared" si="115"/>
        <v>0</v>
      </c>
      <c r="BI46" s="70">
        <f t="shared" si="116"/>
        <v>0</v>
      </c>
      <c r="BJ46" s="70">
        <f t="shared" si="117"/>
        <v>0</v>
      </c>
      <c r="BK46" s="70"/>
      <c r="BL46" s="70"/>
      <c r="BW46" s="70">
        <v>21</v>
      </c>
    </row>
    <row r="47" spans="1:75" ht="13.5" customHeight="1">
      <c r="A47" s="69" t="s">
        <v>206</v>
      </c>
      <c r="B47" s="10" t="s">
        <v>207</v>
      </c>
      <c r="C47" s="8" t="s">
        <v>208</v>
      </c>
      <c r="D47" s="8"/>
      <c r="E47" s="10" t="s">
        <v>133</v>
      </c>
      <c r="F47" s="70">
        <v>100</v>
      </c>
      <c r="G47" s="70">
        <v>0</v>
      </c>
      <c r="H47" s="70">
        <f t="shared" si="94"/>
        <v>0</v>
      </c>
      <c r="I47" s="70">
        <f t="shared" si="95"/>
        <v>0</v>
      </c>
      <c r="J47" s="70">
        <f t="shared" si="96"/>
        <v>0</v>
      </c>
      <c r="K47" s="71" t="s">
        <v>111</v>
      </c>
      <c r="Z47" s="70">
        <f t="shared" si="97"/>
        <v>0</v>
      </c>
      <c r="AB47" s="70">
        <f t="shared" si="98"/>
        <v>0</v>
      </c>
      <c r="AC47" s="70">
        <f t="shared" si="99"/>
        <v>0</v>
      </c>
      <c r="AD47" s="70">
        <f t="shared" si="100"/>
        <v>0</v>
      </c>
      <c r="AE47" s="70">
        <f t="shared" si="101"/>
        <v>0</v>
      </c>
      <c r="AF47" s="70">
        <f t="shared" si="102"/>
        <v>0</v>
      </c>
      <c r="AG47" s="70">
        <f t="shared" si="103"/>
        <v>0</v>
      </c>
      <c r="AH47" s="70">
        <f t="shared" si="104"/>
        <v>0</v>
      </c>
      <c r="AI47" s="55"/>
      <c r="AJ47" s="70">
        <f t="shared" si="105"/>
        <v>0</v>
      </c>
      <c r="AK47" s="70">
        <f t="shared" si="106"/>
        <v>0</v>
      </c>
      <c r="AL47" s="70">
        <f t="shared" si="107"/>
        <v>0</v>
      </c>
      <c r="AN47" s="70">
        <v>21</v>
      </c>
      <c r="AO47" s="70">
        <f t="shared" si="108"/>
        <v>0</v>
      </c>
      <c r="AP47" s="70">
        <f t="shared" si="109"/>
        <v>0</v>
      </c>
      <c r="AQ47" s="72" t="s">
        <v>102</v>
      </c>
      <c r="AV47" s="70">
        <f t="shared" si="110"/>
        <v>0</v>
      </c>
      <c r="AW47" s="70">
        <f t="shared" si="111"/>
        <v>0</v>
      </c>
      <c r="AX47" s="70">
        <f t="shared" si="112"/>
        <v>0</v>
      </c>
      <c r="AY47" s="72" t="s">
        <v>151</v>
      </c>
      <c r="AZ47" s="72" t="s">
        <v>135</v>
      </c>
      <c r="BA47" s="55" t="s">
        <v>101</v>
      </c>
      <c r="BC47" s="70">
        <f t="shared" si="113"/>
        <v>0</v>
      </c>
      <c r="BD47" s="70">
        <f t="shared" si="114"/>
        <v>0</v>
      </c>
      <c r="BE47" s="70">
        <v>0</v>
      </c>
      <c r="BF47" s="70">
        <f>47</f>
        <v>47</v>
      </c>
      <c r="BH47" s="70">
        <f t="shared" si="115"/>
        <v>0</v>
      </c>
      <c r="BI47" s="70">
        <f t="shared" si="116"/>
        <v>0</v>
      </c>
      <c r="BJ47" s="70">
        <f t="shared" si="117"/>
        <v>0</v>
      </c>
      <c r="BK47" s="70"/>
      <c r="BL47" s="70"/>
      <c r="BW47" s="70">
        <v>21</v>
      </c>
    </row>
    <row r="48" spans="1:75" ht="13.5" customHeight="1">
      <c r="A48" s="69" t="s">
        <v>209</v>
      </c>
      <c r="B48" s="10" t="s">
        <v>210</v>
      </c>
      <c r="C48" s="8" t="s">
        <v>211</v>
      </c>
      <c r="D48" s="8"/>
      <c r="E48" s="10" t="s">
        <v>133</v>
      </c>
      <c r="F48" s="70">
        <v>15</v>
      </c>
      <c r="G48" s="70">
        <v>0</v>
      </c>
      <c r="H48" s="70">
        <f t="shared" si="94"/>
        <v>0</v>
      </c>
      <c r="I48" s="70">
        <f t="shared" si="95"/>
        <v>0</v>
      </c>
      <c r="J48" s="70">
        <f t="shared" si="96"/>
        <v>0</v>
      </c>
      <c r="K48" s="71" t="s">
        <v>111</v>
      </c>
      <c r="Z48" s="70">
        <f t="shared" si="97"/>
        <v>0</v>
      </c>
      <c r="AB48" s="70">
        <f t="shared" si="98"/>
        <v>0</v>
      </c>
      <c r="AC48" s="70">
        <f t="shared" si="99"/>
        <v>0</v>
      </c>
      <c r="AD48" s="70">
        <f t="shared" si="100"/>
        <v>0</v>
      </c>
      <c r="AE48" s="70">
        <f t="shared" si="101"/>
        <v>0</v>
      </c>
      <c r="AF48" s="70">
        <f t="shared" si="102"/>
        <v>0</v>
      </c>
      <c r="AG48" s="70">
        <f t="shared" si="103"/>
        <v>0</v>
      </c>
      <c r="AH48" s="70">
        <f t="shared" si="104"/>
        <v>0</v>
      </c>
      <c r="AI48" s="55"/>
      <c r="AJ48" s="70">
        <f t="shared" si="105"/>
        <v>0</v>
      </c>
      <c r="AK48" s="70">
        <f t="shared" si="106"/>
        <v>0</v>
      </c>
      <c r="AL48" s="70">
        <f t="shared" si="107"/>
        <v>0</v>
      </c>
      <c r="AN48" s="70">
        <v>21</v>
      </c>
      <c r="AO48" s="70">
        <f t="shared" si="108"/>
        <v>0</v>
      </c>
      <c r="AP48" s="70">
        <f t="shared" si="109"/>
        <v>0</v>
      </c>
      <c r="AQ48" s="72" t="s">
        <v>102</v>
      </c>
      <c r="AV48" s="70">
        <f t="shared" si="110"/>
        <v>0</v>
      </c>
      <c r="AW48" s="70">
        <f t="shared" si="111"/>
        <v>0</v>
      </c>
      <c r="AX48" s="70">
        <f t="shared" si="112"/>
        <v>0</v>
      </c>
      <c r="AY48" s="72" t="s">
        <v>151</v>
      </c>
      <c r="AZ48" s="72" t="s">
        <v>135</v>
      </c>
      <c r="BA48" s="55" t="s">
        <v>101</v>
      </c>
      <c r="BC48" s="70">
        <f t="shared" si="113"/>
        <v>0</v>
      </c>
      <c r="BD48" s="70">
        <f t="shared" si="114"/>
        <v>0</v>
      </c>
      <c r="BE48" s="70">
        <v>0</v>
      </c>
      <c r="BF48" s="70">
        <f>48</f>
        <v>48</v>
      </c>
      <c r="BH48" s="70">
        <f t="shared" si="115"/>
        <v>0</v>
      </c>
      <c r="BI48" s="70">
        <f t="shared" si="116"/>
        <v>0</v>
      </c>
      <c r="BJ48" s="70">
        <f t="shared" si="117"/>
        <v>0</v>
      </c>
      <c r="BK48" s="70"/>
      <c r="BL48" s="70"/>
      <c r="BW48" s="70">
        <v>21</v>
      </c>
    </row>
    <row r="49" spans="1:75" ht="13.5" customHeight="1">
      <c r="A49" s="69" t="s">
        <v>212</v>
      </c>
      <c r="B49" s="10" t="s">
        <v>213</v>
      </c>
      <c r="C49" s="8" t="s">
        <v>214</v>
      </c>
      <c r="D49" s="8"/>
      <c r="E49" s="10" t="s">
        <v>142</v>
      </c>
      <c r="F49" s="70">
        <v>3</v>
      </c>
      <c r="G49" s="70">
        <v>0</v>
      </c>
      <c r="H49" s="70">
        <f t="shared" si="94"/>
        <v>0</v>
      </c>
      <c r="I49" s="70">
        <f t="shared" si="95"/>
        <v>0</v>
      </c>
      <c r="J49" s="70">
        <f t="shared" si="96"/>
        <v>0</v>
      </c>
      <c r="K49" s="71" t="s">
        <v>111</v>
      </c>
      <c r="Z49" s="70">
        <f t="shared" si="97"/>
        <v>0</v>
      </c>
      <c r="AB49" s="70">
        <f t="shared" si="98"/>
        <v>0</v>
      </c>
      <c r="AC49" s="70">
        <f t="shared" si="99"/>
        <v>0</v>
      </c>
      <c r="AD49" s="70">
        <f t="shared" si="100"/>
        <v>0</v>
      </c>
      <c r="AE49" s="70">
        <f t="shared" si="101"/>
        <v>0</v>
      </c>
      <c r="AF49" s="70">
        <f t="shared" si="102"/>
        <v>0</v>
      </c>
      <c r="AG49" s="70">
        <f t="shared" si="103"/>
        <v>0</v>
      </c>
      <c r="AH49" s="70">
        <f t="shared" si="104"/>
        <v>0</v>
      </c>
      <c r="AI49" s="55"/>
      <c r="AJ49" s="70">
        <f t="shared" si="105"/>
        <v>0</v>
      </c>
      <c r="AK49" s="70">
        <f t="shared" si="106"/>
        <v>0</v>
      </c>
      <c r="AL49" s="70">
        <f t="shared" si="107"/>
        <v>0</v>
      </c>
      <c r="AN49" s="70">
        <v>21</v>
      </c>
      <c r="AO49" s="70">
        <f t="shared" si="108"/>
        <v>0</v>
      </c>
      <c r="AP49" s="70">
        <f t="shared" si="109"/>
        <v>0</v>
      </c>
      <c r="AQ49" s="72" t="s">
        <v>102</v>
      </c>
      <c r="AV49" s="70">
        <f t="shared" si="110"/>
        <v>0</v>
      </c>
      <c r="AW49" s="70">
        <f t="shared" si="111"/>
        <v>0</v>
      </c>
      <c r="AX49" s="70">
        <f t="shared" si="112"/>
        <v>0</v>
      </c>
      <c r="AY49" s="72" t="s">
        <v>151</v>
      </c>
      <c r="AZ49" s="72" t="s">
        <v>135</v>
      </c>
      <c r="BA49" s="55" t="s">
        <v>101</v>
      </c>
      <c r="BC49" s="70">
        <f t="shared" si="113"/>
        <v>0</v>
      </c>
      <c r="BD49" s="70">
        <f t="shared" si="114"/>
        <v>0</v>
      </c>
      <c r="BE49" s="70">
        <v>0</v>
      </c>
      <c r="BF49" s="70">
        <f>49</f>
        <v>49</v>
      </c>
      <c r="BH49" s="70">
        <f t="shared" si="115"/>
        <v>0</v>
      </c>
      <c r="BI49" s="70">
        <f t="shared" si="116"/>
        <v>0</v>
      </c>
      <c r="BJ49" s="70">
        <f t="shared" si="117"/>
        <v>0</v>
      </c>
      <c r="BK49" s="70"/>
      <c r="BL49" s="70"/>
      <c r="BW49" s="70">
        <v>21</v>
      </c>
    </row>
    <row r="50" spans="1:75" ht="13.5" customHeight="1">
      <c r="A50" s="69" t="s">
        <v>215</v>
      </c>
      <c r="B50" s="10" t="s">
        <v>216</v>
      </c>
      <c r="C50" s="8" t="s">
        <v>217</v>
      </c>
      <c r="D50" s="8"/>
      <c r="E50" s="10" t="s">
        <v>142</v>
      </c>
      <c r="F50" s="70">
        <v>7</v>
      </c>
      <c r="G50" s="70">
        <v>0</v>
      </c>
      <c r="H50" s="70">
        <f t="shared" si="94"/>
        <v>0</v>
      </c>
      <c r="I50" s="70">
        <f t="shared" si="95"/>
        <v>0</v>
      </c>
      <c r="J50" s="70">
        <f t="shared" si="96"/>
        <v>0</v>
      </c>
      <c r="K50" s="71" t="s">
        <v>111</v>
      </c>
      <c r="Z50" s="70">
        <f t="shared" si="97"/>
        <v>0</v>
      </c>
      <c r="AB50" s="70">
        <f t="shared" si="98"/>
        <v>0</v>
      </c>
      <c r="AC50" s="70">
        <f t="shared" si="99"/>
        <v>0</v>
      </c>
      <c r="AD50" s="70">
        <f t="shared" si="100"/>
        <v>0</v>
      </c>
      <c r="AE50" s="70">
        <f t="shared" si="101"/>
        <v>0</v>
      </c>
      <c r="AF50" s="70">
        <f t="shared" si="102"/>
        <v>0</v>
      </c>
      <c r="AG50" s="70">
        <f t="shared" si="103"/>
        <v>0</v>
      </c>
      <c r="AH50" s="70">
        <f t="shared" si="104"/>
        <v>0</v>
      </c>
      <c r="AI50" s="55"/>
      <c r="AJ50" s="70">
        <f t="shared" si="105"/>
        <v>0</v>
      </c>
      <c r="AK50" s="70">
        <f t="shared" si="106"/>
        <v>0</v>
      </c>
      <c r="AL50" s="70">
        <f t="shared" si="107"/>
        <v>0</v>
      </c>
      <c r="AN50" s="70">
        <v>21</v>
      </c>
      <c r="AO50" s="70">
        <f t="shared" si="108"/>
        <v>0</v>
      </c>
      <c r="AP50" s="70">
        <f t="shared" si="109"/>
        <v>0</v>
      </c>
      <c r="AQ50" s="72" t="s">
        <v>102</v>
      </c>
      <c r="AV50" s="70">
        <f t="shared" si="110"/>
        <v>0</v>
      </c>
      <c r="AW50" s="70">
        <f t="shared" si="111"/>
        <v>0</v>
      </c>
      <c r="AX50" s="70">
        <f t="shared" si="112"/>
        <v>0</v>
      </c>
      <c r="AY50" s="72" t="s">
        <v>151</v>
      </c>
      <c r="AZ50" s="72" t="s">
        <v>135</v>
      </c>
      <c r="BA50" s="55" t="s">
        <v>101</v>
      </c>
      <c r="BC50" s="70">
        <f t="shared" si="113"/>
        <v>0</v>
      </c>
      <c r="BD50" s="70">
        <f t="shared" si="114"/>
        <v>0</v>
      </c>
      <c r="BE50" s="70">
        <v>0</v>
      </c>
      <c r="BF50" s="70">
        <f>50</f>
        <v>50</v>
      </c>
      <c r="BH50" s="70">
        <f t="shared" si="115"/>
        <v>0</v>
      </c>
      <c r="BI50" s="70">
        <f t="shared" si="116"/>
        <v>0</v>
      </c>
      <c r="BJ50" s="70">
        <f t="shared" si="117"/>
        <v>0</v>
      </c>
      <c r="BK50" s="70"/>
      <c r="BL50" s="70"/>
      <c r="BW50" s="70">
        <v>21</v>
      </c>
    </row>
    <row r="51" spans="1:75" ht="13.5" customHeight="1">
      <c r="A51" s="69" t="s">
        <v>218</v>
      </c>
      <c r="B51" s="10" t="s">
        <v>219</v>
      </c>
      <c r="C51" s="8" t="s">
        <v>220</v>
      </c>
      <c r="D51" s="8"/>
      <c r="E51" s="10" t="s">
        <v>142</v>
      </c>
      <c r="F51" s="70">
        <v>7</v>
      </c>
      <c r="G51" s="70">
        <v>0</v>
      </c>
      <c r="H51" s="70">
        <f t="shared" si="94"/>
        <v>0</v>
      </c>
      <c r="I51" s="70">
        <f t="shared" si="95"/>
        <v>0</v>
      </c>
      <c r="J51" s="70">
        <f t="shared" si="96"/>
        <v>0</v>
      </c>
      <c r="K51" s="71" t="s">
        <v>111</v>
      </c>
      <c r="Z51" s="70">
        <f t="shared" si="97"/>
        <v>0</v>
      </c>
      <c r="AB51" s="70">
        <f t="shared" si="98"/>
        <v>0</v>
      </c>
      <c r="AC51" s="70">
        <f t="shared" si="99"/>
        <v>0</v>
      </c>
      <c r="AD51" s="70">
        <f t="shared" si="100"/>
        <v>0</v>
      </c>
      <c r="AE51" s="70">
        <f t="shared" si="101"/>
        <v>0</v>
      </c>
      <c r="AF51" s="70">
        <f t="shared" si="102"/>
        <v>0</v>
      </c>
      <c r="AG51" s="70">
        <f t="shared" si="103"/>
        <v>0</v>
      </c>
      <c r="AH51" s="70">
        <f t="shared" si="104"/>
        <v>0</v>
      </c>
      <c r="AI51" s="55"/>
      <c r="AJ51" s="70">
        <f t="shared" si="105"/>
        <v>0</v>
      </c>
      <c r="AK51" s="70">
        <f t="shared" si="106"/>
        <v>0</v>
      </c>
      <c r="AL51" s="70">
        <f t="shared" si="107"/>
        <v>0</v>
      </c>
      <c r="AN51" s="70">
        <v>21</v>
      </c>
      <c r="AO51" s="70">
        <f t="shared" si="108"/>
        <v>0</v>
      </c>
      <c r="AP51" s="70">
        <f t="shared" si="109"/>
        <v>0</v>
      </c>
      <c r="AQ51" s="72" t="s">
        <v>102</v>
      </c>
      <c r="AV51" s="70">
        <f t="shared" si="110"/>
        <v>0</v>
      </c>
      <c r="AW51" s="70">
        <f t="shared" si="111"/>
        <v>0</v>
      </c>
      <c r="AX51" s="70">
        <f t="shared" si="112"/>
        <v>0</v>
      </c>
      <c r="AY51" s="72" t="s">
        <v>151</v>
      </c>
      <c r="AZ51" s="72" t="s">
        <v>135</v>
      </c>
      <c r="BA51" s="55" t="s">
        <v>101</v>
      </c>
      <c r="BC51" s="70">
        <f t="shared" si="113"/>
        <v>0</v>
      </c>
      <c r="BD51" s="70">
        <f t="shared" si="114"/>
        <v>0</v>
      </c>
      <c r="BE51" s="70">
        <v>0</v>
      </c>
      <c r="BF51" s="70">
        <f>51</f>
        <v>51</v>
      </c>
      <c r="BH51" s="70">
        <f t="shared" si="115"/>
        <v>0</v>
      </c>
      <c r="BI51" s="70">
        <f t="shared" si="116"/>
        <v>0</v>
      </c>
      <c r="BJ51" s="70">
        <f t="shared" si="117"/>
        <v>0</v>
      </c>
      <c r="BK51" s="70"/>
      <c r="BL51" s="70"/>
      <c r="BW51" s="70">
        <v>21</v>
      </c>
    </row>
    <row r="52" spans="1:75" ht="13.5" customHeight="1">
      <c r="A52" s="69" t="s">
        <v>221</v>
      </c>
      <c r="B52" s="10" t="s">
        <v>222</v>
      </c>
      <c r="C52" s="8" t="s">
        <v>223</v>
      </c>
      <c r="D52" s="8"/>
      <c r="E52" s="10" t="s">
        <v>142</v>
      </c>
      <c r="F52" s="70">
        <v>6</v>
      </c>
      <c r="G52" s="70">
        <v>0</v>
      </c>
      <c r="H52" s="70">
        <f t="shared" si="94"/>
        <v>0</v>
      </c>
      <c r="I52" s="70">
        <f t="shared" si="95"/>
        <v>0</v>
      </c>
      <c r="J52" s="70">
        <f t="shared" si="96"/>
        <v>0</v>
      </c>
      <c r="K52" s="71" t="s">
        <v>111</v>
      </c>
      <c r="Z52" s="70">
        <f t="shared" si="97"/>
        <v>0</v>
      </c>
      <c r="AB52" s="70">
        <f t="shared" si="98"/>
        <v>0</v>
      </c>
      <c r="AC52" s="70">
        <f t="shared" si="99"/>
        <v>0</v>
      </c>
      <c r="AD52" s="70">
        <f t="shared" si="100"/>
        <v>0</v>
      </c>
      <c r="AE52" s="70">
        <f t="shared" si="101"/>
        <v>0</v>
      </c>
      <c r="AF52" s="70">
        <f t="shared" si="102"/>
        <v>0</v>
      </c>
      <c r="AG52" s="70">
        <f t="shared" si="103"/>
        <v>0</v>
      </c>
      <c r="AH52" s="70">
        <f t="shared" si="104"/>
        <v>0</v>
      </c>
      <c r="AI52" s="55"/>
      <c r="AJ52" s="70">
        <f t="shared" si="105"/>
        <v>0</v>
      </c>
      <c r="AK52" s="70">
        <f t="shared" si="106"/>
        <v>0</v>
      </c>
      <c r="AL52" s="70">
        <f t="shared" si="107"/>
        <v>0</v>
      </c>
      <c r="AN52" s="70">
        <v>21</v>
      </c>
      <c r="AO52" s="70">
        <f t="shared" si="108"/>
        <v>0</v>
      </c>
      <c r="AP52" s="70">
        <f t="shared" si="109"/>
        <v>0</v>
      </c>
      <c r="AQ52" s="72" t="s">
        <v>102</v>
      </c>
      <c r="AV52" s="70">
        <f t="shared" si="110"/>
        <v>0</v>
      </c>
      <c r="AW52" s="70">
        <f t="shared" si="111"/>
        <v>0</v>
      </c>
      <c r="AX52" s="70">
        <f t="shared" si="112"/>
        <v>0</v>
      </c>
      <c r="AY52" s="72" t="s">
        <v>151</v>
      </c>
      <c r="AZ52" s="72" t="s">
        <v>135</v>
      </c>
      <c r="BA52" s="55" t="s">
        <v>101</v>
      </c>
      <c r="BC52" s="70">
        <f t="shared" si="113"/>
        <v>0</v>
      </c>
      <c r="BD52" s="70">
        <f t="shared" si="114"/>
        <v>0</v>
      </c>
      <c r="BE52" s="70">
        <v>0</v>
      </c>
      <c r="BF52" s="70">
        <f>52</f>
        <v>52</v>
      </c>
      <c r="BH52" s="70">
        <f t="shared" si="115"/>
        <v>0</v>
      </c>
      <c r="BI52" s="70">
        <f t="shared" si="116"/>
        <v>0</v>
      </c>
      <c r="BJ52" s="70">
        <f t="shared" si="117"/>
        <v>0</v>
      </c>
      <c r="BK52" s="70"/>
      <c r="BL52" s="70"/>
      <c r="BW52" s="70">
        <v>21</v>
      </c>
    </row>
    <row r="53" spans="1:75" ht="13.5" customHeight="1">
      <c r="A53" s="69" t="s">
        <v>224</v>
      </c>
      <c r="B53" s="10" t="s">
        <v>225</v>
      </c>
      <c r="C53" s="8" t="s">
        <v>226</v>
      </c>
      <c r="D53" s="8"/>
      <c r="E53" s="10" t="s">
        <v>142</v>
      </c>
      <c r="F53" s="70">
        <v>6</v>
      </c>
      <c r="G53" s="70">
        <v>0</v>
      </c>
      <c r="H53" s="70">
        <f t="shared" si="94"/>
        <v>0</v>
      </c>
      <c r="I53" s="70">
        <f t="shared" si="95"/>
        <v>0</v>
      </c>
      <c r="J53" s="70">
        <f t="shared" si="96"/>
        <v>0</v>
      </c>
      <c r="K53" s="71" t="s">
        <v>111</v>
      </c>
      <c r="Z53" s="70">
        <f t="shared" si="97"/>
        <v>0</v>
      </c>
      <c r="AB53" s="70">
        <f t="shared" si="98"/>
        <v>0</v>
      </c>
      <c r="AC53" s="70">
        <f t="shared" si="99"/>
        <v>0</v>
      </c>
      <c r="AD53" s="70">
        <f t="shared" si="100"/>
        <v>0</v>
      </c>
      <c r="AE53" s="70">
        <f t="shared" si="101"/>
        <v>0</v>
      </c>
      <c r="AF53" s="70">
        <f t="shared" si="102"/>
        <v>0</v>
      </c>
      <c r="AG53" s="70">
        <f t="shared" si="103"/>
        <v>0</v>
      </c>
      <c r="AH53" s="70">
        <f t="shared" si="104"/>
        <v>0</v>
      </c>
      <c r="AI53" s="55"/>
      <c r="AJ53" s="70">
        <f t="shared" si="105"/>
        <v>0</v>
      </c>
      <c r="AK53" s="70">
        <f t="shared" si="106"/>
        <v>0</v>
      </c>
      <c r="AL53" s="70">
        <f t="shared" si="107"/>
        <v>0</v>
      </c>
      <c r="AN53" s="70">
        <v>21</v>
      </c>
      <c r="AO53" s="70">
        <f t="shared" si="108"/>
        <v>0</v>
      </c>
      <c r="AP53" s="70">
        <f t="shared" si="109"/>
        <v>0</v>
      </c>
      <c r="AQ53" s="72" t="s">
        <v>102</v>
      </c>
      <c r="AV53" s="70">
        <f t="shared" si="110"/>
        <v>0</v>
      </c>
      <c r="AW53" s="70">
        <f t="shared" si="111"/>
        <v>0</v>
      </c>
      <c r="AX53" s="70">
        <f t="shared" si="112"/>
        <v>0</v>
      </c>
      <c r="AY53" s="72" t="s">
        <v>151</v>
      </c>
      <c r="AZ53" s="72" t="s">
        <v>135</v>
      </c>
      <c r="BA53" s="55" t="s">
        <v>101</v>
      </c>
      <c r="BC53" s="70">
        <f t="shared" si="113"/>
        <v>0</v>
      </c>
      <c r="BD53" s="70">
        <f t="shared" si="114"/>
        <v>0</v>
      </c>
      <c r="BE53" s="70">
        <v>0</v>
      </c>
      <c r="BF53" s="70">
        <f>53</f>
        <v>53</v>
      </c>
      <c r="BH53" s="70">
        <f t="shared" si="115"/>
        <v>0</v>
      </c>
      <c r="BI53" s="70">
        <f t="shared" si="116"/>
        <v>0</v>
      </c>
      <c r="BJ53" s="70">
        <f t="shared" si="117"/>
        <v>0</v>
      </c>
      <c r="BK53" s="70"/>
      <c r="BL53" s="70"/>
      <c r="BW53" s="70">
        <v>21</v>
      </c>
    </row>
    <row r="54" spans="1:75" ht="13.5" customHeight="1">
      <c r="A54" s="69" t="s">
        <v>227</v>
      </c>
      <c r="B54" s="10" t="s">
        <v>228</v>
      </c>
      <c r="C54" s="8" t="s">
        <v>229</v>
      </c>
      <c r="D54" s="8"/>
      <c r="E54" s="10" t="s">
        <v>142</v>
      </c>
      <c r="F54" s="70">
        <v>1</v>
      </c>
      <c r="G54" s="70">
        <v>0</v>
      </c>
      <c r="H54" s="70">
        <f t="shared" si="94"/>
        <v>0</v>
      </c>
      <c r="I54" s="70">
        <f t="shared" si="95"/>
        <v>0</v>
      </c>
      <c r="J54" s="70">
        <f t="shared" si="96"/>
        <v>0</v>
      </c>
      <c r="K54" s="71" t="s">
        <v>111</v>
      </c>
      <c r="Z54" s="70">
        <f t="shared" si="97"/>
        <v>0</v>
      </c>
      <c r="AB54" s="70">
        <f t="shared" si="98"/>
        <v>0</v>
      </c>
      <c r="AC54" s="70">
        <f t="shared" si="99"/>
        <v>0</v>
      </c>
      <c r="AD54" s="70">
        <f t="shared" si="100"/>
        <v>0</v>
      </c>
      <c r="AE54" s="70">
        <f t="shared" si="101"/>
        <v>0</v>
      </c>
      <c r="AF54" s="70">
        <f t="shared" si="102"/>
        <v>0</v>
      </c>
      <c r="AG54" s="70">
        <f t="shared" si="103"/>
        <v>0</v>
      </c>
      <c r="AH54" s="70">
        <f t="shared" si="104"/>
        <v>0</v>
      </c>
      <c r="AI54" s="55"/>
      <c r="AJ54" s="70">
        <f t="shared" si="105"/>
        <v>0</v>
      </c>
      <c r="AK54" s="70">
        <f t="shared" si="106"/>
        <v>0</v>
      </c>
      <c r="AL54" s="70">
        <f t="shared" si="107"/>
        <v>0</v>
      </c>
      <c r="AN54" s="70">
        <v>21</v>
      </c>
      <c r="AO54" s="70">
        <f t="shared" si="108"/>
        <v>0</v>
      </c>
      <c r="AP54" s="70">
        <f t="shared" si="109"/>
        <v>0</v>
      </c>
      <c r="AQ54" s="72" t="s">
        <v>102</v>
      </c>
      <c r="AV54" s="70">
        <f t="shared" si="110"/>
        <v>0</v>
      </c>
      <c r="AW54" s="70">
        <f t="shared" si="111"/>
        <v>0</v>
      </c>
      <c r="AX54" s="70">
        <f t="shared" si="112"/>
        <v>0</v>
      </c>
      <c r="AY54" s="72" t="s">
        <v>151</v>
      </c>
      <c r="AZ54" s="72" t="s">
        <v>135</v>
      </c>
      <c r="BA54" s="55" t="s">
        <v>101</v>
      </c>
      <c r="BC54" s="70">
        <f t="shared" si="113"/>
        <v>0</v>
      </c>
      <c r="BD54" s="70">
        <f t="shared" si="114"/>
        <v>0</v>
      </c>
      <c r="BE54" s="70">
        <v>0</v>
      </c>
      <c r="BF54" s="70">
        <f>54</f>
        <v>54</v>
      </c>
      <c r="BH54" s="70">
        <f t="shared" si="115"/>
        <v>0</v>
      </c>
      <c r="BI54" s="70">
        <f t="shared" si="116"/>
        <v>0</v>
      </c>
      <c r="BJ54" s="70">
        <f t="shared" si="117"/>
        <v>0</v>
      </c>
      <c r="BK54" s="70"/>
      <c r="BL54" s="70"/>
      <c r="BW54" s="70">
        <v>21</v>
      </c>
    </row>
    <row r="55" spans="1:75" ht="13.5" customHeight="1">
      <c r="A55" s="69" t="s">
        <v>230</v>
      </c>
      <c r="B55" s="10" t="s">
        <v>231</v>
      </c>
      <c r="C55" s="8" t="s">
        <v>232</v>
      </c>
      <c r="D55" s="8"/>
      <c r="E55" s="10" t="s">
        <v>142</v>
      </c>
      <c r="F55" s="70">
        <v>8</v>
      </c>
      <c r="G55" s="70">
        <v>0</v>
      </c>
      <c r="H55" s="70">
        <f t="shared" si="94"/>
        <v>0</v>
      </c>
      <c r="I55" s="70">
        <f t="shared" si="95"/>
        <v>0</v>
      </c>
      <c r="J55" s="70">
        <f t="shared" si="96"/>
        <v>0</v>
      </c>
      <c r="K55" s="71" t="s">
        <v>111</v>
      </c>
      <c r="Z55" s="70">
        <f t="shared" si="97"/>
        <v>0</v>
      </c>
      <c r="AB55" s="70">
        <f t="shared" si="98"/>
        <v>0</v>
      </c>
      <c r="AC55" s="70">
        <f t="shared" si="99"/>
        <v>0</v>
      </c>
      <c r="AD55" s="70">
        <f t="shared" si="100"/>
        <v>0</v>
      </c>
      <c r="AE55" s="70">
        <f t="shared" si="101"/>
        <v>0</v>
      </c>
      <c r="AF55" s="70">
        <f t="shared" si="102"/>
        <v>0</v>
      </c>
      <c r="AG55" s="70">
        <f t="shared" si="103"/>
        <v>0</v>
      </c>
      <c r="AH55" s="70">
        <f t="shared" si="104"/>
        <v>0</v>
      </c>
      <c r="AI55" s="55"/>
      <c r="AJ55" s="70">
        <f t="shared" si="105"/>
        <v>0</v>
      </c>
      <c r="AK55" s="70">
        <f t="shared" si="106"/>
        <v>0</v>
      </c>
      <c r="AL55" s="70">
        <f t="shared" si="107"/>
        <v>0</v>
      </c>
      <c r="AN55" s="70">
        <v>21</v>
      </c>
      <c r="AO55" s="70">
        <f t="shared" si="108"/>
        <v>0</v>
      </c>
      <c r="AP55" s="70">
        <f t="shared" si="109"/>
        <v>0</v>
      </c>
      <c r="AQ55" s="72" t="s">
        <v>102</v>
      </c>
      <c r="AV55" s="70">
        <f t="shared" si="110"/>
        <v>0</v>
      </c>
      <c r="AW55" s="70">
        <f t="shared" si="111"/>
        <v>0</v>
      </c>
      <c r="AX55" s="70">
        <f t="shared" si="112"/>
        <v>0</v>
      </c>
      <c r="AY55" s="72" t="s">
        <v>151</v>
      </c>
      <c r="AZ55" s="72" t="s">
        <v>135</v>
      </c>
      <c r="BA55" s="55" t="s">
        <v>101</v>
      </c>
      <c r="BC55" s="70">
        <f t="shared" si="113"/>
        <v>0</v>
      </c>
      <c r="BD55" s="70">
        <f t="shared" si="114"/>
        <v>0</v>
      </c>
      <c r="BE55" s="70">
        <v>0</v>
      </c>
      <c r="BF55" s="70">
        <f>55</f>
        <v>55</v>
      </c>
      <c r="BH55" s="70">
        <f t="shared" si="115"/>
        <v>0</v>
      </c>
      <c r="BI55" s="70">
        <f t="shared" si="116"/>
        <v>0</v>
      </c>
      <c r="BJ55" s="70">
        <f t="shared" si="117"/>
        <v>0</v>
      </c>
      <c r="BK55" s="70"/>
      <c r="BL55" s="70"/>
      <c r="BW55" s="70">
        <v>21</v>
      </c>
    </row>
    <row r="56" spans="1:75" ht="13.5" customHeight="1">
      <c r="A56" s="69" t="s">
        <v>233</v>
      </c>
      <c r="B56" s="10" t="s">
        <v>234</v>
      </c>
      <c r="C56" s="8" t="s">
        <v>235</v>
      </c>
      <c r="D56" s="8"/>
      <c r="E56" s="10" t="s">
        <v>142</v>
      </c>
      <c r="F56" s="70">
        <v>1</v>
      </c>
      <c r="G56" s="70">
        <v>0</v>
      </c>
      <c r="H56" s="70">
        <f t="shared" si="94"/>
        <v>0</v>
      </c>
      <c r="I56" s="70">
        <f t="shared" si="95"/>
        <v>0</v>
      </c>
      <c r="J56" s="70">
        <f t="shared" si="96"/>
        <v>0</v>
      </c>
      <c r="K56" s="71" t="s">
        <v>111</v>
      </c>
      <c r="Z56" s="70">
        <f t="shared" si="97"/>
        <v>0</v>
      </c>
      <c r="AB56" s="70">
        <f t="shared" si="98"/>
        <v>0</v>
      </c>
      <c r="AC56" s="70">
        <f t="shared" si="99"/>
        <v>0</v>
      </c>
      <c r="AD56" s="70">
        <f t="shared" si="100"/>
        <v>0</v>
      </c>
      <c r="AE56" s="70">
        <f t="shared" si="101"/>
        <v>0</v>
      </c>
      <c r="AF56" s="70">
        <f t="shared" si="102"/>
        <v>0</v>
      </c>
      <c r="AG56" s="70">
        <f t="shared" si="103"/>
        <v>0</v>
      </c>
      <c r="AH56" s="70">
        <f t="shared" si="104"/>
        <v>0</v>
      </c>
      <c r="AI56" s="55"/>
      <c r="AJ56" s="70">
        <f t="shared" si="105"/>
        <v>0</v>
      </c>
      <c r="AK56" s="70">
        <f t="shared" si="106"/>
        <v>0</v>
      </c>
      <c r="AL56" s="70">
        <f t="shared" si="107"/>
        <v>0</v>
      </c>
      <c r="AN56" s="70">
        <v>21</v>
      </c>
      <c r="AO56" s="70">
        <f t="shared" si="108"/>
        <v>0</v>
      </c>
      <c r="AP56" s="70">
        <f t="shared" si="109"/>
        <v>0</v>
      </c>
      <c r="AQ56" s="72" t="s">
        <v>102</v>
      </c>
      <c r="AV56" s="70">
        <f t="shared" si="110"/>
        <v>0</v>
      </c>
      <c r="AW56" s="70">
        <f t="shared" si="111"/>
        <v>0</v>
      </c>
      <c r="AX56" s="70">
        <f t="shared" si="112"/>
        <v>0</v>
      </c>
      <c r="AY56" s="72" t="s">
        <v>151</v>
      </c>
      <c r="AZ56" s="72" t="s">
        <v>135</v>
      </c>
      <c r="BA56" s="55" t="s">
        <v>101</v>
      </c>
      <c r="BC56" s="70">
        <f t="shared" si="113"/>
        <v>0</v>
      </c>
      <c r="BD56" s="70">
        <f t="shared" si="114"/>
        <v>0</v>
      </c>
      <c r="BE56" s="70">
        <v>0</v>
      </c>
      <c r="BF56" s="70">
        <f>56</f>
        <v>56</v>
      </c>
      <c r="BH56" s="70">
        <f t="shared" si="115"/>
        <v>0</v>
      </c>
      <c r="BI56" s="70">
        <f t="shared" si="116"/>
        <v>0</v>
      </c>
      <c r="BJ56" s="70">
        <f t="shared" si="117"/>
        <v>0</v>
      </c>
      <c r="BK56" s="70"/>
      <c r="BL56" s="70"/>
      <c r="BW56" s="70">
        <v>21</v>
      </c>
    </row>
    <row r="57" spans="1:75" ht="13.5" customHeight="1">
      <c r="A57" s="69" t="s">
        <v>236</v>
      </c>
      <c r="B57" s="10" t="s">
        <v>237</v>
      </c>
      <c r="C57" s="8" t="s">
        <v>238</v>
      </c>
      <c r="D57" s="8"/>
      <c r="E57" s="10" t="s">
        <v>142</v>
      </c>
      <c r="F57" s="70">
        <v>3</v>
      </c>
      <c r="G57" s="70">
        <v>0</v>
      </c>
      <c r="H57" s="70">
        <f t="shared" si="94"/>
        <v>0</v>
      </c>
      <c r="I57" s="70">
        <f t="shared" si="95"/>
        <v>0</v>
      </c>
      <c r="J57" s="70">
        <f t="shared" si="96"/>
        <v>0</v>
      </c>
      <c r="K57" s="71" t="s">
        <v>111</v>
      </c>
      <c r="Z57" s="70">
        <f t="shared" si="97"/>
        <v>0</v>
      </c>
      <c r="AB57" s="70">
        <f t="shared" si="98"/>
        <v>0</v>
      </c>
      <c r="AC57" s="70">
        <f t="shared" si="99"/>
        <v>0</v>
      </c>
      <c r="AD57" s="70">
        <f t="shared" si="100"/>
        <v>0</v>
      </c>
      <c r="AE57" s="70">
        <f t="shared" si="101"/>
        <v>0</v>
      </c>
      <c r="AF57" s="70">
        <f t="shared" si="102"/>
        <v>0</v>
      </c>
      <c r="AG57" s="70">
        <f t="shared" si="103"/>
        <v>0</v>
      </c>
      <c r="AH57" s="70">
        <f t="shared" si="104"/>
        <v>0</v>
      </c>
      <c r="AI57" s="55"/>
      <c r="AJ57" s="70">
        <f t="shared" si="105"/>
        <v>0</v>
      </c>
      <c r="AK57" s="70">
        <f t="shared" si="106"/>
        <v>0</v>
      </c>
      <c r="AL57" s="70">
        <f t="shared" si="107"/>
        <v>0</v>
      </c>
      <c r="AN57" s="70">
        <v>21</v>
      </c>
      <c r="AO57" s="70">
        <f t="shared" si="108"/>
        <v>0</v>
      </c>
      <c r="AP57" s="70">
        <f t="shared" si="109"/>
        <v>0</v>
      </c>
      <c r="AQ57" s="72" t="s">
        <v>102</v>
      </c>
      <c r="AV57" s="70">
        <f t="shared" si="110"/>
        <v>0</v>
      </c>
      <c r="AW57" s="70">
        <f t="shared" si="111"/>
        <v>0</v>
      </c>
      <c r="AX57" s="70">
        <f t="shared" si="112"/>
        <v>0</v>
      </c>
      <c r="AY57" s="72" t="s">
        <v>151</v>
      </c>
      <c r="AZ57" s="72" t="s">
        <v>135</v>
      </c>
      <c r="BA57" s="55" t="s">
        <v>101</v>
      </c>
      <c r="BC57" s="70">
        <f t="shared" si="113"/>
        <v>0</v>
      </c>
      <c r="BD57" s="70">
        <f t="shared" si="114"/>
        <v>0</v>
      </c>
      <c r="BE57" s="70">
        <v>0</v>
      </c>
      <c r="BF57" s="70">
        <f>57</f>
        <v>57</v>
      </c>
      <c r="BH57" s="70">
        <f t="shared" si="115"/>
        <v>0</v>
      </c>
      <c r="BI57" s="70">
        <f t="shared" si="116"/>
        <v>0</v>
      </c>
      <c r="BJ57" s="70">
        <f t="shared" si="117"/>
        <v>0</v>
      </c>
      <c r="BK57" s="70"/>
      <c r="BL57" s="70"/>
      <c r="BW57" s="70">
        <v>21</v>
      </c>
    </row>
    <row r="58" spans="1:75" ht="13.5" customHeight="1">
      <c r="A58" s="69" t="s">
        <v>239</v>
      </c>
      <c r="B58" s="10" t="s">
        <v>240</v>
      </c>
      <c r="C58" s="8" t="s">
        <v>241</v>
      </c>
      <c r="D58" s="8"/>
      <c r="E58" s="10" t="s">
        <v>142</v>
      </c>
      <c r="F58" s="70">
        <v>29</v>
      </c>
      <c r="G58" s="70">
        <v>0</v>
      </c>
      <c r="H58" s="70">
        <f t="shared" si="94"/>
        <v>0</v>
      </c>
      <c r="I58" s="70">
        <f t="shared" si="95"/>
        <v>0</v>
      </c>
      <c r="J58" s="70">
        <f t="shared" si="96"/>
        <v>0</v>
      </c>
      <c r="K58" s="71" t="s">
        <v>111</v>
      </c>
      <c r="Z58" s="70">
        <f t="shared" si="97"/>
        <v>0</v>
      </c>
      <c r="AB58" s="70">
        <f t="shared" si="98"/>
        <v>0</v>
      </c>
      <c r="AC58" s="70">
        <f t="shared" si="99"/>
        <v>0</v>
      </c>
      <c r="AD58" s="70">
        <f t="shared" si="100"/>
        <v>0</v>
      </c>
      <c r="AE58" s="70">
        <f t="shared" si="101"/>
        <v>0</v>
      </c>
      <c r="AF58" s="70">
        <f t="shared" si="102"/>
        <v>0</v>
      </c>
      <c r="AG58" s="70">
        <f t="shared" si="103"/>
        <v>0</v>
      </c>
      <c r="AH58" s="70">
        <f t="shared" si="104"/>
        <v>0</v>
      </c>
      <c r="AI58" s="55"/>
      <c r="AJ58" s="70">
        <f t="shared" si="105"/>
        <v>0</v>
      </c>
      <c r="AK58" s="70">
        <f t="shared" si="106"/>
        <v>0</v>
      </c>
      <c r="AL58" s="70">
        <f t="shared" si="107"/>
        <v>0</v>
      </c>
      <c r="AN58" s="70">
        <v>21</v>
      </c>
      <c r="AO58" s="70">
        <f t="shared" si="108"/>
        <v>0</v>
      </c>
      <c r="AP58" s="70">
        <f t="shared" si="109"/>
        <v>0</v>
      </c>
      <c r="AQ58" s="72" t="s">
        <v>102</v>
      </c>
      <c r="AV58" s="70">
        <f t="shared" si="110"/>
        <v>0</v>
      </c>
      <c r="AW58" s="70">
        <f t="shared" si="111"/>
        <v>0</v>
      </c>
      <c r="AX58" s="70">
        <f t="shared" si="112"/>
        <v>0</v>
      </c>
      <c r="AY58" s="72" t="s">
        <v>151</v>
      </c>
      <c r="AZ58" s="72" t="s">
        <v>135</v>
      </c>
      <c r="BA58" s="55" t="s">
        <v>101</v>
      </c>
      <c r="BC58" s="70">
        <f t="shared" si="113"/>
        <v>0</v>
      </c>
      <c r="BD58" s="70">
        <f t="shared" si="114"/>
        <v>0</v>
      </c>
      <c r="BE58" s="70">
        <v>0</v>
      </c>
      <c r="BF58" s="70">
        <f>58</f>
        <v>58</v>
      </c>
      <c r="BH58" s="70">
        <f t="shared" si="115"/>
        <v>0</v>
      </c>
      <c r="BI58" s="70">
        <f t="shared" si="116"/>
        <v>0</v>
      </c>
      <c r="BJ58" s="70">
        <f t="shared" si="117"/>
        <v>0</v>
      </c>
      <c r="BK58" s="70"/>
      <c r="BL58" s="70"/>
      <c r="BW58" s="70">
        <v>21</v>
      </c>
    </row>
    <row r="59" spans="1:75" ht="13.5" customHeight="1">
      <c r="A59" s="69" t="s">
        <v>242</v>
      </c>
      <c r="B59" s="10" t="s">
        <v>243</v>
      </c>
      <c r="C59" s="8" t="s">
        <v>244</v>
      </c>
      <c r="D59" s="8"/>
      <c r="E59" s="10" t="s">
        <v>142</v>
      </c>
      <c r="F59" s="70">
        <v>6</v>
      </c>
      <c r="G59" s="70">
        <v>0</v>
      </c>
      <c r="H59" s="70">
        <f t="shared" si="94"/>
        <v>0</v>
      </c>
      <c r="I59" s="70">
        <f t="shared" si="95"/>
        <v>0</v>
      </c>
      <c r="J59" s="70">
        <f t="shared" si="96"/>
        <v>0</v>
      </c>
      <c r="K59" s="71" t="s">
        <v>111</v>
      </c>
      <c r="Z59" s="70">
        <f t="shared" si="97"/>
        <v>0</v>
      </c>
      <c r="AB59" s="70">
        <f t="shared" si="98"/>
        <v>0</v>
      </c>
      <c r="AC59" s="70">
        <f t="shared" si="99"/>
        <v>0</v>
      </c>
      <c r="AD59" s="70">
        <f t="shared" si="100"/>
        <v>0</v>
      </c>
      <c r="AE59" s="70">
        <f t="shared" si="101"/>
        <v>0</v>
      </c>
      <c r="AF59" s="70">
        <f t="shared" si="102"/>
        <v>0</v>
      </c>
      <c r="AG59" s="70">
        <f t="shared" si="103"/>
        <v>0</v>
      </c>
      <c r="AH59" s="70">
        <f t="shared" si="104"/>
        <v>0</v>
      </c>
      <c r="AI59" s="55"/>
      <c r="AJ59" s="70">
        <f t="shared" si="105"/>
        <v>0</v>
      </c>
      <c r="AK59" s="70">
        <f t="shared" si="106"/>
        <v>0</v>
      </c>
      <c r="AL59" s="70">
        <f t="shared" si="107"/>
        <v>0</v>
      </c>
      <c r="AN59" s="70">
        <v>21</v>
      </c>
      <c r="AO59" s="70">
        <f t="shared" si="108"/>
        <v>0</v>
      </c>
      <c r="AP59" s="70">
        <f t="shared" si="109"/>
        <v>0</v>
      </c>
      <c r="AQ59" s="72" t="s">
        <v>102</v>
      </c>
      <c r="AV59" s="70">
        <f t="shared" si="110"/>
        <v>0</v>
      </c>
      <c r="AW59" s="70">
        <f t="shared" si="111"/>
        <v>0</v>
      </c>
      <c r="AX59" s="70">
        <f t="shared" si="112"/>
        <v>0</v>
      </c>
      <c r="AY59" s="72" t="s">
        <v>151</v>
      </c>
      <c r="AZ59" s="72" t="s">
        <v>135</v>
      </c>
      <c r="BA59" s="55" t="s">
        <v>101</v>
      </c>
      <c r="BC59" s="70">
        <f t="shared" si="113"/>
        <v>0</v>
      </c>
      <c r="BD59" s="70">
        <f t="shared" si="114"/>
        <v>0</v>
      </c>
      <c r="BE59" s="70">
        <v>0</v>
      </c>
      <c r="BF59" s="70">
        <f>59</f>
        <v>59</v>
      </c>
      <c r="BH59" s="70">
        <f t="shared" si="115"/>
        <v>0</v>
      </c>
      <c r="BI59" s="70">
        <f t="shared" si="116"/>
        <v>0</v>
      </c>
      <c r="BJ59" s="70">
        <f t="shared" si="117"/>
        <v>0</v>
      </c>
      <c r="BK59" s="70"/>
      <c r="BL59" s="70"/>
      <c r="BW59" s="70">
        <v>21</v>
      </c>
    </row>
    <row r="60" spans="1:75" ht="13.5" customHeight="1">
      <c r="A60" s="69" t="s">
        <v>245</v>
      </c>
      <c r="B60" s="10" t="s">
        <v>246</v>
      </c>
      <c r="C60" s="8" t="s">
        <v>247</v>
      </c>
      <c r="D60" s="8"/>
      <c r="E60" s="10" t="s">
        <v>142</v>
      </c>
      <c r="F60" s="70">
        <v>21</v>
      </c>
      <c r="G60" s="70">
        <v>0</v>
      </c>
      <c r="H60" s="70">
        <f t="shared" si="94"/>
        <v>0</v>
      </c>
      <c r="I60" s="70">
        <f t="shared" si="95"/>
        <v>0</v>
      </c>
      <c r="J60" s="70">
        <f t="shared" si="96"/>
        <v>0</v>
      </c>
      <c r="K60" s="71" t="s">
        <v>111</v>
      </c>
      <c r="Z60" s="70">
        <f t="shared" si="97"/>
        <v>0</v>
      </c>
      <c r="AB60" s="70">
        <f t="shared" si="98"/>
        <v>0</v>
      </c>
      <c r="AC60" s="70">
        <f t="shared" si="99"/>
        <v>0</v>
      </c>
      <c r="AD60" s="70">
        <f t="shared" si="100"/>
        <v>0</v>
      </c>
      <c r="AE60" s="70">
        <f t="shared" si="101"/>
        <v>0</v>
      </c>
      <c r="AF60" s="70">
        <f t="shared" si="102"/>
        <v>0</v>
      </c>
      <c r="AG60" s="70">
        <f t="shared" si="103"/>
        <v>0</v>
      </c>
      <c r="AH60" s="70">
        <f t="shared" si="104"/>
        <v>0</v>
      </c>
      <c r="AI60" s="55"/>
      <c r="AJ60" s="70">
        <f t="shared" si="105"/>
        <v>0</v>
      </c>
      <c r="AK60" s="70">
        <f t="shared" si="106"/>
        <v>0</v>
      </c>
      <c r="AL60" s="70">
        <f t="shared" si="107"/>
        <v>0</v>
      </c>
      <c r="AN60" s="70">
        <v>21</v>
      </c>
      <c r="AO60" s="70">
        <f t="shared" si="108"/>
        <v>0</v>
      </c>
      <c r="AP60" s="70">
        <f t="shared" si="109"/>
        <v>0</v>
      </c>
      <c r="AQ60" s="72" t="s">
        <v>102</v>
      </c>
      <c r="AV60" s="70">
        <f t="shared" si="110"/>
        <v>0</v>
      </c>
      <c r="AW60" s="70">
        <f t="shared" si="111"/>
        <v>0</v>
      </c>
      <c r="AX60" s="70">
        <f t="shared" si="112"/>
        <v>0</v>
      </c>
      <c r="AY60" s="72" t="s">
        <v>151</v>
      </c>
      <c r="AZ60" s="72" t="s">
        <v>135</v>
      </c>
      <c r="BA60" s="55" t="s">
        <v>101</v>
      </c>
      <c r="BC60" s="70">
        <f t="shared" si="113"/>
        <v>0</v>
      </c>
      <c r="BD60" s="70">
        <f t="shared" si="114"/>
        <v>0</v>
      </c>
      <c r="BE60" s="70">
        <v>0</v>
      </c>
      <c r="BF60" s="70">
        <f>60</f>
        <v>60</v>
      </c>
      <c r="BH60" s="70">
        <f t="shared" si="115"/>
        <v>0</v>
      </c>
      <c r="BI60" s="70">
        <f t="shared" si="116"/>
        <v>0</v>
      </c>
      <c r="BJ60" s="70">
        <f t="shared" si="117"/>
        <v>0</v>
      </c>
      <c r="BK60" s="70"/>
      <c r="BL60" s="70"/>
      <c r="BW60" s="70">
        <v>21</v>
      </c>
    </row>
    <row r="61" spans="1:75" ht="13.5" customHeight="1">
      <c r="A61" s="69" t="s">
        <v>248</v>
      </c>
      <c r="B61" s="10" t="s">
        <v>249</v>
      </c>
      <c r="C61" s="8" t="s">
        <v>250</v>
      </c>
      <c r="D61" s="8"/>
      <c r="E61" s="10" t="s">
        <v>142</v>
      </c>
      <c r="F61" s="70">
        <v>1</v>
      </c>
      <c r="G61" s="70">
        <v>0</v>
      </c>
      <c r="H61" s="70">
        <f t="shared" si="94"/>
        <v>0</v>
      </c>
      <c r="I61" s="70">
        <f t="shared" si="95"/>
        <v>0</v>
      </c>
      <c r="J61" s="70">
        <f t="shared" si="96"/>
        <v>0</v>
      </c>
      <c r="K61" s="71" t="s">
        <v>111</v>
      </c>
      <c r="Z61" s="70">
        <f t="shared" si="97"/>
        <v>0</v>
      </c>
      <c r="AB61" s="70">
        <f t="shared" si="98"/>
        <v>0</v>
      </c>
      <c r="AC61" s="70">
        <f t="shared" si="99"/>
        <v>0</v>
      </c>
      <c r="AD61" s="70">
        <f t="shared" si="100"/>
        <v>0</v>
      </c>
      <c r="AE61" s="70">
        <f t="shared" si="101"/>
        <v>0</v>
      </c>
      <c r="AF61" s="70">
        <f t="shared" si="102"/>
        <v>0</v>
      </c>
      <c r="AG61" s="70">
        <f t="shared" si="103"/>
        <v>0</v>
      </c>
      <c r="AH61" s="70">
        <f t="shared" si="104"/>
        <v>0</v>
      </c>
      <c r="AI61" s="55"/>
      <c r="AJ61" s="70">
        <f t="shared" si="105"/>
        <v>0</v>
      </c>
      <c r="AK61" s="70">
        <f t="shared" si="106"/>
        <v>0</v>
      </c>
      <c r="AL61" s="70">
        <f t="shared" si="107"/>
        <v>0</v>
      </c>
      <c r="AN61" s="70">
        <v>21</v>
      </c>
      <c r="AO61" s="70">
        <f t="shared" si="108"/>
        <v>0</v>
      </c>
      <c r="AP61" s="70">
        <f t="shared" si="109"/>
        <v>0</v>
      </c>
      <c r="AQ61" s="72" t="s">
        <v>102</v>
      </c>
      <c r="AV61" s="70">
        <f t="shared" si="110"/>
        <v>0</v>
      </c>
      <c r="AW61" s="70">
        <f t="shared" si="111"/>
        <v>0</v>
      </c>
      <c r="AX61" s="70">
        <f t="shared" si="112"/>
        <v>0</v>
      </c>
      <c r="AY61" s="72" t="s">
        <v>151</v>
      </c>
      <c r="AZ61" s="72" t="s">
        <v>135</v>
      </c>
      <c r="BA61" s="55" t="s">
        <v>101</v>
      </c>
      <c r="BC61" s="70">
        <f t="shared" si="113"/>
        <v>0</v>
      </c>
      <c r="BD61" s="70">
        <f t="shared" si="114"/>
        <v>0</v>
      </c>
      <c r="BE61" s="70">
        <v>0</v>
      </c>
      <c r="BF61" s="70">
        <f>61</f>
        <v>61</v>
      </c>
      <c r="BH61" s="70">
        <f t="shared" si="115"/>
        <v>0</v>
      </c>
      <c r="BI61" s="70">
        <f t="shared" si="116"/>
        <v>0</v>
      </c>
      <c r="BJ61" s="70">
        <f t="shared" si="117"/>
        <v>0</v>
      </c>
      <c r="BK61" s="70"/>
      <c r="BL61" s="70"/>
      <c r="BW61" s="70">
        <v>21</v>
      </c>
    </row>
    <row r="62" spans="1:75" ht="13.5" customHeight="1">
      <c r="A62" s="69" t="s">
        <v>251</v>
      </c>
      <c r="B62" s="10" t="s">
        <v>252</v>
      </c>
      <c r="C62" s="8" t="s">
        <v>253</v>
      </c>
      <c r="D62" s="8"/>
      <c r="E62" s="10" t="s">
        <v>142</v>
      </c>
      <c r="F62" s="70">
        <v>2</v>
      </c>
      <c r="G62" s="70">
        <v>0</v>
      </c>
      <c r="H62" s="70">
        <f t="shared" si="94"/>
        <v>0</v>
      </c>
      <c r="I62" s="70">
        <f t="shared" si="95"/>
        <v>0</v>
      </c>
      <c r="J62" s="70">
        <f t="shared" si="96"/>
        <v>0</v>
      </c>
      <c r="K62" s="71" t="s">
        <v>111</v>
      </c>
      <c r="Z62" s="70">
        <f t="shared" si="97"/>
        <v>0</v>
      </c>
      <c r="AB62" s="70">
        <f t="shared" si="98"/>
        <v>0</v>
      </c>
      <c r="AC62" s="70">
        <f t="shared" si="99"/>
        <v>0</v>
      </c>
      <c r="AD62" s="70">
        <f t="shared" si="100"/>
        <v>0</v>
      </c>
      <c r="AE62" s="70">
        <f t="shared" si="101"/>
        <v>0</v>
      </c>
      <c r="AF62" s="70">
        <f t="shared" si="102"/>
        <v>0</v>
      </c>
      <c r="AG62" s="70">
        <f t="shared" si="103"/>
        <v>0</v>
      </c>
      <c r="AH62" s="70">
        <f t="shared" si="104"/>
        <v>0</v>
      </c>
      <c r="AI62" s="55"/>
      <c r="AJ62" s="70">
        <f t="shared" si="105"/>
        <v>0</v>
      </c>
      <c r="AK62" s="70">
        <f t="shared" si="106"/>
        <v>0</v>
      </c>
      <c r="AL62" s="70">
        <f t="shared" si="107"/>
        <v>0</v>
      </c>
      <c r="AN62" s="70">
        <v>21</v>
      </c>
      <c r="AO62" s="70">
        <f t="shared" si="108"/>
        <v>0</v>
      </c>
      <c r="AP62" s="70">
        <f t="shared" si="109"/>
        <v>0</v>
      </c>
      <c r="AQ62" s="72" t="s">
        <v>102</v>
      </c>
      <c r="AV62" s="70">
        <f t="shared" si="110"/>
        <v>0</v>
      </c>
      <c r="AW62" s="70">
        <f t="shared" si="111"/>
        <v>0</v>
      </c>
      <c r="AX62" s="70">
        <f t="shared" si="112"/>
        <v>0</v>
      </c>
      <c r="AY62" s="72" t="s">
        <v>151</v>
      </c>
      <c r="AZ62" s="72" t="s">
        <v>135</v>
      </c>
      <c r="BA62" s="55" t="s">
        <v>101</v>
      </c>
      <c r="BC62" s="70">
        <f t="shared" si="113"/>
        <v>0</v>
      </c>
      <c r="BD62" s="70">
        <f t="shared" si="114"/>
        <v>0</v>
      </c>
      <c r="BE62" s="70">
        <v>0</v>
      </c>
      <c r="BF62" s="70">
        <f>62</f>
        <v>62</v>
      </c>
      <c r="BH62" s="70">
        <f t="shared" si="115"/>
        <v>0</v>
      </c>
      <c r="BI62" s="70">
        <f t="shared" si="116"/>
        <v>0</v>
      </c>
      <c r="BJ62" s="70">
        <f t="shared" si="117"/>
        <v>0</v>
      </c>
      <c r="BK62" s="70"/>
      <c r="BL62" s="70"/>
      <c r="BW62" s="70">
        <v>21</v>
      </c>
    </row>
    <row r="63" spans="1:75" ht="13.5" customHeight="1">
      <c r="A63" s="69" t="s">
        <v>254</v>
      </c>
      <c r="B63" s="10" t="s">
        <v>255</v>
      </c>
      <c r="C63" s="8" t="s">
        <v>256</v>
      </c>
      <c r="D63" s="8"/>
      <c r="E63" s="10" t="s">
        <v>142</v>
      </c>
      <c r="F63" s="70">
        <v>2</v>
      </c>
      <c r="G63" s="70">
        <v>0</v>
      </c>
      <c r="H63" s="70">
        <f t="shared" si="94"/>
        <v>0</v>
      </c>
      <c r="I63" s="70">
        <f t="shared" si="95"/>
        <v>0</v>
      </c>
      <c r="J63" s="70">
        <f t="shared" si="96"/>
        <v>0</v>
      </c>
      <c r="K63" s="71" t="s">
        <v>111</v>
      </c>
      <c r="Z63" s="70">
        <f t="shared" si="97"/>
        <v>0</v>
      </c>
      <c r="AB63" s="70">
        <f t="shared" si="98"/>
        <v>0</v>
      </c>
      <c r="AC63" s="70">
        <f t="shared" si="99"/>
        <v>0</v>
      </c>
      <c r="AD63" s="70">
        <f t="shared" si="100"/>
        <v>0</v>
      </c>
      <c r="AE63" s="70">
        <f t="shared" si="101"/>
        <v>0</v>
      </c>
      <c r="AF63" s="70">
        <f t="shared" si="102"/>
        <v>0</v>
      </c>
      <c r="AG63" s="70">
        <f t="shared" si="103"/>
        <v>0</v>
      </c>
      <c r="AH63" s="70">
        <f t="shared" si="104"/>
        <v>0</v>
      </c>
      <c r="AI63" s="55"/>
      <c r="AJ63" s="70">
        <f t="shared" si="105"/>
        <v>0</v>
      </c>
      <c r="AK63" s="70">
        <f t="shared" si="106"/>
        <v>0</v>
      </c>
      <c r="AL63" s="70">
        <f t="shared" si="107"/>
        <v>0</v>
      </c>
      <c r="AN63" s="70">
        <v>21</v>
      </c>
      <c r="AO63" s="70">
        <f t="shared" si="108"/>
        <v>0</v>
      </c>
      <c r="AP63" s="70">
        <f t="shared" si="109"/>
        <v>0</v>
      </c>
      <c r="AQ63" s="72" t="s">
        <v>102</v>
      </c>
      <c r="AV63" s="70">
        <f t="shared" si="110"/>
        <v>0</v>
      </c>
      <c r="AW63" s="70">
        <f t="shared" si="111"/>
        <v>0</v>
      </c>
      <c r="AX63" s="70">
        <f t="shared" si="112"/>
        <v>0</v>
      </c>
      <c r="AY63" s="72" t="s">
        <v>151</v>
      </c>
      <c r="AZ63" s="72" t="s">
        <v>135</v>
      </c>
      <c r="BA63" s="55" t="s">
        <v>101</v>
      </c>
      <c r="BC63" s="70">
        <f t="shared" si="113"/>
        <v>0</v>
      </c>
      <c r="BD63" s="70">
        <f t="shared" si="114"/>
        <v>0</v>
      </c>
      <c r="BE63" s="70">
        <v>0</v>
      </c>
      <c r="BF63" s="70">
        <f>63</f>
        <v>63</v>
      </c>
      <c r="BH63" s="70">
        <f t="shared" si="115"/>
        <v>0</v>
      </c>
      <c r="BI63" s="70">
        <f t="shared" si="116"/>
        <v>0</v>
      </c>
      <c r="BJ63" s="70">
        <f t="shared" si="117"/>
        <v>0</v>
      </c>
      <c r="BK63" s="70"/>
      <c r="BL63" s="70"/>
      <c r="BW63" s="70">
        <v>21</v>
      </c>
    </row>
    <row r="64" spans="1:75" ht="13.5" customHeight="1">
      <c r="A64" s="69" t="s">
        <v>257</v>
      </c>
      <c r="B64" s="10" t="s">
        <v>258</v>
      </c>
      <c r="C64" s="8" t="s">
        <v>259</v>
      </c>
      <c r="D64" s="8"/>
      <c r="E64" s="10" t="s">
        <v>142</v>
      </c>
      <c r="F64" s="70">
        <v>3</v>
      </c>
      <c r="G64" s="70">
        <v>0</v>
      </c>
      <c r="H64" s="70">
        <f t="shared" si="94"/>
        <v>0</v>
      </c>
      <c r="I64" s="70">
        <f t="shared" si="95"/>
        <v>0</v>
      </c>
      <c r="J64" s="70">
        <f t="shared" si="96"/>
        <v>0</v>
      </c>
      <c r="K64" s="71" t="s">
        <v>111</v>
      </c>
      <c r="Z64" s="70">
        <f t="shared" si="97"/>
        <v>0</v>
      </c>
      <c r="AB64" s="70">
        <f t="shared" si="98"/>
        <v>0</v>
      </c>
      <c r="AC64" s="70">
        <f t="shared" si="99"/>
        <v>0</v>
      </c>
      <c r="AD64" s="70">
        <f t="shared" si="100"/>
        <v>0</v>
      </c>
      <c r="AE64" s="70">
        <f t="shared" si="101"/>
        <v>0</v>
      </c>
      <c r="AF64" s="70">
        <f t="shared" si="102"/>
        <v>0</v>
      </c>
      <c r="AG64" s="70">
        <f t="shared" si="103"/>
        <v>0</v>
      </c>
      <c r="AH64" s="70">
        <f t="shared" si="104"/>
        <v>0</v>
      </c>
      <c r="AI64" s="55"/>
      <c r="AJ64" s="70">
        <f t="shared" si="105"/>
        <v>0</v>
      </c>
      <c r="AK64" s="70">
        <f t="shared" si="106"/>
        <v>0</v>
      </c>
      <c r="AL64" s="70">
        <f t="shared" si="107"/>
        <v>0</v>
      </c>
      <c r="AN64" s="70">
        <v>21</v>
      </c>
      <c r="AO64" s="70">
        <f t="shared" si="108"/>
        <v>0</v>
      </c>
      <c r="AP64" s="70">
        <f t="shared" si="109"/>
        <v>0</v>
      </c>
      <c r="AQ64" s="72" t="s">
        <v>102</v>
      </c>
      <c r="AV64" s="70">
        <f t="shared" si="110"/>
        <v>0</v>
      </c>
      <c r="AW64" s="70">
        <f t="shared" si="111"/>
        <v>0</v>
      </c>
      <c r="AX64" s="70">
        <f t="shared" si="112"/>
        <v>0</v>
      </c>
      <c r="AY64" s="72" t="s">
        <v>151</v>
      </c>
      <c r="AZ64" s="72" t="s">
        <v>135</v>
      </c>
      <c r="BA64" s="55" t="s">
        <v>101</v>
      </c>
      <c r="BC64" s="70">
        <f t="shared" si="113"/>
        <v>0</v>
      </c>
      <c r="BD64" s="70">
        <f t="shared" si="114"/>
        <v>0</v>
      </c>
      <c r="BE64" s="70">
        <v>0</v>
      </c>
      <c r="BF64" s="70">
        <f>64</f>
        <v>64</v>
      </c>
      <c r="BH64" s="70">
        <f t="shared" si="115"/>
        <v>0</v>
      </c>
      <c r="BI64" s="70">
        <f t="shared" si="116"/>
        <v>0</v>
      </c>
      <c r="BJ64" s="70">
        <f t="shared" si="117"/>
        <v>0</v>
      </c>
      <c r="BK64" s="70"/>
      <c r="BL64" s="70"/>
      <c r="BW64" s="70">
        <v>21</v>
      </c>
    </row>
    <row r="65" spans="1:75" ht="13.5" customHeight="1">
      <c r="A65" s="69" t="s">
        <v>260</v>
      </c>
      <c r="B65" s="10" t="s">
        <v>261</v>
      </c>
      <c r="C65" s="8" t="s">
        <v>262</v>
      </c>
      <c r="D65" s="8"/>
      <c r="E65" s="10" t="s">
        <v>142</v>
      </c>
      <c r="F65" s="70">
        <v>3</v>
      </c>
      <c r="G65" s="70">
        <v>0</v>
      </c>
      <c r="H65" s="70">
        <f t="shared" si="94"/>
        <v>0</v>
      </c>
      <c r="I65" s="70">
        <f t="shared" si="95"/>
        <v>0</v>
      </c>
      <c r="J65" s="70">
        <f t="shared" si="96"/>
        <v>0</v>
      </c>
      <c r="K65" s="71" t="s">
        <v>111</v>
      </c>
      <c r="Z65" s="70">
        <f t="shared" si="97"/>
        <v>0</v>
      </c>
      <c r="AB65" s="70">
        <f t="shared" si="98"/>
        <v>0</v>
      </c>
      <c r="AC65" s="70">
        <f t="shared" si="99"/>
        <v>0</v>
      </c>
      <c r="AD65" s="70">
        <f t="shared" si="100"/>
        <v>0</v>
      </c>
      <c r="AE65" s="70">
        <f t="shared" si="101"/>
        <v>0</v>
      </c>
      <c r="AF65" s="70">
        <f t="shared" si="102"/>
        <v>0</v>
      </c>
      <c r="AG65" s="70">
        <f t="shared" si="103"/>
        <v>0</v>
      </c>
      <c r="AH65" s="70">
        <f t="shared" si="104"/>
        <v>0</v>
      </c>
      <c r="AI65" s="55"/>
      <c r="AJ65" s="70">
        <f t="shared" si="105"/>
        <v>0</v>
      </c>
      <c r="AK65" s="70">
        <f t="shared" si="106"/>
        <v>0</v>
      </c>
      <c r="AL65" s="70">
        <f t="shared" si="107"/>
        <v>0</v>
      </c>
      <c r="AN65" s="70">
        <v>21</v>
      </c>
      <c r="AO65" s="70">
        <f t="shared" si="108"/>
        <v>0</v>
      </c>
      <c r="AP65" s="70">
        <f t="shared" si="109"/>
        <v>0</v>
      </c>
      <c r="AQ65" s="72" t="s">
        <v>102</v>
      </c>
      <c r="AV65" s="70">
        <f t="shared" si="110"/>
        <v>0</v>
      </c>
      <c r="AW65" s="70">
        <f t="shared" si="111"/>
        <v>0</v>
      </c>
      <c r="AX65" s="70">
        <f t="shared" si="112"/>
        <v>0</v>
      </c>
      <c r="AY65" s="72" t="s">
        <v>151</v>
      </c>
      <c r="AZ65" s="72" t="s">
        <v>135</v>
      </c>
      <c r="BA65" s="55" t="s">
        <v>101</v>
      </c>
      <c r="BC65" s="70">
        <f t="shared" si="113"/>
        <v>0</v>
      </c>
      <c r="BD65" s="70">
        <f t="shared" si="114"/>
        <v>0</v>
      </c>
      <c r="BE65" s="70">
        <v>0</v>
      </c>
      <c r="BF65" s="70">
        <f>65</f>
        <v>65</v>
      </c>
      <c r="BH65" s="70">
        <f t="shared" si="115"/>
        <v>0</v>
      </c>
      <c r="BI65" s="70">
        <f t="shared" si="116"/>
        <v>0</v>
      </c>
      <c r="BJ65" s="70">
        <f t="shared" si="117"/>
        <v>0</v>
      </c>
      <c r="BK65" s="70"/>
      <c r="BL65" s="70"/>
      <c r="BW65" s="70">
        <v>21</v>
      </c>
    </row>
    <row r="66" spans="1:75" ht="13.5" customHeight="1">
      <c r="A66" s="69" t="s">
        <v>263</v>
      </c>
      <c r="B66" s="10" t="s">
        <v>264</v>
      </c>
      <c r="C66" s="8" t="s">
        <v>265</v>
      </c>
      <c r="D66" s="8"/>
      <c r="E66" s="10" t="s">
        <v>142</v>
      </c>
      <c r="F66" s="70">
        <v>9</v>
      </c>
      <c r="G66" s="70">
        <v>0</v>
      </c>
      <c r="H66" s="70">
        <f t="shared" si="94"/>
        <v>0</v>
      </c>
      <c r="I66" s="70">
        <f t="shared" si="95"/>
        <v>0</v>
      </c>
      <c r="J66" s="70">
        <f t="shared" si="96"/>
        <v>0</v>
      </c>
      <c r="K66" s="71" t="s">
        <v>111</v>
      </c>
      <c r="Z66" s="70">
        <f t="shared" si="97"/>
        <v>0</v>
      </c>
      <c r="AB66" s="70">
        <f t="shared" si="98"/>
        <v>0</v>
      </c>
      <c r="AC66" s="70">
        <f t="shared" si="99"/>
        <v>0</v>
      </c>
      <c r="AD66" s="70">
        <f t="shared" si="100"/>
        <v>0</v>
      </c>
      <c r="AE66" s="70">
        <f t="shared" si="101"/>
        <v>0</v>
      </c>
      <c r="AF66" s="70">
        <f t="shared" si="102"/>
        <v>0</v>
      </c>
      <c r="AG66" s="70">
        <f t="shared" si="103"/>
        <v>0</v>
      </c>
      <c r="AH66" s="70">
        <f t="shared" si="104"/>
        <v>0</v>
      </c>
      <c r="AI66" s="55"/>
      <c r="AJ66" s="70">
        <f t="shared" si="105"/>
        <v>0</v>
      </c>
      <c r="AK66" s="70">
        <f t="shared" si="106"/>
        <v>0</v>
      </c>
      <c r="AL66" s="70">
        <f t="shared" si="107"/>
        <v>0</v>
      </c>
      <c r="AN66" s="70">
        <v>21</v>
      </c>
      <c r="AO66" s="70">
        <f t="shared" si="108"/>
        <v>0</v>
      </c>
      <c r="AP66" s="70">
        <f t="shared" si="109"/>
        <v>0</v>
      </c>
      <c r="AQ66" s="72" t="s">
        <v>102</v>
      </c>
      <c r="AV66" s="70">
        <f t="shared" si="110"/>
        <v>0</v>
      </c>
      <c r="AW66" s="70">
        <f t="shared" si="111"/>
        <v>0</v>
      </c>
      <c r="AX66" s="70">
        <f t="shared" si="112"/>
        <v>0</v>
      </c>
      <c r="AY66" s="72" t="s">
        <v>151</v>
      </c>
      <c r="AZ66" s="72" t="s">
        <v>135</v>
      </c>
      <c r="BA66" s="55" t="s">
        <v>101</v>
      </c>
      <c r="BC66" s="70">
        <f t="shared" si="113"/>
        <v>0</v>
      </c>
      <c r="BD66" s="70">
        <f t="shared" si="114"/>
        <v>0</v>
      </c>
      <c r="BE66" s="70">
        <v>0</v>
      </c>
      <c r="BF66" s="70">
        <f>66</f>
        <v>66</v>
      </c>
      <c r="BH66" s="70">
        <f t="shared" si="115"/>
        <v>0</v>
      </c>
      <c r="BI66" s="70">
        <f t="shared" si="116"/>
        <v>0</v>
      </c>
      <c r="BJ66" s="70">
        <f t="shared" si="117"/>
        <v>0</v>
      </c>
      <c r="BK66" s="70"/>
      <c r="BL66" s="70"/>
      <c r="BW66" s="70">
        <v>21</v>
      </c>
    </row>
    <row r="67" spans="1:75" ht="13.5" customHeight="1">
      <c r="A67" s="69" t="s">
        <v>266</v>
      </c>
      <c r="B67" s="10" t="s">
        <v>267</v>
      </c>
      <c r="C67" s="8" t="s">
        <v>268</v>
      </c>
      <c r="D67" s="8"/>
      <c r="E67" s="10" t="s">
        <v>142</v>
      </c>
      <c r="F67" s="70">
        <v>28</v>
      </c>
      <c r="G67" s="70">
        <v>0</v>
      </c>
      <c r="H67" s="70">
        <f t="shared" si="94"/>
        <v>0</v>
      </c>
      <c r="I67" s="70">
        <f t="shared" si="95"/>
        <v>0</v>
      </c>
      <c r="J67" s="70">
        <f t="shared" si="96"/>
        <v>0</v>
      </c>
      <c r="K67" s="71" t="s">
        <v>111</v>
      </c>
      <c r="Z67" s="70">
        <f t="shared" si="97"/>
        <v>0</v>
      </c>
      <c r="AB67" s="70">
        <f t="shared" si="98"/>
        <v>0</v>
      </c>
      <c r="AC67" s="70">
        <f t="shared" si="99"/>
        <v>0</v>
      </c>
      <c r="AD67" s="70">
        <f t="shared" si="100"/>
        <v>0</v>
      </c>
      <c r="AE67" s="70">
        <f t="shared" si="101"/>
        <v>0</v>
      </c>
      <c r="AF67" s="70">
        <f t="shared" si="102"/>
        <v>0</v>
      </c>
      <c r="AG67" s="70">
        <f t="shared" si="103"/>
        <v>0</v>
      </c>
      <c r="AH67" s="70">
        <f t="shared" si="104"/>
        <v>0</v>
      </c>
      <c r="AI67" s="55"/>
      <c r="AJ67" s="70">
        <f t="shared" si="105"/>
        <v>0</v>
      </c>
      <c r="AK67" s="70">
        <f t="shared" si="106"/>
        <v>0</v>
      </c>
      <c r="AL67" s="70">
        <f t="shared" si="107"/>
        <v>0</v>
      </c>
      <c r="AN67" s="70">
        <v>21</v>
      </c>
      <c r="AO67" s="70">
        <f t="shared" si="108"/>
        <v>0</v>
      </c>
      <c r="AP67" s="70">
        <f t="shared" si="109"/>
        <v>0</v>
      </c>
      <c r="AQ67" s="72" t="s">
        <v>102</v>
      </c>
      <c r="AV67" s="70">
        <f t="shared" si="110"/>
        <v>0</v>
      </c>
      <c r="AW67" s="70">
        <f t="shared" si="111"/>
        <v>0</v>
      </c>
      <c r="AX67" s="70">
        <f t="shared" si="112"/>
        <v>0</v>
      </c>
      <c r="AY67" s="72" t="s">
        <v>151</v>
      </c>
      <c r="AZ67" s="72" t="s">
        <v>135</v>
      </c>
      <c r="BA67" s="55" t="s">
        <v>101</v>
      </c>
      <c r="BC67" s="70">
        <f t="shared" si="113"/>
        <v>0</v>
      </c>
      <c r="BD67" s="70">
        <f t="shared" si="114"/>
        <v>0</v>
      </c>
      <c r="BE67" s="70">
        <v>0</v>
      </c>
      <c r="BF67" s="70">
        <f>67</f>
        <v>67</v>
      </c>
      <c r="BH67" s="70">
        <f t="shared" si="115"/>
        <v>0</v>
      </c>
      <c r="BI67" s="70">
        <f t="shared" si="116"/>
        <v>0</v>
      </c>
      <c r="BJ67" s="70">
        <f t="shared" si="117"/>
        <v>0</v>
      </c>
      <c r="BK67" s="70"/>
      <c r="BL67" s="70"/>
      <c r="BW67" s="70">
        <v>21</v>
      </c>
    </row>
    <row r="68" spans="1:75" ht="13.5" customHeight="1">
      <c r="A68" s="69" t="s">
        <v>269</v>
      </c>
      <c r="B68" s="10" t="s">
        <v>270</v>
      </c>
      <c r="C68" s="8" t="s">
        <v>271</v>
      </c>
      <c r="D68" s="8"/>
      <c r="E68" s="10" t="s">
        <v>142</v>
      </c>
      <c r="F68" s="70">
        <v>35</v>
      </c>
      <c r="G68" s="70">
        <v>0</v>
      </c>
      <c r="H68" s="70">
        <f t="shared" si="94"/>
        <v>0</v>
      </c>
      <c r="I68" s="70">
        <f t="shared" si="95"/>
        <v>0</v>
      </c>
      <c r="J68" s="70">
        <f t="shared" si="96"/>
        <v>0</v>
      </c>
      <c r="K68" s="71" t="s">
        <v>111</v>
      </c>
      <c r="Z68" s="70">
        <f t="shared" si="97"/>
        <v>0</v>
      </c>
      <c r="AB68" s="70">
        <f t="shared" si="98"/>
        <v>0</v>
      </c>
      <c r="AC68" s="70">
        <f t="shared" si="99"/>
        <v>0</v>
      </c>
      <c r="AD68" s="70">
        <f t="shared" si="100"/>
        <v>0</v>
      </c>
      <c r="AE68" s="70">
        <f t="shared" si="101"/>
        <v>0</v>
      </c>
      <c r="AF68" s="70">
        <f t="shared" si="102"/>
        <v>0</v>
      </c>
      <c r="AG68" s="70">
        <f t="shared" si="103"/>
        <v>0</v>
      </c>
      <c r="AH68" s="70">
        <f t="shared" si="104"/>
        <v>0</v>
      </c>
      <c r="AI68" s="55"/>
      <c r="AJ68" s="70">
        <f t="shared" si="105"/>
        <v>0</v>
      </c>
      <c r="AK68" s="70">
        <f t="shared" si="106"/>
        <v>0</v>
      </c>
      <c r="AL68" s="70">
        <f t="shared" si="107"/>
        <v>0</v>
      </c>
      <c r="AN68" s="70">
        <v>21</v>
      </c>
      <c r="AO68" s="70">
        <f t="shared" si="108"/>
        <v>0</v>
      </c>
      <c r="AP68" s="70">
        <f t="shared" si="109"/>
        <v>0</v>
      </c>
      <c r="AQ68" s="72" t="s">
        <v>102</v>
      </c>
      <c r="AV68" s="70">
        <f t="shared" si="110"/>
        <v>0</v>
      </c>
      <c r="AW68" s="70">
        <f t="shared" si="111"/>
        <v>0</v>
      </c>
      <c r="AX68" s="70">
        <f t="shared" si="112"/>
        <v>0</v>
      </c>
      <c r="AY68" s="72" t="s">
        <v>151</v>
      </c>
      <c r="AZ68" s="72" t="s">
        <v>135</v>
      </c>
      <c r="BA68" s="55" t="s">
        <v>101</v>
      </c>
      <c r="BC68" s="70">
        <f t="shared" si="113"/>
        <v>0</v>
      </c>
      <c r="BD68" s="70">
        <f t="shared" si="114"/>
        <v>0</v>
      </c>
      <c r="BE68" s="70">
        <v>0</v>
      </c>
      <c r="BF68" s="70">
        <f>68</f>
        <v>68</v>
      </c>
      <c r="BH68" s="70">
        <f t="shared" si="115"/>
        <v>0</v>
      </c>
      <c r="BI68" s="70">
        <f t="shared" si="116"/>
        <v>0</v>
      </c>
      <c r="BJ68" s="70">
        <f t="shared" si="117"/>
        <v>0</v>
      </c>
      <c r="BK68" s="70"/>
      <c r="BL68" s="70"/>
      <c r="BW68" s="70">
        <v>21</v>
      </c>
    </row>
    <row r="69" spans="1:75" ht="13.5" customHeight="1">
      <c r="A69" s="69" t="s">
        <v>272</v>
      </c>
      <c r="B69" s="10" t="s">
        <v>273</v>
      </c>
      <c r="C69" s="8" t="s">
        <v>274</v>
      </c>
      <c r="D69" s="8"/>
      <c r="E69" s="10" t="s">
        <v>142</v>
      </c>
      <c r="F69" s="70">
        <v>5</v>
      </c>
      <c r="G69" s="70">
        <v>0</v>
      </c>
      <c r="H69" s="70">
        <f t="shared" si="94"/>
        <v>0</v>
      </c>
      <c r="I69" s="70">
        <f t="shared" si="95"/>
        <v>0</v>
      </c>
      <c r="J69" s="70">
        <f t="shared" si="96"/>
        <v>0</v>
      </c>
      <c r="K69" s="71" t="s">
        <v>111</v>
      </c>
      <c r="Z69" s="70">
        <f t="shared" si="97"/>
        <v>0</v>
      </c>
      <c r="AB69" s="70">
        <f t="shared" si="98"/>
        <v>0</v>
      </c>
      <c r="AC69" s="70">
        <f t="shared" si="99"/>
        <v>0</v>
      </c>
      <c r="AD69" s="70">
        <f t="shared" si="100"/>
        <v>0</v>
      </c>
      <c r="AE69" s="70">
        <f t="shared" si="101"/>
        <v>0</v>
      </c>
      <c r="AF69" s="70">
        <f t="shared" si="102"/>
        <v>0</v>
      </c>
      <c r="AG69" s="70">
        <f t="shared" si="103"/>
        <v>0</v>
      </c>
      <c r="AH69" s="70">
        <f t="shared" si="104"/>
        <v>0</v>
      </c>
      <c r="AI69" s="55"/>
      <c r="AJ69" s="70">
        <f t="shared" si="105"/>
        <v>0</v>
      </c>
      <c r="AK69" s="70">
        <f t="shared" si="106"/>
        <v>0</v>
      </c>
      <c r="AL69" s="70">
        <f t="shared" si="107"/>
        <v>0</v>
      </c>
      <c r="AN69" s="70">
        <v>21</v>
      </c>
      <c r="AO69" s="70">
        <f t="shared" si="108"/>
        <v>0</v>
      </c>
      <c r="AP69" s="70">
        <f t="shared" si="109"/>
        <v>0</v>
      </c>
      <c r="AQ69" s="72" t="s">
        <v>102</v>
      </c>
      <c r="AV69" s="70">
        <f t="shared" si="110"/>
        <v>0</v>
      </c>
      <c r="AW69" s="70">
        <f t="shared" si="111"/>
        <v>0</v>
      </c>
      <c r="AX69" s="70">
        <f t="shared" si="112"/>
        <v>0</v>
      </c>
      <c r="AY69" s="72" t="s">
        <v>151</v>
      </c>
      <c r="AZ69" s="72" t="s">
        <v>135</v>
      </c>
      <c r="BA69" s="55" t="s">
        <v>101</v>
      </c>
      <c r="BC69" s="70">
        <f t="shared" si="113"/>
        <v>0</v>
      </c>
      <c r="BD69" s="70">
        <f t="shared" si="114"/>
        <v>0</v>
      </c>
      <c r="BE69" s="70">
        <v>0</v>
      </c>
      <c r="BF69" s="70">
        <f>69</f>
        <v>69</v>
      </c>
      <c r="BH69" s="70">
        <f t="shared" si="115"/>
        <v>0</v>
      </c>
      <c r="BI69" s="70">
        <f t="shared" si="116"/>
        <v>0</v>
      </c>
      <c r="BJ69" s="70">
        <f t="shared" si="117"/>
        <v>0</v>
      </c>
      <c r="BK69" s="70"/>
      <c r="BL69" s="70"/>
      <c r="BW69" s="70">
        <v>21</v>
      </c>
    </row>
    <row r="70" spans="1:75" ht="13.5" customHeight="1">
      <c r="A70" s="69" t="s">
        <v>275</v>
      </c>
      <c r="B70" s="10" t="s">
        <v>276</v>
      </c>
      <c r="C70" s="8" t="s">
        <v>277</v>
      </c>
      <c r="D70" s="8"/>
      <c r="E70" s="10" t="s">
        <v>142</v>
      </c>
      <c r="F70" s="70">
        <v>2</v>
      </c>
      <c r="G70" s="70">
        <v>0</v>
      </c>
      <c r="H70" s="70">
        <f t="shared" si="94"/>
        <v>0</v>
      </c>
      <c r="I70" s="70">
        <f t="shared" si="95"/>
        <v>0</v>
      </c>
      <c r="J70" s="70">
        <f t="shared" si="96"/>
        <v>0</v>
      </c>
      <c r="K70" s="71" t="s">
        <v>111</v>
      </c>
      <c r="Z70" s="70">
        <f t="shared" si="97"/>
        <v>0</v>
      </c>
      <c r="AB70" s="70">
        <f t="shared" si="98"/>
        <v>0</v>
      </c>
      <c r="AC70" s="70">
        <f t="shared" si="99"/>
        <v>0</v>
      </c>
      <c r="AD70" s="70">
        <f t="shared" si="100"/>
        <v>0</v>
      </c>
      <c r="AE70" s="70">
        <f t="shared" si="101"/>
        <v>0</v>
      </c>
      <c r="AF70" s="70">
        <f t="shared" si="102"/>
        <v>0</v>
      </c>
      <c r="AG70" s="70">
        <f t="shared" si="103"/>
        <v>0</v>
      </c>
      <c r="AH70" s="70">
        <f t="shared" si="104"/>
        <v>0</v>
      </c>
      <c r="AI70" s="55"/>
      <c r="AJ70" s="70">
        <f t="shared" si="105"/>
        <v>0</v>
      </c>
      <c r="AK70" s="70">
        <f t="shared" si="106"/>
        <v>0</v>
      </c>
      <c r="AL70" s="70">
        <f t="shared" si="107"/>
        <v>0</v>
      </c>
      <c r="AN70" s="70">
        <v>21</v>
      </c>
      <c r="AO70" s="70">
        <f t="shared" si="108"/>
        <v>0</v>
      </c>
      <c r="AP70" s="70">
        <f t="shared" si="109"/>
        <v>0</v>
      </c>
      <c r="AQ70" s="72" t="s">
        <v>102</v>
      </c>
      <c r="AV70" s="70">
        <f t="shared" si="110"/>
        <v>0</v>
      </c>
      <c r="AW70" s="70">
        <f t="shared" si="111"/>
        <v>0</v>
      </c>
      <c r="AX70" s="70">
        <f t="shared" si="112"/>
        <v>0</v>
      </c>
      <c r="AY70" s="72" t="s">
        <v>151</v>
      </c>
      <c r="AZ70" s="72" t="s">
        <v>135</v>
      </c>
      <c r="BA70" s="55" t="s">
        <v>101</v>
      </c>
      <c r="BC70" s="70">
        <f t="shared" si="113"/>
        <v>0</v>
      </c>
      <c r="BD70" s="70">
        <f t="shared" si="114"/>
        <v>0</v>
      </c>
      <c r="BE70" s="70">
        <v>0</v>
      </c>
      <c r="BF70" s="70">
        <f>70</f>
        <v>70</v>
      </c>
      <c r="BH70" s="70">
        <f t="shared" si="115"/>
        <v>0</v>
      </c>
      <c r="BI70" s="70">
        <f t="shared" si="116"/>
        <v>0</v>
      </c>
      <c r="BJ70" s="70">
        <f t="shared" si="117"/>
        <v>0</v>
      </c>
      <c r="BK70" s="70"/>
      <c r="BL70" s="70"/>
      <c r="BW70" s="70">
        <v>21</v>
      </c>
    </row>
    <row r="71" spans="1:75" ht="13.5" customHeight="1">
      <c r="A71" s="69" t="s">
        <v>278</v>
      </c>
      <c r="B71" s="10" t="s">
        <v>279</v>
      </c>
      <c r="C71" s="8" t="s">
        <v>280</v>
      </c>
      <c r="D71" s="8"/>
      <c r="E71" s="10" t="s">
        <v>142</v>
      </c>
      <c r="F71" s="70">
        <v>1</v>
      </c>
      <c r="G71" s="70">
        <v>0</v>
      </c>
      <c r="H71" s="70">
        <f t="shared" si="94"/>
        <v>0</v>
      </c>
      <c r="I71" s="70">
        <f t="shared" si="95"/>
        <v>0</v>
      </c>
      <c r="J71" s="70">
        <f t="shared" si="96"/>
        <v>0</v>
      </c>
      <c r="K71" s="71" t="s">
        <v>111</v>
      </c>
      <c r="Z71" s="70">
        <f t="shared" si="97"/>
        <v>0</v>
      </c>
      <c r="AB71" s="70">
        <f t="shared" si="98"/>
        <v>0</v>
      </c>
      <c r="AC71" s="70">
        <f t="shared" si="99"/>
        <v>0</v>
      </c>
      <c r="AD71" s="70">
        <f t="shared" si="100"/>
        <v>0</v>
      </c>
      <c r="AE71" s="70">
        <f t="shared" si="101"/>
        <v>0</v>
      </c>
      <c r="AF71" s="70">
        <f t="shared" si="102"/>
        <v>0</v>
      </c>
      <c r="AG71" s="70">
        <f t="shared" si="103"/>
        <v>0</v>
      </c>
      <c r="AH71" s="70">
        <f t="shared" si="104"/>
        <v>0</v>
      </c>
      <c r="AI71" s="55"/>
      <c r="AJ71" s="70">
        <f t="shared" si="105"/>
        <v>0</v>
      </c>
      <c r="AK71" s="70">
        <f t="shared" si="106"/>
        <v>0</v>
      </c>
      <c r="AL71" s="70">
        <f t="shared" si="107"/>
        <v>0</v>
      </c>
      <c r="AN71" s="70">
        <v>21</v>
      </c>
      <c r="AO71" s="70">
        <f t="shared" si="108"/>
        <v>0</v>
      </c>
      <c r="AP71" s="70">
        <f t="shared" si="109"/>
        <v>0</v>
      </c>
      <c r="AQ71" s="72" t="s">
        <v>102</v>
      </c>
      <c r="AV71" s="70">
        <f t="shared" si="110"/>
        <v>0</v>
      </c>
      <c r="AW71" s="70">
        <f t="shared" si="111"/>
        <v>0</v>
      </c>
      <c r="AX71" s="70">
        <f t="shared" si="112"/>
        <v>0</v>
      </c>
      <c r="AY71" s="72" t="s">
        <v>151</v>
      </c>
      <c r="AZ71" s="72" t="s">
        <v>135</v>
      </c>
      <c r="BA71" s="55" t="s">
        <v>101</v>
      </c>
      <c r="BC71" s="70">
        <f t="shared" si="113"/>
        <v>0</v>
      </c>
      <c r="BD71" s="70">
        <f t="shared" si="114"/>
        <v>0</v>
      </c>
      <c r="BE71" s="70">
        <v>0</v>
      </c>
      <c r="BF71" s="70">
        <f>71</f>
        <v>71</v>
      </c>
      <c r="BH71" s="70">
        <f t="shared" si="115"/>
        <v>0</v>
      </c>
      <c r="BI71" s="70">
        <f t="shared" si="116"/>
        <v>0</v>
      </c>
      <c r="BJ71" s="70">
        <f t="shared" si="117"/>
        <v>0</v>
      </c>
      <c r="BK71" s="70"/>
      <c r="BL71" s="70"/>
      <c r="BW71" s="70">
        <v>21</v>
      </c>
    </row>
    <row r="72" spans="1:75" ht="13.5" customHeight="1">
      <c r="A72" s="69" t="s">
        <v>281</v>
      </c>
      <c r="B72" s="10" t="s">
        <v>282</v>
      </c>
      <c r="C72" s="8" t="s">
        <v>283</v>
      </c>
      <c r="D72" s="8"/>
      <c r="E72" s="10" t="s">
        <v>142</v>
      </c>
      <c r="F72" s="70">
        <v>7</v>
      </c>
      <c r="G72" s="70">
        <v>0</v>
      </c>
      <c r="H72" s="70">
        <f t="shared" si="94"/>
        <v>0</v>
      </c>
      <c r="I72" s="70">
        <f t="shared" si="95"/>
        <v>0</v>
      </c>
      <c r="J72" s="70">
        <f t="shared" si="96"/>
        <v>0</v>
      </c>
      <c r="K72" s="71" t="s">
        <v>111</v>
      </c>
      <c r="Z72" s="70">
        <f t="shared" si="97"/>
        <v>0</v>
      </c>
      <c r="AB72" s="70">
        <f t="shared" si="98"/>
        <v>0</v>
      </c>
      <c r="AC72" s="70">
        <f t="shared" si="99"/>
        <v>0</v>
      </c>
      <c r="AD72" s="70">
        <f t="shared" si="100"/>
        <v>0</v>
      </c>
      <c r="AE72" s="70">
        <f t="shared" si="101"/>
        <v>0</v>
      </c>
      <c r="AF72" s="70">
        <f t="shared" si="102"/>
        <v>0</v>
      </c>
      <c r="AG72" s="70">
        <f t="shared" si="103"/>
        <v>0</v>
      </c>
      <c r="AH72" s="70">
        <f t="shared" si="104"/>
        <v>0</v>
      </c>
      <c r="AI72" s="55"/>
      <c r="AJ72" s="70">
        <f t="shared" si="105"/>
        <v>0</v>
      </c>
      <c r="AK72" s="70">
        <f t="shared" si="106"/>
        <v>0</v>
      </c>
      <c r="AL72" s="70">
        <f t="shared" si="107"/>
        <v>0</v>
      </c>
      <c r="AN72" s="70">
        <v>21</v>
      </c>
      <c r="AO72" s="70">
        <f t="shared" si="108"/>
        <v>0</v>
      </c>
      <c r="AP72" s="70">
        <f t="shared" si="109"/>
        <v>0</v>
      </c>
      <c r="AQ72" s="72" t="s">
        <v>102</v>
      </c>
      <c r="AV72" s="70">
        <f t="shared" si="110"/>
        <v>0</v>
      </c>
      <c r="AW72" s="70">
        <f t="shared" si="111"/>
        <v>0</v>
      </c>
      <c r="AX72" s="70">
        <f t="shared" si="112"/>
        <v>0</v>
      </c>
      <c r="AY72" s="72" t="s">
        <v>151</v>
      </c>
      <c r="AZ72" s="72" t="s">
        <v>135</v>
      </c>
      <c r="BA72" s="55" t="s">
        <v>101</v>
      </c>
      <c r="BC72" s="70">
        <f t="shared" si="113"/>
        <v>0</v>
      </c>
      <c r="BD72" s="70">
        <f t="shared" si="114"/>
        <v>0</v>
      </c>
      <c r="BE72" s="70">
        <v>0</v>
      </c>
      <c r="BF72" s="70">
        <f>72</f>
        <v>72</v>
      </c>
      <c r="BH72" s="70">
        <f t="shared" si="115"/>
        <v>0</v>
      </c>
      <c r="BI72" s="70">
        <f t="shared" si="116"/>
        <v>0</v>
      </c>
      <c r="BJ72" s="70">
        <f t="shared" si="117"/>
        <v>0</v>
      </c>
      <c r="BK72" s="70"/>
      <c r="BL72" s="70"/>
      <c r="BW72" s="70">
        <v>21</v>
      </c>
    </row>
    <row r="73" spans="1:75" ht="13.5" customHeight="1">
      <c r="A73" s="69" t="s">
        <v>284</v>
      </c>
      <c r="B73" s="10" t="s">
        <v>285</v>
      </c>
      <c r="C73" s="8" t="s">
        <v>286</v>
      </c>
      <c r="D73" s="8"/>
      <c r="E73" s="10" t="s">
        <v>142</v>
      </c>
      <c r="F73" s="70">
        <v>15</v>
      </c>
      <c r="G73" s="70">
        <v>0</v>
      </c>
      <c r="H73" s="70">
        <f t="shared" si="94"/>
        <v>0</v>
      </c>
      <c r="I73" s="70">
        <f t="shared" si="95"/>
        <v>0</v>
      </c>
      <c r="J73" s="70">
        <f t="shared" si="96"/>
        <v>0</v>
      </c>
      <c r="K73" s="71" t="s">
        <v>111</v>
      </c>
      <c r="Z73" s="70">
        <f t="shared" si="97"/>
        <v>0</v>
      </c>
      <c r="AB73" s="70">
        <f t="shared" si="98"/>
        <v>0</v>
      </c>
      <c r="AC73" s="70">
        <f t="shared" si="99"/>
        <v>0</v>
      </c>
      <c r="AD73" s="70">
        <f t="shared" si="100"/>
        <v>0</v>
      </c>
      <c r="AE73" s="70">
        <f t="shared" si="101"/>
        <v>0</v>
      </c>
      <c r="AF73" s="70">
        <f t="shared" si="102"/>
        <v>0</v>
      </c>
      <c r="AG73" s="70">
        <f t="shared" si="103"/>
        <v>0</v>
      </c>
      <c r="AH73" s="70">
        <f t="shared" si="104"/>
        <v>0</v>
      </c>
      <c r="AI73" s="55"/>
      <c r="AJ73" s="70">
        <f t="shared" si="105"/>
        <v>0</v>
      </c>
      <c r="AK73" s="70">
        <f t="shared" si="106"/>
        <v>0</v>
      </c>
      <c r="AL73" s="70">
        <f t="shared" si="107"/>
        <v>0</v>
      </c>
      <c r="AN73" s="70">
        <v>21</v>
      </c>
      <c r="AO73" s="70">
        <f t="shared" si="108"/>
        <v>0</v>
      </c>
      <c r="AP73" s="70">
        <f t="shared" si="109"/>
        <v>0</v>
      </c>
      <c r="AQ73" s="72" t="s">
        <v>102</v>
      </c>
      <c r="AV73" s="70">
        <f t="shared" si="110"/>
        <v>0</v>
      </c>
      <c r="AW73" s="70">
        <f t="shared" si="111"/>
        <v>0</v>
      </c>
      <c r="AX73" s="70">
        <f t="shared" si="112"/>
        <v>0</v>
      </c>
      <c r="AY73" s="72" t="s">
        <v>151</v>
      </c>
      <c r="AZ73" s="72" t="s">
        <v>135</v>
      </c>
      <c r="BA73" s="55" t="s">
        <v>101</v>
      </c>
      <c r="BC73" s="70">
        <f t="shared" si="113"/>
        <v>0</v>
      </c>
      <c r="BD73" s="70">
        <f t="shared" si="114"/>
        <v>0</v>
      </c>
      <c r="BE73" s="70">
        <v>0</v>
      </c>
      <c r="BF73" s="70">
        <f>73</f>
        <v>73</v>
      </c>
      <c r="BH73" s="70">
        <f t="shared" si="115"/>
        <v>0</v>
      </c>
      <c r="BI73" s="70">
        <f t="shared" si="116"/>
        <v>0</v>
      </c>
      <c r="BJ73" s="70">
        <f t="shared" si="117"/>
        <v>0</v>
      </c>
      <c r="BK73" s="70"/>
      <c r="BL73" s="70"/>
      <c r="BW73" s="70">
        <v>21</v>
      </c>
    </row>
    <row r="74" spans="1:75" ht="13.5" customHeight="1">
      <c r="A74" s="69" t="s">
        <v>287</v>
      </c>
      <c r="B74" s="10" t="s">
        <v>288</v>
      </c>
      <c r="C74" s="8" t="s">
        <v>289</v>
      </c>
      <c r="D74" s="8"/>
      <c r="E74" s="10" t="s">
        <v>142</v>
      </c>
      <c r="F74" s="70">
        <v>40</v>
      </c>
      <c r="G74" s="70">
        <v>0</v>
      </c>
      <c r="H74" s="70">
        <f t="shared" si="94"/>
        <v>0</v>
      </c>
      <c r="I74" s="70">
        <f t="shared" si="95"/>
        <v>0</v>
      </c>
      <c r="J74" s="70">
        <f t="shared" si="96"/>
        <v>0</v>
      </c>
      <c r="K74" s="71" t="s">
        <v>111</v>
      </c>
      <c r="Z74" s="70">
        <f t="shared" si="97"/>
        <v>0</v>
      </c>
      <c r="AB74" s="70">
        <f t="shared" si="98"/>
        <v>0</v>
      </c>
      <c r="AC74" s="70">
        <f t="shared" si="99"/>
        <v>0</v>
      </c>
      <c r="AD74" s="70">
        <f t="shared" si="100"/>
        <v>0</v>
      </c>
      <c r="AE74" s="70">
        <f t="shared" si="101"/>
        <v>0</v>
      </c>
      <c r="AF74" s="70">
        <f t="shared" si="102"/>
        <v>0</v>
      </c>
      <c r="AG74" s="70">
        <f t="shared" si="103"/>
        <v>0</v>
      </c>
      <c r="AH74" s="70">
        <f t="shared" si="104"/>
        <v>0</v>
      </c>
      <c r="AI74" s="55"/>
      <c r="AJ74" s="70">
        <f t="shared" si="105"/>
        <v>0</v>
      </c>
      <c r="AK74" s="70">
        <f t="shared" si="106"/>
        <v>0</v>
      </c>
      <c r="AL74" s="70">
        <f t="shared" si="107"/>
        <v>0</v>
      </c>
      <c r="AN74" s="70">
        <v>21</v>
      </c>
      <c r="AO74" s="70">
        <f t="shared" si="108"/>
        <v>0</v>
      </c>
      <c r="AP74" s="70">
        <f t="shared" si="109"/>
        <v>0</v>
      </c>
      <c r="AQ74" s="72" t="s">
        <v>102</v>
      </c>
      <c r="AV74" s="70">
        <f t="shared" si="110"/>
        <v>0</v>
      </c>
      <c r="AW74" s="70">
        <f t="shared" si="111"/>
        <v>0</v>
      </c>
      <c r="AX74" s="70">
        <f t="shared" si="112"/>
        <v>0</v>
      </c>
      <c r="AY74" s="72" t="s">
        <v>151</v>
      </c>
      <c r="AZ74" s="72" t="s">
        <v>135</v>
      </c>
      <c r="BA74" s="55" t="s">
        <v>101</v>
      </c>
      <c r="BC74" s="70">
        <f t="shared" si="113"/>
        <v>0</v>
      </c>
      <c r="BD74" s="70">
        <f t="shared" si="114"/>
        <v>0</v>
      </c>
      <c r="BE74" s="70">
        <v>0</v>
      </c>
      <c r="BF74" s="70">
        <f>74</f>
        <v>74</v>
      </c>
      <c r="BH74" s="70">
        <f t="shared" si="115"/>
        <v>0</v>
      </c>
      <c r="BI74" s="70">
        <f t="shared" si="116"/>
        <v>0</v>
      </c>
      <c r="BJ74" s="70">
        <f t="shared" si="117"/>
        <v>0</v>
      </c>
      <c r="BK74" s="70"/>
      <c r="BL74" s="70"/>
      <c r="BW74" s="70">
        <v>21</v>
      </c>
    </row>
    <row r="75" spans="1:75" ht="13.5" customHeight="1">
      <c r="A75" s="69" t="s">
        <v>290</v>
      </c>
      <c r="B75" s="10" t="s">
        <v>291</v>
      </c>
      <c r="C75" s="8" t="s">
        <v>292</v>
      </c>
      <c r="D75" s="8"/>
      <c r="E75" s="10" t="s">
        <v>133</v>
      </c>
      <c r="F75" s="70">
        <v>100</v>
      </c>
      <c r="G75" s="70">
        <v>0</v>
      </c>
      <c r="H75" s="70">
        <f t="shared" si="94"/>
        <v>0</v>
      </c>
      <c r="I75" s="70">
        <f t="shared" si="95"/>
        <v>0</v>
      </c>
      <c r="J75" s="70">
        <f t="shared" si="96"/>
        <v>0</v>
      </c>
      <c r="K75" s="71" t="s">
        <v>111</v>
      </c>
      <c r="Z75" s="70">
        <f t="shared" si="97"/>
        <v>0</v>
      </c>
      <c r="AB75" s="70">
        <f t="shared" si="98"/>
        <v>0</v>
      </c>
      <c r="AC75" s="70">
        <f t="shared" si="99"/>
        <v>0</v>
      </c>
      <c r="AD75" s="70">
        <f t="shared" si="100"/>
        <v>0</v>
      </c>
      <c r="AE75" s="70">
        <f t="shared" si="101"/>
        <v>0</v>
      </c>
      <c r="AF75" s="70">
        <f t="shared" si="102"/>
        <v>0</v>
      </c>
      <c r="AG75" s="70">
        <f t="shared" si="103"/>
        <v>0</v>
      </c>
      <c r="AH75" s="70">
        <f t="shared" si="104"/>
        <v>0</v>
      </c>
      <c r="AI75" s="55"/>
      <c r="AJ75" s="70">
        <f t="shared" si="105"/>
        <v>0</v>
      </c>
      <c r="AK75" s="70">
        <f t="shared" si="106"/>
        <v>0</v>
      </c>
      <c r="AL75" s="70">
        <f t="shared" si="107"/>
        <v>0</v>
      </c>
      <c r="AN75" s="70">
        <v>21</v>
      </c>
      <c r="AO75" s="70">
        <f t="shared" si="108"/>
        <v>0</v>
      </c>
      <c r="AP75" s="70">
        <f t="shared" si="109"/>
        <v>0</v>
      </c>
      <c r="AQ75" s="72" t="s">
        <v>102</v>
      </c>
      <c r="AV75" s="70">
        <f t="shared" si="110"/>
        <v>0</v>
      </c>
      <c r="AW75" s="70">
        <f t="shared" si="111"/>
        <v>0</v>
      </c>
      <c r="AX75" s="70">
        <f t="shared" si="112"/>
        <v>0</v>
      </c>
      <c r="AY75" s="72" t="s">
        <v>151</v>
      </c>
      <c r="AZ75" s="72" t="s">
        <v>135</v>
      </c>
      <c r="BA75" s="55" t="s">
        <v>101</v>
      </c>
      <c r="BC75" s="70">
        <f t="shared" si="113"/>
        <v>0</v>
      </c>
      <c r="BD75" s="70">
        <f t="shared" si="114"/>
        <v>0</v>
      </c>
      <c r="BE75" s="70">
        <v>0</v>
      </c>
      <c r="BF75" s="70">
        <f>75</f>
        <v>75</v>
      </c>
      <c r="BH75" s="70">
        <f t="shared" si="115"/>
        <v>0</v>
      </c>
      <c r="BI75" s="70">
        <f t="shared" si="116"/>
        <v>0</v>
      </c>
      <c r="BJ75" s="70">
        <f t="shared" si="117"/>
        <v>0</v>
      </c>
      <c r="BK75" s="70"/>
      <c r="BL75" s="70"/>
      <c r="BW75" s="70">
        <v>21</v>
      </c>
    </row>
    <row r="76" spans="1:75" ht="13.5" customHeight="1">
      <c r="A76" s="69" t="s">
        <v>293</v>
      </c>
      <c r="B76" s="10" t="s">
        <v>294</v>
      </c>
      <c r="C76" s="8" t="s">
        <v>295</v>
      </c>
      <c r="D76" s="8"/>
      <c r="E76" s="10" t="s">
        <v>133</v>
      </c>
      <c r="F76" s="70">
        <v>100</v>
      </c>
      <c r="G76" s="70">
        <v>0</v>
      </c>
      <c r="H76" s="70">
        <f t="shared" si="94"/>
        <v>0</v>
      </c>
      <c r="I76" s="70">
        <f t="shared" si="95"/>
        <v>0</v>
      </c>
      <c r="J76" s="70">
        <f t="shared" si="96"/>
        <v>0</v>
      </c>
      <c r="K76" s="71" t="s">
        <v>111</v>
      </c>
      <c r="Z76" s="70">
        <f t="shared" si="97"/>
        <v>0</v>
      </c>
      <c r="AB76" s="70">
        <f t="shared" si="98"/>
        <v>0</v>
      </c>
      <c r="AC76" s="70">
        <f t="shared" si="99"/>
        <v>0</v>
      </c>
      <c r="AD76" s="70">
        <f t="shared" si="100"/>
        <v>0</v>
      </c>
      <c r="AE76" s="70">
        <f t="shared" si="101"/>
        <v>0</v>
      </c>
      <c r="AF76" s="70">
        <f t="shared" si="102"/>
        <v>0</v>
      </c>
      <c r="AG76" s="70">
        <f t="shared" si="103"/>
        <v>0</v>
      </c>
      <c r="AH76" s="70">
        <f t="shared" si="104"/>
        <v>0</v>
      </c>
      <c r="AI76" s="55"/>
      <c r="AJ76" s="70">
        <f t="shared" si="105"/>
        <v>0</v>
      </c>
      <c r="AK76" s="70">
        <f t="shared" si="106"/>
        <v>0</v>
      </c>
      <c r="AL76" s="70">
        <f t="shared" si="107"/>
        <v>0</v>
      </c>
      <c r="AN76" s="70">
        <v>21</v>
      </c>
      <c r="AO76" s="70">
        <f t="shared" si="108"/>
        <v>0</v>
      </c>
      <c r="AP76" s="70">
        <f t="shared" si="109"/>
        <v>0</v>
      </c>
      <c r="AQ76" s="72" t="s">
        <v>102</v>
      </c>
      <c r="AV76" s="70">
        <f t="shared" si="110"/>
        <v>0</v>
      </c>
      <c r="AW76" s="70">
        <f t="shared" si="111"/>
        <v>0</v>
      </c>
      <c r="AX76" s="70">
        <f t="shared" si="112"/>
        <v>0</v>
      </c>
      <c r="AY76" s="72" t="s">
        <v>151</v>
      </c>
      <c r="AZ76" s="72" t="s">
        <v>135</v>
      </c>
      <c r="BA76" s="55" t="s">
        <v>101</v>
      </c>
      <c r="BC76" s="70">
        <f t="shared" si="113"/>
        <v>0</v>
      </c>
      <c r="BD76" s="70">
        <f t="shared" si="114"/>
        <v>0</v>
      </c>
      <c r="BE76" s="70">
        <v>0</v>
      </c>
      <c r="BF76" s="70">
        <f>76</f>
        <v>76</v>
      </c>
      <c r="BH76" s="70">
        <f t="shared" si="115"/>
        <v>0</v>
      </c>
      <c r="BI76" s="70">
        <f t="shared" si="116"/>
        <v>0</v>
      </c>
      <c r="BJ76" s="70">
        <f t="shared" si="117"/>
        <v>0</v>
      </c>
      <c r="BK76" s="70"/>
      <c r="BL76" s="70"/>
      <c r="BW76" s="70">
        <v>21</v>
      </c>
    </row>
    <row r="77" spans="1:75" ht="13.5" customHeight="1">
      <c r="A77" s="69" t="s">
        <v>105</v>
      </c>
      <c r="B77" s="10" t="s">
        <v>296</v>
      </c>
      <c r="C77" s="8" t="s">
        <v>297</v>
      </c>
      <c r="D77" s="8"/>
      <c r="E77" s="10" t="s">
        <v>133</v>
      </c>
      <c r="F77" s="70">
        <v>20</v>
      </c>
      <c r="G77" s="70">
        <v>0</v>
      </c>
      <c r="H77" s="70">
        <f t="shared" si="94"/>
        <v>0</v>
      </c>
      <c r="I77" s="70">
        <f t="shared" si="95"/>
        <v>0</v>
      </c>
      <c r="J77" s="70">
        <f t="shared" si="96"/>
        <v>0</v>
      </c>
      <c r="K77" s="71" t="s">
        <v>111</v>
      </c>
      <c r="Z77" s="70">
        <f t="shared" si="97"/>
        <v>0</v>
      </c>
      <c r="AB77" s="70">
        <f t="shared" si="98"/>
        <v>0</v>
      </c>
      <c r="AC77" s="70">
        <f t="shared" si="99"/>
        <v>0</v>
      </c>
      <c r="AD77" s="70">
        <f t="shared" si="100"/>
        <v>0</v>
      </c>
      <c r="AE77" s="70">
        <f t="shared" si="101"/>
        <v>0</v>
      </c>
      <c r="AF77" s="70">
        <f t="shared" si="102"/>
        <v>0</v>
      </c>
      <c r="AG77" s="70">
        <f t="shared" si="103"/>
        <v>0</v>
      </c>
      <c r="AH77" s="70">
        <f t="shared" si="104"/>
        <v>0</v>
      </c>
      <c r="AI77" s="55"/>
      <c r="AJ77" s="70">
        <f t="shared" si="105"/>
        <v>0</v>
      </c>
      <c r="AK77" s="70">
        <f t="shared" si="106"/>
        <v>0</v>
      </c>
      <c r="AL77" s="70">
        <f t="shared" si="107"/>
        <v>0</v>
      </c>
      <c r="AN77" s="70">
        <v>21</v>
      </c>
      <c r="AO77" s="70">
        <f t="shared" si="108"/>
        <v>0</v>
      </c>
      <c r="AP77" s="70">
        <f t="shared" si="109"/>
        <v>0</v>
      </c>
      <c r="AQ77" s="72" t="s">
        <v>102</v>
      </c>
      <c r="AV77" s="70">
        <f t="shared" si="110"/>
        <v>0</v>
      </c>
      <c r="AW77" s="70">
        <f t="shared" si="111"/>
        <v>0</v>
      </c>
      <c r="AX77" s="70">
        <f t="shared" si="112"/>
        <v>0</v>
      </c>
      <c r="AY77" s="72" t="s">
        <v>151</v>
      </c>
      <c r="AZ77" s="72" t="s">
        <v>135</v>
      </c>
      <c r="BA77" s="55" t="s">
        <v>101</v>
      </c>
      <c r="BC77" s="70">
        <f t="shared" si="113"/>
        <v>0</v>
      </c>
      <c r="BD77" s="70">
        <f t="shared" si="114"/>
        <v>0</v>
      </c>
      <c r="BE77" s="70">
        <v>0</v>
      </c>
      <c r="BF77" s="70">
        <f>77</f>
        <v>77</v>
      </c>
      <c r="BH77" s="70">
        <f t="shared" si="115"/>
        <v>0</v>
      </c>
      <c r="BI77" s="70">
        <f t="shared" si="116"/>
        <v>0</v>
      </c>
      <c r="BJ77" s="70">
        <f t="shared" si="117"/>
        <v>0</v>
      </c>
      <c r="BK77" s="70"/>
      <c r="BL77" s="70"/>
      <c r="BW77" s="70">
        <v>21</v>
      </c>
    </row>
    <row r="78" spans="1:75" ht="13.5" customHeight="1">
      <c r="A78" s="69" t="s">
        <v>298</v>
      </c>
      <c r="B78" s="10" t="s">
        <v>299</v>
      </c>
      <c r="C78" s="8" t="s">
        <v>300</v>
      </c>
      <c r="D78" s="8"/>
      <c r="E78" s="10" t="s">
        <v>133</v>
      </c>
      <c r="F78" s="70">
        <v>10</v>
      </c>
      <c r="G78" s="70">
        <v>0</v>
      </c>
      <c r="H78" s="70">
        <f t="shared" si="94"/>
        <v>0</v>
      </c>
      <c r="I78" s="70">
        <f t="shared" si="95"/>
        <v>0</v>
      </c>
      <c r="J78" s="70">
        <f t="shared" si="96"/>
        <v>0</v>
      </c>
      <c r="K78" s="71" t="s">
        <v>111</v>
      </c>
      <c r="Z78" s="70">
        <f t="shared" si="97"/>
        <v>0</v>
      </c>
      <c r="AB78" s="70">
        <f t="shared" si="98"/>
        <v>0</v>
      </c>
      <c r="AC78" s="70">
        <f t="shared" si="99"/>
        <v>0</v>
      </c>
      <c r="AD78" s="70">
        <f t="shared" si="100"/>
        <v>0</v>
      </c>
      <c r="AE78" s="70">
        <f t="shared" si="101"/>
        <v>0</v>
      </c>
      <c r="AF78" s="70">
        <f t="shared" si="102"/>
        <v>0</v>
      </c>
      <c r="AG78" s="70">
        <f t="shared" si="103"/>
        <v>0</v>
      </c>
      <c r="AH78" s="70">
        <f t="shared" si="104"/>
        <v>0</v>
      </c>
      <c r="AI78" s="55"/>
      <c r="AJ78" s="70">
        <f t="shared" si="105"/>
        <v>0</v>
      </c>
      <c r="AK78" s="70">
        <f t="shared" si="106"/>
        <v>0</v>
      </c>
      <c r="AL78" s="70">
        <f t="shared" si="107"/>
        <v>0</v>
      </c>
      <c r="AN78" s="70">
        <v>21</v>
      </c>
      <c r="AO78" s="70">
        <f t="shared" si="108"/>
        <v>0</v>
      </c>
      <c r="AP78" s="70">
        <f t="shared" si="109"/>
        <v>0</v>
      </c>
      <c r="AQ78" s="72" t="s">
        <v>102</v>
      </c>
      <c r="AV78" s="70">
        <f t="shared" si="110"/>
        <v>0</v>
      </c>
      <c r="AW78" s="70">
        <f t="shared" si="111"/>
        <v>0</v>
      </c>
      <c r="AX78" s="70">
        <f t="shared" si="112"/>
        <v>0</v>
      </c>
      <c r="AY78" s="72" t="s">
        <v>151</v>
      </c>
      <c r="AZ78" s="72" t="s">
        <v>135</v>
      </c>
      <c r="BA78" s="55" t="s">
        <v>101</v>
      </c>
      <c r="BC78" s="70">
        <f t="shared" si="113"/>
        <v>0</v>
      </c>
      <c r="BD78" s="70">
        <f t="shared" si="114"/>
        <v>0</v>
      </c>
      <c r="BE78" s="70">
        <v>0</v>
      </c>
      <c r="BF78" s="70">
        <f>78</f>
        <v>78</v>
      </c>
      <c r="BH78" s="70">
        <f t="shared" si="115"/>
        <v>0</v>
      </c>
      <c r="BI78" s="70">
        <f t="shared" si="116"/>
        <v>0</v>
      </c>
      <c r="BJ78" s="70">
        <f t="shared" si="117"/>
        <v>0</v>
      </c>
      <c r="BK78" s="70"/>
      <c r="BL78" s="70"/>
      <c r="BW78" s="70">
        <v>21</v>
      </c>
    </row>
    <row r="79" spans="1:75" ht="13.5" customHeight="1">
      <c r="A79" s="69" t="s">
        <v>301</v>
      </c>
      <c r="B79" s="10" t="s">
        <v>302</v>
      </c>
      <c r="C79" s="8" t="s">
        <v>303</v>
      </c>
      <c r="D79" s="8"/>
      <c r="E79" s="10" t="s">
        <v>142</v>
      </c>
      <c r="F79" s="70">
        <v>91</v>
      </c>
      <c r="G79" s="70">
        <v>0</v>
      </c>
      <c r="H79" s="70">
        <f t="shared" si="94"/>
        <v>0</v>
      </c>
      <c r="I79" s="70">
        <f t="shared" si="95"/>
        <v>0</v>
      </c>
      <c r="J79" s="70">
        <f t="shared" si="96"/>
        <v>0</v>
      </c>
      <c r="K79" s="71" t="s">
        <v>111</v>
      </c>
      <c r="Z79" s="70">
        <f t="shared" si="97"/>
        <v>0</v>
      </c>
      <c r="AB79" s="70">
        <f t="shared" si="98"/>
        <v>0</v>
      </c>
      <c r="AC79" s="70">
        <f t="shared" si="99"/>
        <v>0</v>
      </c>
      <c r="AD79" s="70">
        <f t="shared" si="100"/>
        <v>0</v>
      </c>
      <c r="AE79" s="70">
        <f t="shared" si="101"/>
        <v>0</v>
      </c>
      <c r="AF79" s="70">
        <f t="shared" si="102"/>
        <v>0</v>
      </c>
      <c r="AG79" s="70">
        <f t="shared" si="103"/>
        <v>0</v>
      </c>
      <c r="AH79" s="70">
        <f t="shared" si="104"/>
        <v>0</v>
      </c>
      <c r="AI79" s="55"/>
      <c r="AJ79" s="70">
        <f t="shared" si="105"/>
        <v>0</v>
      </c>
      <c r="AK79" s="70">
        <f t="shared" si="106"/>
        <v>0</v>
      </c>
      <c r="AL79" s="70">
        <f t="shared" si="107"/>
        <v>0</v>
      </c>
      <c r="AN79" s="70">
        <v>21</v>
      </c>
      <c r="AO79" s="70">
        <f t="shared" si="108"/>
        <v>0</v>
      </c>
      <c r="AP79" s="70">
        <f t="shared" si="109"/>
        <v>0</v>
      </c>
      <c r="AQ79" s="72" t="s">
        <v>102</v>
      </c>
      <c r="AV79" s="70">
        <f t="shared" si="110"/>
        <v>0</v>
      </c>
      <c r="AW79" s="70">
        <f t="shared" si="111"/>
        <v>0</v>
      </c>
      <c r="AX79" s="70">
        <f t="shared" si="112"/>
        <v>0</v>
      </c>
      <c r="AY79" s="72" t="s">
        <v>151</v>
      </c>
      <c r="AZ79" s="72" t="s">
        <v>135</v>
      </c>
      <c r="BA79" s="55" t="s">
        <v>101</v>
      </c>
      <c r="BC79" s="70">
        <f t="shared" si="113"/>
        <v>0</v>
      </c>
      <c r="BD79" s="70">
        <f t="shared" si="114"/>
        <v>0</v>
      </c>
      <c r="BE79" s="70">
        <v>0</v>
      </c>
      <c r="BF79" s="70">
        <f>79</f>
        <v>79</v>
      </c>
      <c r="BH79" s="70">
        <f t="shared" si="115"/>
        <v>0</v>
      </c>
      <c r="BI79" s="70">
        <f t="shared" si="116"/>
        <v>0</v>
      </c>
      <c r="BJ79" s="70">
        <f t="shared" si="117"/>
        <v>0</v>
      </c>
      <c r="BK79" s="70"/>
      <c r="BL79" s="70"/>
      <c r="BW79" s="70">
        <v>21</v>
      </c>
    </row>
    <row r="80" spans="1:75" ht="13.5" customHeight="1">
      <c r="A80" s="69" t="s">
        <v>304</v>
      </c>
      <c r="B80" s="10" t="s">
        <v>305</v>
      </c>
      <c r="C80" s="8" t="s">
        <v>306</v>
      </c>
      <c r="D80" s="8"/>
      <c r="E80" s="10" t="s">
        <v>142</v>
      </c>
      <c r="F80" s="70">
        <v>29</v>
      </c>
      <c r="G80" s="70">
        <v>0</v>
      </c>
      <c r="H80" s="70">
        <f t="shared" si="94"/>
        <v>0</v>
      </c>
      <c r="I80" s="70">
        <f t="shared" si="95"/>
        <v>0</v>
      </c>
      <c r="J80" s="70">
        <f t="shared" si="96"/>
        <v>0</v>
      </c>
      <c r="K80" s="71" t="s">
        <v>111</v>
      </c>
      <c r="Z80" s="70">
        <f t="shared" si="97"/>
        <v>0</v>
      </c>
      <c r="AB80" s="70">
        <f t="shared" si="98"/>
        <v>0</v>
      </c>
      <c r="AC80" s="70">
        <f t="shared" si="99"/>
        <v>0</v>
      </c>
      <c r="AD80" s="70">
        <f t="shared" si="100"/>
        <v>0</v>
      </c>
      <c r="AE80" s="70">
        <f t="shared" si="101"/>
        <v>0</v>
      </c>
      <c r="AF80" s="70">
        <f t="shared" si="102"/>
        <v>0</v>
      </c>
      <c r="AG80" s="70">
        <f t="shared" si="103"/>
        <v>0</v>
      </c>
      <c r="AH80" s="70">
        <f t="shared" si="104"/>
        <v>0</v>
      </c>
      <c r="AI80" s="55"/>
      <c r="AJ80" s="70">
        <f t="shared" si="105"/>
        <v>0</v>
      </c>
      <c r="AK80" s="70">
        <f t="shared" si="106"/>
        <v>0</v>
      </c>
      <c r="AL80" s="70">
        <f t="shared" si="107"/>
        <v>0</v>
      </c>
      <c r="AN80" s="70">
        <v>21</v>
      </c>
      <c r="AO80" s="70">
        <f t="shared" si="108"/>
        <v>0</v>
      </c>
      <c r="AP80" s="70">
        <f t="shared" si="109"/>
        <v>0</v>
      </c>
      <c r="AQ80" s="72" t="s">
        <v>102</v>
      </c>
      <c r="AV80" s="70">
        <f t="shared" si="110"/>
        <v>0</v>
      </c>
      <c r="AW80" s="70">
        <f t="shared" si="111"/>
        <v>0</v>
      </c>
      <c r="AX80" s="70">
        <f t="shared" si="112"/>
        <v>0</v>
      </c>
      <c r="AY80" s="72" t="s">
        <v>151</v>
      </c>
      <c r="AZ80" s="72" t="s">
        <v>135</v>
      </c>
      <c r="BA80" s="55" t="s">
        <v>101</v>
      </c>
      <c r="BC80" s="70">
        <f t="shared" si="113"/>
        <v>0</v>
      </c>
      <c r="BD80" s="70">
        <f t="shared" si="114"/>
        <v>0</v>
      </c>
      <c r="BE80" s="70">
        <v>0</v>
      </c>
      <c r="BF80" s="70">
        <f>80</f>
        <v>80</v>
      </c>
      <c r="BH80" s="70">
        <f t="shared" si="115"/>
        <v>0</v>
      </c>
      <c r="BI80" s="70">
        <f t="shared" si="116"/>
        <v>0</v>
      </c>
      <c r="BJ80" s="70">
        <f t="shared" si="117"/>
        <v>0</v>
      </c>
      <c r="BK80" s="70"/>
      <c r="BL80" s="70"/>
      <c r="BW80" s="70">
        <v>21</v>
      </c>
    </row>
    <row r="81" spans="1:47" ht="15" customHeight="1">
      <c r="A81" s="64"/>
      <c r="B81" s="65" t="s">
        <v>307</v>
      </c>
      <c r="C81" s="66" t="s">
        <v>308</v>
      </c>
      <c r="D81" s="66"/>
      <c r="E81" s="67" t="s">
        <v>59</v>
      </c>
      <c r="F81" s="67" t="s">
        <v>59</v>
      </c>
      <c r="G81" s="67" t="s">
        <v>59</v>
      </c>
      <c r="H81" s="47">
        <f>SUM(H82:H86)</f>
        <v>0</v>
      </c>
      <c r="I81" s="47">
        <f>SUM(I82:I86)</f>
        <v>0</v>
      </c>
      <c r="J81" s="47">
        <f>SUM(J82:J86)</f>
        <v>0</v>
      </c>
      <c r="K81" s="68"/>
      <c r="AI81" s="55"/>
      <c r="AS81" s="47">
        <f>SUM(AJ82:AJ86)</f>
        <v>0</v>
      </c>
      <c r="AT81" s="47">
        <f>SUM(AK82:AK86)</f>
        <v>0</v>
      </c>
      <c r="AU81" s="47">
        <f>SUM(AL82:AL86)</f>
        <v>0</v>
      </c>
    </row>
    <row r="82" spans="1:75" ht="13.5" customHeight="1">
      <c r="A82" s="69" t="s">
        <v>309</v>
      </c>
      <c r="B82" s="10" t="s">
        <v>310</v>
      </c>
      <c r="C82" s="8" t="s">
        <v>311</v>
      </c>
      <c r="D82" s="8"/>
      <c r="E82" s="10" t="s">
        <v>312</v>
      </c>
      <c r="F82" s="70">
        <v>1.5</v>
      </c>
      <c r="G82" s="70">
        <v>0</v>
      </c>
      <c r="H82" s="70">
        <f aca="true" t="shared" si="118" ref="H82:H86">F82*AO82</f>
        <v>0</v>
      </c>
      <c r="I82" s="70">
        <f aca="true" t="shared" si="119" ref="I82:I86">F82*AP82</f>
        <v>0</v>
      </c>
      <c r="J82" s="70">
        <f aca="true" t="shared" si="120" ref="J82:J86">F82*G82</f>
        <v>0</v>
      </c>
      <c r="K82" s="71" t="s">
        <v>111</v>
      </c>
      <c r="Z82" s="70">
        <f aca="true" t="shared" si="121" ref="Z82:Z86">IF(AQ82="5",BJ82,0)</f>
        <v>0</v>
      </c>
      <c r="AB82" s="70">
        <f aca="true" t="shared" si="122" ref="AB82:AB86">IF(AQ82="1",BH82,0)</f>
        <v>0</v>
      </c>
      <c r="AC82" s="70">
        <f aca="true" t="shared" si="123" ref="AC82:AC86">IF(AQ82="1",BI82,0)</f>
        <v>0</v>
      </c>
      <c r="AD82" s="70">
        <f aca="true" t="shared" si="124" ref="AD82:AD86">IF(AQ82="7",BH82,0)</f>
        <v>0</v>
      </c>
      <c r="AE82" s="70">
        <f aca="true" t="shared" si="125" ref="AE82:AE86">IF(AQ82="7",BI82,0)</f>
        <v>0</v>
      </c>
      <c r="AF82" s="70">
        <f aca="true" t="shared" si="126" ref="AF82:AF86">IF(AQ82="2",BH82,0)</f>
        <v>0</v>
      </c>
      <c r="AG82" s="70">
        <f aca="true" t="shared" si="127" ref="AG82:AG86">IF(AQ82="2",BI82,0)</f>
        <v>0</v>
      </c>
      <c r="AH82" s="70">
        <f aca="true" t="shared" si="128" ref="AH82:AH86">IF(AQ82="0",BJ82,0)</f>
        <v>0</v>
      </c>
      <c r="AI82" s="55"/>
      <c r="AJ82" s="70">
        <f aca="true" t="shared" si="129" ref="AJ82:AJ86">IF(AN82=0,J82,0)</f>
        <v>0</v>
      </c>
      <c r="AK82" s="70">
        <f aca="true" t="shared" si="130" ref="AK82:AK86">IF(AN82=12,J82,0)</f>
        <v>0</v>
      </c>
      <c r="AL82" s="70">
        <f aca="true" t="shared" si="131" ref="AL82:AL86">IF(AN82=21,J82,0)</f>
        <v>0</v>
      </c>
      <c r="AN82" s="70">
        <v>21</v>
      </c>
      <c r="AO82" s="70">
        <f aca="true" t="shared" si="132" ref="AO82:AO86">G82*0</f>
        <v>0</v>
      </c>
      <c r="AP82" s="70">
        <f aca="true" t="shared" si="133" ref="AP82:AP86">G82*(1-0)</f>
        <v>0</v>
      </c>
      <c r="AQ82" s="72" t="s">
        <v>117</v>
      </c>
      <c r="AV82" s="70">
        <f aca="true" t="shared" si="134" ref="AV82:AV86">AW82+AX82</f>
        <v>0</v>
      </c>
      <c r="AW82" s="70">
        <f aca="true" t="shared" si="135" ref="AW82:AW86">F82*AO82</f>
        <v>0</v>
      </c>
      <c r="AX82" s="70">
        <f aca="true" t="shared" si="136" ref="AX82:AX86">F82*AP82</f>
        <v>0</v>
      </c>
      <c r="AY82" s="72" t="s">
        <v>313</v>
      </c>
      <c r="AZ82" s="72" t="s">
        <v>135</v>
      </c>
      <c r="BA82" s="55" t="s">
        <v>101</v>
      </c>
      <c r="BC82" s="70">
        <f aca="true" t="shared" si="137" ref="BC82:BC86">AW82+AX82</f>
        <v>0</v>
      </c>
      <c r="BD82" s="70">
        <f aca="true" t="shared" si="138" ref="BD82:BD86">G82/(100-BE82)*100</f>
        <v>0</v>
      </c>
      <c r="BE82" s="70">
        <v>0</v>
      </c>
      <c r="BF82" s="70">
        <f>82</f>
        <v>82</v>
      </c>
      <c r="BH82" s="70">
        <f aca="true" t="shared" si="139" ref="BH82:BH86">F82*AO82</f>
        <v>0</v>
      </c>
      <c r="BI82" s="70">
        <f aca="true" t="shared" si="140" ref="BI82:BI86">F82*AP82</f>
        <v>0</v>
      </c>
      <c r="BJ82" s="70">
        <f aca="true" t="shared" si="141" ref="BJ82:BJ86">F82*G82</f>
        <v>0</v>
      </c>
      <c r="BK82" s="70"/>
      <c r="BL82" s="70"/>
      <c r="BW82" s="70">
        <v>21</v>
      </c>
    </row>
    <row r="83" spans="1:75" ht="13.5" customHeight="1">
      <c r="A83" s="69" t="s">
        <v>314</v>
      </c>
      <c r="B83" s="10" t="s">
        <v>315</v>
      </c>
      <c r="C83" s="8" t="s">
        <v>316</v>
      </c>
      <c r="D83" s="8"/>
      <c r="E83" s="10" t="s">
        <v>312</v>
      </c>
      <c r="F83" s="70">
        <v>2</v>
      </c>
      <c r="G83" s="70">
        <v>0</v>
      </c>
      <c r="H83" s="70">
        <f t="shared" si="118"/>
        <v>0</v>
      </c>
      <c r="I83" s="70">
        <f t="shared" si="119"/>
        <v>0</v>
      </c>
      <c r="J83" s="70">
        <f t="shared" si="120"/>
        <v>0</v>
      </c>
      <c r="K83" s="71" t="s">
        <v>111</v>
      </c>
      <c r="Z83" s="70">
        <f t="shared" si="121"/>
        <v>0</v>
      </c>
      <c r="AB83" s="70">
        <f t="shared" si="122"/>
        <v>0</v>
      </c>
      <c r="AC83" s="70">
        <f t="shared" si="123"/>
        <v>0</v>
      </c>
      <c r="AD83" s="70">
        <f t="shared" si="124"/>
        <v>0</v>
      </c>
      <c r="AE83" s="70">
        <f t="shared" si="125"/>
        <v>0</v>
      </c>
      <c r="AF83" s="70">
        <f t="shared" si="126"/>
        <v>0</v>
      </c>
      <c r="AG83" s="70">
        <f t="shared" si="127"/>
        <v>0</v>
      </c>
      <c r="AH83" s="70">
        <f t="shared" si="128"/>
        <v>0</v>
      </c>
      <c r="AI83" s="55"/>
      <c r="AJ83" s="70">
        <f t="shared" si="129"/>
        <v>0</v>
      </c>
      <c r="AK83" s="70">
        <f t="shared" si="130"/>
        <v>0</v>
      </c>
      <c r="AL83" s="70">
        <f t="shared" si="131"/>
        <v>0</v>
      </c>
      <c r="AN83" s="70">
        <v>21</v>
      </c>
      <c r="AO83" s="70">
        <f t="shared" si="132"/>
        <v>0</v>
      </c>
      <c r="AP83" s="70">
        <f t="shared" si="133"/>
        <v>0</v>
      </c>
      <c r="AQ83" s="72" t="s">
        <v>117</v>
      </c>
      <c r="AV83" s="70">
        <f t="shared" si="134"/>
        <v>0</v>
      </c>
      <c r="AW83" s="70">
        <f t="shared" si="135"/>
        <v>0</v>
      </c>
      <c r="AX83" s="70">
        <f t="shared" si="136"/>
        <v>0</v>
      </c>
      <c r="AY83" s="72" t="s">
        <v>313</v>
      </c>
      <c r="AZ83" s="72" t="s">
        <v>135</v>
      </c>
      <c r="BA83" s="55" t="s">
        <v>101</v>
      </c>
      <c r="BC83" s="70">
        <f t="shared" si="137"/>
        <v>0</v>
      </c>
      <c r="BD83" s="70">
        <f t="shared" si="138"/>
        <v>0</v>
      </c>
      <c r="BE83" s="70">
        <v>0</v>
      </c>
      <c r="BF83" s="70">
        <f>83</f>
        <v>83</v>
      </c>
      <c r="BH83" s="70">
        <f t="shared" si="139"/>
        <v>0</v>
      </c>
      <c r="BI83" s="70">
        <f t="shared" si="140"/>
        <v>0</v>
      </c>
      <c r="BJ83" s="70">
        <f t="shared" si="141"/>
        <v>0</v>
      </c>
      <c r="BK83" s="70"/>
      <c r="BL83" s="70"/>
      <c r="BW83" s="70">
        <v>21</v>
      </c>
    </row>
    <row r="84" spans="1:75" ht="13.5" customHeight="1">
      <c r="A84" s="69" t="s">
        <v>317</v>
      </c>
      <c r="B84" s="10" t="s">
        <v>318</v>
      </c>
      <c r="C84" s="8" t="s">
        <v>319</v>
      </c>
      <c r="D84" s="8"/>
      <c r="E84" s="10" t="s">
        <v>312</v>
      </c>
      <c r="F84" s="70">
        <v>1.5</v>
      </c>
      <c r="G84" s="70">
        <v>0</v>
      </c>
      <c r="H84" s="70">
        <f t="shared" si="118"/>
        <v>0</v>
      </c>
      <c r="I84" s="70">
        <f t="shared" si="119"/>
        <v>0</v>
      </c>
      <c r="J84" s="70">
        <f t="shared" si="120"/>
        <v>0</v>
      </c>
      <c r="K84" s="71" t="s">
        <v>111</v>
      </c>
      <c r="Z84" s="70">
        <f t="shared" si="121"/>
        <v>0</v>
      </c>
      <c r="AB84" s="70">
        <f t="shared" si="122"/>
        <v>0</v>
      </c>
      <c r="AC84" s="70">
        <f t="shared" si="123"/>
        <v>0</v>
      </c>
      <c r="AD84" s="70">
        <f t="shared" si="124"/>
        <v>0</v>
      </c>
      <c r="AE84" s="70">
        <f t="shared" si="125"/>
        <v>0</v>
      </c>
      <c r="AF84" s="70">
        <f t="shared" si="126"/>
        <v>0</v>
      </c>
      <c r="AG84" s="70">
        <f t="shared" si="127"/>
        <v>0</v>
      </c>
      <c r="AH84" s="70">
        <f t="shared" si="128"/>
        <v>0</v>
      </c>
      <c r="AI84" s="55"/>
      <c r="AJ84" s="70">
        <f t="shared" si="129"/>
        <v>0</v>
      </c>
      <c r="AK84" s="70">
        <f t="shared" si="130"/>
        <v>0</v>
      </c>
      <c r="AL84" s="70">
        <f t="shared" si="131"/>
        <v>0</v>
      </c>
      <c r="AN84" s="70">
        <v>21</v>
      </c>
      <c r="AO84" s="70">
        <f t="shared" si="132"/>
        <v>0</v>
      </c>
      <c r="AP84" s="70">
        <f t="shared" si="133"/>
        <v>0</v>
      </c>
      <c r="AQ84" s="72" t="s">
        <v>117</v>
      </c>
      <c r="AV84" s="70">
        <f t="shared" si="134"/>
        <v>0</v>
      </c>
      <c r="AW84" s="70">
        <f t="shared" si="135"/>
        <v>0</v>
      </c>
      <c r="AX84" s="70">
        <f t="shared" si="136"/>
        <v>0</v>
      </c>
      <c r="AY84" s="72" t="s">
        <v>313</v>
      </c>
      <c r="AZ84" s="72" t="s">
        <v>135</v>
      </c>
      <c r="BA84" s="55" t="s">
        <v>101</v>
      </c>
      <c r="BC84" s="70">
        <f t="shared" si="137"/>
        <v>0</v>
      </c>
      <c r="BD84" s="70">
        <f t="shared" si="138"/>
        <v>0</v>
      </c>
      <c r="BE84" s="70">
        <v>0</v>
      </c>
      <c r="BF84" s="70">
        <f>84</f>
        <v>84</v>
      </c>
      <c r="BH84" s="70">
        <f t="shared" si="139"/>
        <v>0</v>
      </c>
      <c r="BI84" s="70">
        <f t="shared" si="140"/>
        <v>0</v>
      </c>
      <c r="BJ84" s="70">
        <f t="shared" si="141"/>
        <v>0</v>
      </c>
      <c r="BK84" s="70"/>
      <c r="BL84" s="70"/>
      <c r="BW84" s="70">
        <v>21</v>
      </c>
    </row>
    <row r="85" spans="1:75" ht="13.5" customHeight="1">
      <c r="A85" s="69" t="s">
        <v>320</v>
      </c>
      <c r="B85" s="10" t="s">
        <v>321</v>
      </c>
      <c r="C85" s="8" t="s">
        <v>322</v>
      </c>
      <c r="D85" s="8"/>
      <c r="E85" s="10" t="s">
        <v>312</v>
      </c>
      <c r="F85" s="70">
        <v>1.5</v>
      </c>
      <c r="G85" s="70">
        <v>0</v>
      </c>
      <c r="H85" s="70">
        <f t="shared" si="118"/>
        <v>0</v>
      </c>
      <c r="I85" s="70">
        <f t="shared" si="119"/>
        <v>0</v>
      </c>
      <c r="J85" s="70">
        <f t="shared" si="120"/>
        <v>0</v>
      </c>
      <c r="K85" s="71" t="s">
        <v>111</v>
      </c>
      <c r="Z85" s="70">
        <f t="shared" si="121"/>
        <v>0</v>
      </c>
      <c r="AB85" s="70">
        <f t="shared" si="122"/>
        <v>0</v>
      </c>
      <c r="AC85" s="70">
        <f t="shared" si="123"/>
        <v>0</v>
      </c>
      <c r="AD85" s="70">
        <f t="shared" si="124"/>
        <v>0</v>
      </c>
      <c r="AE85" s="70">
        <f t="shared" si="125"/>
        <v>0</v>
      </c>
      <c r="AF85" s="70">
        <f t="shared" si="126"/>
        <v>0</v>
      </c>
      <c r="AG85" s="70">
        <f t="shared" si="127"/>
        <v>0</v>
      </c>
      <c r="AH85" s="70">
        <f t="shared" si="128"/>
        <v>0</v>
      </c>
      <c r="AI85" s="55"/>
      <c r="AJ85" s="70">
        <f t="shared" si="129"/>
        <v>0</v>
      </c>
      <c r="AK85" s="70">
        <f t="shared" si="130"/>
        <v>0</v>
      </c>
      <c r="AL85" s="70">
        <f t="shared" si="131"/>
        <v>0</v>
      </c>
      <c r="AN85" s="70">
        <v>21</v>
      </c>
      <c r="AO85" s="70">
        <f t="shared" si="132"/>
        <v>0</v>
      </c>
      <c r="AP85" s="70">
        <f t="shared" si="133"/>
        <v>0</v>
      </c>
      <c r="AQ85" s="72" t="s">
        <v>117</v>
      </c>
      <c r="AV85" s="70">
        <f t="shared" si="134"/>
        <v>0</v>
      </c>
      <c r="AW85" s="70">
        <f t="shared" si="135"/>
        <v>0</v>
      </c>
      <c r="AX85" s="70">
        <f t="shared" si="136"/>
        <v>0</v>
      </c>
      <c r="AY85" s="72" t="s">
        <v>313</v>
      </c>
      <c r="AZ85" s="72" t="s">
        <v>135</v>
      </c>
      <c r="BA85" s="55" t="s">
        <v>101</v>
      </c>
      <c r="BC85" s="70">
        <f t="shared" si="137"/>
        <v>0</v>
      </c>
      <c r="BD85" s="70">
        <f t="shared" si="138"/>
        <v>0</v>
      </c>
      <c r="BE85" s="70">
        <v>0</v>
      </c>
      <c r="BF85" s="70">
        <f>85</f>
        <v>85</v>
      </c>
      <c r="BH85" s="70">
        <f t="shared" si="139"/>
        <v>0</v>
      </c>
      <c r="BI85" s="70">
        <f t="shared" si="140"/>
        <v>0</v>
      </c>
      <c r="BJ85" s="70">
        <f t="shared" si="141"/>
        <v>0</v>
      </c>
      <c r="BK85" s="70"/>
      <c r="BL85" s="70"/>
      <c r="BW85" s="70">
        <v>21</v>
      </c>
    </row>
    <row r="86" spans="1:75" ht="13.5" customHeight="1">
      <c r="A86" s="69" t="s">
        <v>323</v>
      </c>
      <c r="B86" s="10" t="s">
        <v>324</v>
      </c>
      <c r="C86" s="8" t="s">
        <v>325</v>
      </c>
      <c r="D86" s="8"/>
      <c r="E86" s="10" t="s">
        <v>312</v>
      </c>
      <c r="F86" s="70">
        <v>1.5</v>
      </c>
      <c r="G86" s="70">
        <v>0</v>
      </c>
      <c r="H86" s="70">
        <f t="shared" si="118"/>
        <v>0</v>
      </c>
      <c r="I86" s="70">
        <f t="shared" si="119"/>
        <v>0</v>
      </c>
      <c r="J86" s="70">
        <f t="shared" si="120"/>
        <v>0</v>
      </c>
      <c r="K86" s="71" t="s">
        <v>111</v>
      </c>
      <c r="Z86" s="70">
        <f t="shared" si="121"/>
        <v>0</v>
      </c>
      <c r="AB86" s="70">
        <f t="shared" si="122"/>
        <v>0</v>
      </c>
      <c r="AC86" s="70">
        <f t="shared" si="123"/>
        <v>0</v>
      </c>
      <c r="AD86" s="70">
        <f t="shared" si="124"/>
        <v>0</v>
      </c>
      <c r="AE86" s="70">
        <f t="shared" si="125"/>
        <v>0</v>
      </c>
      <c r="AF86" s="70">
        <f t="shared" si="126"/>
        <v>0</v>
      </c>
      <c r="AG86" s="70">
        <f t="shared" si="127"/>
        <v>0</v>
      </c>
      <c r="AH86" s="70">
        <f t="shared" si="128"/>
        <v>0</v>
      </c>
      <c r="AI86" s="55"/>
      <c r="AJ86" s="70">
        <f t="shared" si="129"/>
        <v>0</v>
      </c>
      <c r="AK86" s="70">
        <f t="shared" si="130"/>
        <v>0</v>
      </c>
      <c r="AL86" s="70">
        <f t="shared" si="131"/>
        <v>0</v>
      </c>
      <c r="AN86" s="70">
        <v>21</v>
      </c>
      <c r="AO86" s="70">
        <f t="shared" si="132"/>
        <v>0</v>
      </c>
      <c r="AP86" s="70">
        <f t="shared" si="133"/>
        <v>0</v>
      </c>
      <c r="AQ86" s="72" t="s">
        <v>117</v>
      </c>
      <c r="AV86" s="70">
        <f t="shared" si="134"/>
        <v>0</v>
      </c>
      <c r="AW86" s="70">
        <f t="shared" si="135"/>
        <v>0</v>
      </c>
      <c r="AX86" s="70">
        <f t="shared" si="136"/>
        <v>0</v>
      </c>
      <c r="AY86" s="72" t="s">
        <v>313</v>
      </c>
      <c r="AZ86" s="72" t="s">
        <v>135</v>
      </c>
      <c r="BA86" s="55" t="s">
        <v>101</v>
      </c>
      <c r="BC86" s="70">
        <f t="shared" si="137"/>
        <v>0</v>
      </c>
      <c r="BD86" s="70">
        <f t="shared" si="138"/>
        <v>0</v>
      </c>
      <c r="BE86" s="70">
        <v>0</v>
      </c>
      <c r="BF86" s="70">
        <f>86</f>
        <v>86</v>
      </c>
      <c r="BH86" s="70">
        <f t="shared" si="139"/>
        <v>0</v>
      </c>
      <c r="BI86" s="70">
        <f t="shared" si="140"/>
        <v>0</v>
      </c>
      <c r="BJ86" s="70">
        <f t="shared" si="141"/>
        <v>0</v>
      </c>
      <c r="BK86" s="70"/>
      <c r="BL86" s="70"/>
      <c r="BW86" s="70">
        <v>21</v>
      </c>
    </row>
    <row r="87" spans="1:47" ht="15" customHeight="1">
      <c r="A87" s="64"/>
      <c r="B87" s="65"/>
      <c r="C87" s="66" t="s">
        <v>35</v>
      </c>
      <c r="D87" s="66"/>
      <c r="E87" s="67" t="s">
        <v>59</v>
      </c>
      <c r="F87" s="67" t="s">
        <v>59</v>
      </c>
      <c r="G87" s="67" t="s">
        <v>59</v>
      </c>
      <c r="H87" s="47">
        <f>SUM(H88:H173)</f>
        <v>0</v>
      </c>
      <c r="I87" s="47">
        <f>SUM(I88:I173)</f>
        <v>0</v>
      </c>
      <c r="J87" s="47">
        <f>SUM(J88:J173)</f>
        <v>0</v>
      </c>
      <c r="K87" s="68"/>
      <c r="AI87" s="55"/>
      <c r="AS87" s="47">
        <f>SUM(AJ88:AJ173)</f>
        <v>0</v>
      </c>
      <c r="AT87" s="47">
        <f>SUM(AK88:AK173)</f>
        <v>0</v>
      </c>
      <c r="AU87" s="47">
        <f>SUM(AL88:AL173)</f>
        <v>0</v>
      </c>
    </row>
    <row r="88" spans="1:75" ht="13.5" customHeight="1">
      <c r="A88" s="69" t="s">
        <v>326</v>
      </c>
      <c r="B88" s="10" t="s">
        <v>327</v>
      </c>
      <c r="C88" s="8" t="s">
        <v>328</v>
      </c>
      <c r="D88" s="8"/>
      <c r="E88" s="10" t="s">
        <v>133</v>
      </c>
      <c r="F88" s="70">
        <v>5</v>
      </c>
      <c r="G88" s="70">
        <v>0</v>
      </c>
      <c r="H88" s="70">
        <f aca="true" t="shared" si="142" ref="H88:H173">F88*AO88</f>
        <v>0</v>
      </c>
      <c r="I88" s="70">
        <f aca="true" t="shared" si="143" ref="I88:I173">F88*AP88</f>
        <v>0</v>
      </c>
      <c r="J88" s="70">
        <f aca="true" t="shared" si="144" ref="J88:J173">F88*G88</f>
        <v>0</v>
      </c>
      <c r="K88" s="71" t="s">
        <v>111</v>
      </c>
      <c r="Z88" s="70">
        <f aca="true" t="shared" si="145" ref="Z88:Z173">IF(AQ88="5",BJ88,0)</f>
        <v>0</v>
      </c>
      <c r="AB88" s="70">
        <f aca="true" t="shared" si="146" ref="AB88:AB173">IF(AQ88="1",BH88,0)</f>
        <v>0</v>
      </c>
      <c r="AC88" s="70">
        <f aca="true" t="shared" si="147" ref="AC88:AC173">IF(AQ88="1",BI88,0)</f>
        <v>0</v>
      </c>
      <c r="AD88" s="70">
        <f aca="true" t="shared" si="148" ref="AD88:AD173">IF(AQ88="7",BH88,0)</f>
        <v>0</v>
      </c>
      <c r="AE88" s="70">
        <f aca="true" t="shared" si="149" ref="AE88:AE173">IF(AQ88="7",BI88,0)</f>
        <v>0</v>
      </c>
      <c r="AF88" s="70">
        <f aca="true" t="shared" si="150" ref="AF88:AF173">IF(AQ88="2",BH88,0)</f>
        <v>0</v>
      </c>
      <c r="AG88" s="70">
        <f aca="true" t="shared" si="151" ref="AG88:AG173">IF(AQ88="2",BI88,0)</f>
        <v>0</v>
      </c>
      <c r="AH88" s="70">
        <f aca="true" t="shared" si="152" ref="AH88:AH173">IF(AQ88="0",BJ88,0)</f>
        <v>0</v>
      </c>
      <c r="AI88" s="55"/>
      <c r="AJ88" s="70">
        <f aca="true" t="shared" si="153" ref="AJ88:AJ173">IF(AN88=0,J88,0)</f>
        <v>0</v>
      </c>
      <c r="AK88" s="70">
        <f aca="true" t="shared" si="154" ref="AK88:AK173">IF(AN88=12,J88,0)</f>
        <v>0</v>
      </c>
      <c r="AL88" s="70">
        <f aca="true" t="shared" si="155" ref="AL88:AL173">IF(AN88=21,J88,0)</f>
        <v>0</v>
      </c>
      <c r="AN88" s="70">
        <v>21</v>
      </c>
      <c r="AO88" s="70">
        <f aca="true" t="shared" si="156" ref="AO88:AO173">G88*1</f>
        <v>0</v>
      </c>
      <c r="AP88" s="70">
        <f aca="true" t="shared" si="157" ref="AP88:AP173">G88*(1-1)</f>
        <v>0</v>
      </c>
      <c r="AQ88" s="72" t="s">
        <v>94</v>
      </c>
      <c r="AV88" s="70">
        <f aca="true" t="shared" si="158" ref="AV88:AV173">AW88+AX88</f>
        <v>0</v>
      </c>
      <c r="AW88" s="70">
        <f aca="true" t="shared" si="159" ref="AW88:AW173">F88*AO88</f>
        <v>0</v>
      </c>
      <c r="AX88" s="70">
        <f aca="true" t="shared" si="160" ref="AX88:AX173">F88*AP88</f>
        <v>0</v>
      </c>
      <c r="AY88" s="72" t="s">
        <v>329</v>
      </c>
      <c r="AZ88" s="72" t="s">
        <v>330</v>
      </c>
      <c r="BA88" s="55" t="s">
        <v>101</v>
      </c>
      <c r="BC88" s="70">
        <f aca="true" t="shared" si="161" ref="BC88:BC173">AW88+AX88</f>
        <v>0</v>
      </c>
      <c r="BD88" s="70">
        <f aca="true" t="shared" si="162" ref="BD88:BD173">G88/(100-BE88)*100</f>
        <v>0</v>
      </c>
      <c r="BE88" s="70">
        <v>0</v>
      </c>
      <c r="BF88" s="70">
        <f>88</f>
        <v>88</v>
      </c>
      <c r="BH88" s="70">
        <f aca="true" t="shared" si="163" ref="BH88:BH173">F88*AO88</f>
        <v>0</v>
      </c>
      <c r="BI88" s="70">
        <f aca="true" t="shared" si="164" ref="BI88:BI173">F88*AP88</f>
        <v>0</v>
      </c>
      <c r="BJ88" s="70">
        <f aca="true" t="shared" si="165" ref="BJ88:BJ173">F88*G88</f>
        <v>0</v>
      </c>
      <c r="BK88" s="70"/>
      <c r="BL88" s="70"/>
      <c r="BW88" s="70">
        <v>21</v>
      </c>
    </row>
    <row r="89" spans="1:75" ht="13.5" customHeight="1">
      <c r="A89" s="69" t="s">
        <v>331</v>
      </c>
      <c r="B89" s="10" t="s">
        <v>332</v>
      </c>
      <c r="C89" s="8" t="s">
        <v>333</v>
      </c>
      <c r="D89" s="8"/>
      <c r="E89" s="10" t="s">
        <v>133</v>
      </c>
      <c r="F89" s="70">
        <v>5</v>
      </c>
      <c r="G89" s="70">
        <v>0</v>
      </c>
      <c r="H89" s="70">
        <f t="shared" si="142"/>
        <v>0</v>
      </c>
      <c r="I89" s="70">
        <f t="shared" si="143"/>
        <v>0</v>
      </c>
      <c r="J89" s="70">
        <f t="shared" si="144"/>
        <v>0</v>
      </c>
      <c r="K89" s="71" t="s">
        <v>111</v>
      </c>
      <c r="Z89" s="70">
        <f t="shared" si="145"/>
        <v>0</v>
      </c>
      <c r="AB89" s="70">
        <f t="shared" si="146"/>
        <v>0</v>
      </c>
      <c r="AC89" s="70">
        <f t="shared" si="147"/>
        <v>0</v>
      </c>
      <c r="AD89" s="70">
        <f t="shared" si="148"/>
        <v>0</v>
      </c>
      <c r="AE89" s="70">
        <f t="shared" si="149"/>
        <v>0</v>
      </c>
      <c r="AF89" s="70">
        <f t="shared" si="150"/>
        <v>0</v>
      </c>
      <c r="AG89" s="70">
        <f t="shared" si="151"/>
        <v>0</v>
      </c>
      <c r="AH89" s="70">
        <f t="shared" si="152"/>
        <v>0</v>
      </c>
      <c r="AI89" s="55"/>
      <c r="AJ89" s="70">
        <f t="shared" si="153"/>
        <v>0</v>
      </c>
      <c r="AK89" s="70">
        <f t="shared" si="154"/>
        <v>0</v>
      </c>
      <c r="AL89" s="70">
        <f t="shared" si="155"/>
        <v>0</v>
      </c>
      <c r="AN89" s="70">
        <v>21</v>
      </c>
      <c r="AO89" s="70">
        <f t="shared" si="156"/>
        <v>0</v>
      </c>
      <c r="AP89" s="70">
        <f t="shared" si="157"/>
        <v>0</v>
      </c>
      <c r="AQ89" s="72" t="s">
        <v>94</v>
      </c>
      <c r="AV89" s="70">
        <f t="shared" si="158"/>
        <v>0</v>
      </c>
      <c r="AW89" s="70">
        <f t="shared" si="159"/>
        <v>0</v>
      </c>
      <c r="AX89" s="70">
        <f t="shared" si="160"/>
        <v>0</v>
      </c>
      <c r="AY89" s="72" t="s">
        <v>329</v>
      </c>
      <c r="AZ89" s="72" t="s">
        <v>330</v>
      </c>
      <c r="BA89" s="55" t="s">
        <v>101</v>
      </c>
      <c r="BC89" s="70">
        <f t="shared" si="161"/>
        <v>0</v>
      </c>
      <c r="BD89" s="70">
        <f t="shared" si="162"/>
        <v>0</v>
      </c>
      <c r="BE89" s="70">
        <v>0</v>
      </c>
      <c r="BF89" s="70">
        <f>89</f>
        <v>89</v>
      </c>
      <c r="BH89" s="70">
        <f t="shared" si="163"/>
        <v>0</v>
      </c>
      <c r="BI89" s="70">
        <f t="shared" si="164"/>
        <v>0</v>
      </c>
      <c r="BJ89" s="70">
        <f t="shared" si="165"/>
        <v>0</v>
      </c>
      <c r="BK89" s="70"/>
      <c r="BL89" s="70"/>
      <c r="BW89" s="70">
        <v>21</v>
      </c>
    </row>
    <row r="90" spans="1:75" ht="13.5" customHeight="1">
      <c r="A90" s="69" t="s">
        <v>334</v>
      </c>
      <c r="B90" s="10" t="s">
        <v>335</v>
      </c>
      <c r="C90" s="8" t="s">
        <v>336</v>
      </c>
      <c r="D90" s="8"/>
      <c r="E90" s="10" t="s">
        <v>133</v>
      </c>
      <c r="F90" s="70">
        <v>50</v>
      </c>
      <c r="G90" s="70">
        <v>0</v>
      </c>
      <c r="H90" s="70">
        <f t="shared" si="142"/>
        <v>0</v>
      </c>
      <c r="I90" s="70">
        <f t="shared" si="143"/>
        <v>0</v>
      </c>
      <c r="J90" s="70">
        <f t="shared" si="144"/>
        <v>0</v>
      </c>
      <c r="K90" s="71" t="s">
        <v>111</v>
      </c>
      <c r="Z90" s="70">
        <f t="shared" si="145"/>
        <v>0</v>
      </c>
      <c r="AB90" s="70">
        <f t="shared" si="146"/>
        <v>0</v>
      </c>
      <c r="AC90" s="70">
        <f t="shared" si="147"/>
        <v>0</v>
      </c>
      <c r="AD90" s="70">
        <f t="shared" si="148"/>
        <v>0</v>
      </c>
      <c r="AE90" s="70">
        <f t="shared" si="149"/>
        <v>0</v>
      </c>
      <c r="AF90" s="70">
        <f t="shared" si="150"/>
        <v>0</v>
      </c>
      <c r="AG90" s="70">
        <f t="shared" si="151"/>
        <v>0</v>
      </c>
      <c r="AH90" s="70">
        <f t="shared" si="152"/>
        <v>0</v>
      </c>
      <c r="AI90" s="55"/>
      <c r="AJ90" s="70">
        <f t="shared" si="153"/>
        <v>0</v>
      </c>
      <c r="AK90" s="70">
        <f t="shared" si="154"/>
        <v>0</v>
      </c>
      <c r="AL90" s="70">
        <f t="shared" si="155"/>
        <v>0</v>
      </c>
      <c r="AN90" s="70">
        <v>21</v>
      </c>
      <c r="AO90" s="70">
        <f t="shared" si="156"/>
        <v>0</v>
      </c>
      <c r="AP90" s="70">
        <f t="shared" si="157"/>
        <v>0</v>
      </c>
      <c r="AQ90" s="72" t="s">
        <v>94</v>
      </c>
      <c r="AV90" s="70">
        <f t="shared" si="158"/>
        <v>0</v>
      </c>
      <c r="AW90" s="70">
        <f t="shared" si="159"/>
        <v>0</v>
      </c>
      <c r="AX90" s="70">
        <f t="shared" si="160"/>
        <v>0</v>
      </c>
      <c r="AY90" s="72" t="s">
        <v>329</v>
      </c>
      <c r="AZ90" s="72" t="s">
        <v>330</v>
      </c>
      <c r="BA90" s="55" t="s">
        <v>101</v>
      </c>
      <c r="BC90" s="70">
        <f t="shared" si="161"/>
        <v>0</v>
      </c>
      <c r="BD90" s="70">
        <f t="shared" si="162"/>
        <v>0</v>
      </c>
      <c r="BE90" s="70">
        <v>0</v>
      </c>
      <c r="BF90" s="70">
        <f>90</f>
        <v>90</v>
      </c>
      <c r="BH90" s="70">
        <f t="shared" si="163"/>
        <v>0</v>
      </c>
      <c r="BI90" s="70">
        <f t="shared" si="164"/>
        <v>0</v>
      </c>
      <c r="BJ90" s="70">
        <f t="shared" si="165"/>
        <v>0</v>
      </c>
      <c r="BK90" s="70"/>
      <c r="BL90" s="70"/>
      <c r="BW90" s="70">
        <v>21</v>
      </c>
    </row>
    <row r="91" spans="1:75" ht="13.5" customHeight="1">
      <c r="A91" s="69" t="s">
        <v>337</v>
      </c>
      <c r="B91" s="10" t="s">
        <v>338</v>
      </c>
      <c r="C91" s="8" t="s">
        <v>339</v>
      </c>
      <c r="D91" s="8"/>
      <c r="E91" s="10" t="s">
        <v>133</v>
      </c>
      <c r="F91" s="70">
        <v>200</v>
      </c>
      <c r="G91" s="70">
        <v>0</v>
      </c>
      <c r="H91" s="70">
        <f t="shared" si="142"/>
        <v>0</v>
      </c>
      <c r="I91" s="70">
        <f t="shared" si="143"/>
        <v>0</v>
      </c>
      <c r="J91" s="70">
        <f t="shared" si="144"/>
        <v>0</v>
      </c>
      <c r="K91" s="71" t="s">
        <v>111</v>
      </c>
      <c r="Z91" s="70">
        <f t="shared" si="145"/>
        <v>0</v>
      </c>
      <c r="AB91" s="70">
        <f t="shared" si="146"/>
        <v>0</v>
      </c>
      <c r="AC91" s="70">
        <f t="shared" si="147"/>
        <v>0</v>
      </c>
      <c r="AD91" s="70">
        <f t="shared" si="148"/>
        <v>0</v>
      </c>
      <c r="AE91" s="70">
        <f t="shared" si="149"/>
        <v>0</v>
      </c>
      <c r="AF91" s="70">
        <f t="shared" si="150"/>
        <v>0</v>
      </c>
      <c r="AG91" s="70">
        <f t="shared" si="151"/>
        <v>0</v>
      </c>
      <c r="AH91" s="70">
        <f t="shared" si="152"/>
        <v>0</v>
      </c>
      <c r="AI91" s="55"/>
      <c r="AJ91" s="70">
        <f t="shared" si="153"/>
        <v>0</v>
      </c>
      <c r="AK91" s="70">
        <f t="shared" si="154"/>
        <v>0</v>
      </c>
      <c r="AL91" s="70">
        <f t="shared" si="155"/>
        <v>0</v>
      </c>
      <c r="AN91" s="70">
        <v>21</v>
      </c>
      <c r="AO91" s="70">
        <f t="shared" si="156"/>
        <v>0</v>
      </c>
      <c r="AP91" s="70">
        <f t="shared" si="157"/>
        <v>0</v>
      </c>
      <c r="AQ91" s="72" t="s">
        <v>94</v>
      </c>
      <c r="AV91" s="70">
        <f t="shared" si="158"/>
        <v>0</v>
      </c>
      <c r="AW91" s="70">
        <f t="shared" si="159"/>
        <v>0</v>
      </c>
      <c r="AX91" s="70">
        <f t="shared" si="160"/>
        <v>0</v>
      </c>
      <c r="AY91" s="72" t="s">
        <v>329</v>
      </c>
      <c r="AZ91" s="72" t="s">
        <v>330</v>
      </c>
      <c r="BA91" s="55" t="s">
        <v>101</v>
      </c>
      <c r="BC91" s="70">
        <f t="shared" si="161"/>
        <v>0</v>
      </c>
      <c r="BD91" s="70">
        <f t="shared" si="162"/>
        <v>0</v>
      </c>
      <c r="BE91" s="70">
        <v>0</v>
      </c>
      <c r="BF91" s="70">
        <f>91</f>
        <v>91</v>
      </c>
      <c r="BH91" s="70">
        <f t="shared" si="163"/>
        <v>0</v>
      </c>
      <c r="BI91" s="70">
        <f t="shared" si="164"/>
        <v>0</v>
      </c>
      <c r="BJ91" s="70">
        <f t="shared" si="165"/>
        <v>0</v>
      </c>
      <c r="BK91" s="70"/>
      <c r="BL91" s="70"/>
      <c r="BW91" s="70">
        <v>21</v>
      </c>
    </row>
    <row r="92" spans="1:75" ht="13.5" customHeight="1">
      <c r="A92" s="69" t="s">
        <v>340</v>
      </c>
      <c r="B92" s="10" t="s">
        <v>341</v>
      </c>
      <c r="C92" s="8" t="s">
        <v>342</v>
      </c>
      <c r="D92" s="8"/>
      <c r="E92" s="10" t="s">
        <v>133</v>
      </c>
      <c r="F92" s="70">
        <v>50</v>
      </c>
      <c r="G92" s="70">
        <v>0</v>
      </c>
      <c r="H92" s="70">
        <f t="shared" si="142"/>
        <v>0</v>
      </c>
      <c r="I92" s="70">
        <f t="shared" si="143"/>
        <v>0</v>
      </c>
      <c r="J92" s="70">
        <f t="shared" si="144"/>
        <v>0</v>
      </c>
      <c r="K92" s="71" t="s">
        <v>111</v>
      </c>
      <c r="Z92" s="70">
        <f t="shared" si="145"/>
        <v>0</v>
      </c>
      <c r="AB92" s="70">
        <f t="shared" si="146"/>
        <v>0</v>
      </c>
      <c r="AC92" s="70">
        <f t="shared" si="147"/>
        <v>0</v>
      </c>
      <c r="AD92" s="70">
        <f t="shared" si="148"/>
        <v>0</v>
      </c>
      <c r="AE92" s="70">
        <f t="shared" si="149"/>
        <v>0</v>
      </c>
      <c r="AF92" s="70">
        <f t="shared" si="150"/>
        <v>0</v>
      </c>
      <c r="AG92" s="70">
        <f t="shared" si="151"/>
        <v>0</v>
      </c>
      <c r="AH92" s="70">
        <f t="shared" si="152"/>
        <v>0</v>
      </c>
      <c r="AI92" s="55"/>
      <c r="AJ92" s="70">
        <f t="shared" si="153"/>
        <v>0</v>
      </c>
      <c r="AK92" s="70">
        <f t="shared" si="154"/>
        <v>0</v>
      </c>
      <c r="AL92" s="70">
        <f t="shared" si="155"/>
        <v>0</v>
      </c>
      <c r="AN92" s="70">
        <v>21</v>
      </c>
      <c r="AO92" s="70">
        <f t="shared" si="156"/>
        <v>0</v>
      </c>
      <c r="AP92" s="70">
        <f t="shared" si="157"/>
        <v>0</v>
      </c>
      <c r="AQ92" s="72" t="s">
        <v>94</v>
      </c>
      <c r="AV92" s="70">
        <f t="shared" si="158"/>
        <v>0</v>
      </c>
      <c r="AW92" s="70">
        <f t="shared" si="159"/>
        <v>0</v>
      </c>
      <c r="AX92" s="70">
        <f t="shared" si="160"/>
        <v>0</v>
      </c>
      <c r="AY92" s="72" t="s">
        <v>329</v>
      </c>
      <c r="AZ92" s="72" t="s">
        <v>330</v>
      </c>
      <c r="BA92" s="55" t="s">
        <v>101</v>
      </c>
      <c r="BC92" s="70">
        <f t="shared" si="161"/>
        <v>0</v>
      </c>
      <c r="BD92" s="70">
        <f t="shared" si="162"/>
        <v>0</v>
      </c>
      <c r="BE92" s="70">
        <v>0</v>
      </c>
      <c r="BF92" s="70">
        <f>92</f>
        <v>92</v>
      </c>
      <c r="BH92" s="70">
        <f t="shared" si="163"/>
        <v>0</v>
      </c>
      <c r="BI92" s="70">
        <f t="shared" si="164"/>
        <v>0</v>
      </c>
      <c r="BJ92" s="70">
        <f t="shared" si="165"/>
        <v>0</v>
      </c>
      <c r="BK92" s="70"/>
      <c r="BL92" s="70"/>
      <c r="BW92" s="70">
        <v>21</v>
      </c>
    </row>
    <row r="93" spans="1:75" ht="13.5" customHeight="1">
      <c r="A93" s="69" t="s">
        <v>343</v>
      </c>
      <c r="B93" s="10" t="s">
        <v>344</v>
      </c>
      <c r="C93" s="8" t="s">
        <v>345</v>
      </c>
      <c r="D93" s="8"/>
      <c r="E93" s="10" t="s">
        <v>346</v>
      </c>
      <c r="F93" s="70">
        <v>15</v>
      </c>
      <c r="G93" s="70">
        <v>0</v>
      </c>
      <c r="H93" s="70">
        <f t="shared" si="142"/>
        <v>0</v>
      </c>
      <c r="I93" s="70">
        <f t="shared" si="143"/>
        <v>0</v>
      </c>
      <c r="J93" s="70">
        <f t="shared" si="144"/>
        <v>0</v>
      </c>
      <c r="K93" s="71"/>
      <c r="Z93" s="70">
        <f t="shared" si="145"/>
        <v>0</v>
      </c>
      <c r="AB93" s="70">
        <f t="shared" si="146"/>
        <v>0</v>
      </c>
      <c r="AC93" s="70">
        <f t="shared" si="147"/>
        <v>0</v>
      </c>
      <c r="AD93" s="70">
        <f t="shared" si="148"/>
        <v>0</v>
      </c>
      <c r="AE93" s="70">
        <f t="shared" si="149"/>
        <v>0</v>
      </c>
      <c r="AF93" s="70">
        <f t="shared" si="150"/>
        <v>0</v>
      </c>
      <c r="AG93" s="70">
        <f t="shared" si="151"/>
        <v>0</v>
      </c>
      <c r="AH93" s="70">
        <f t="shared" si="152"/>
        <v>0</v>
      </c>
      <c r="AI93" s="55"/>
      <c r="AJ93" s="70">
        <f t="shared" si="153"/>
        <v>0</v>
      </c>
      <c r="AK93" s="70">
        <f t="shared" si="154"/>
        <v>0</v>
      </c>
      <c r="AL93" s="70">
        <f t="shared" si="155"/>
        <v>0</v>
      </c>
      <c r="AN93" s="70">
        <v>21</v>
      </c>
      <c r="AO93" s="70">
        <f t="shared" si="156"/>
        <v>0</v>
      </c>
      <c r="AP93" s="70">
        <f t="shared" si="157"/>
        <v>0</v>
      </c>
      <c r="AQ93" s="72" t="s">
        <v>94</v>
      </c>
      <c r="AV93" s="70">
        <f t="shared" si="158"/>
        <v>0</v>
      </c>
      <c r="AW93" s="70">
        <f t="shared" si="159"/>
        <v>0</v>
      </c>
      <c r="AX93" s="70">
        <f t="shared" si="160"/>
        <v>0</v>
      </c>
      <c r="AY93" s="72" t="s">
        <v>329</v>
      </c>
      <c r="AZ93" s="72" t="s">
        <v>330</v>
      </c>
      <c r="BA93" s="55" t="s">
        <v>101</v>
      </c>
      <c r="BC93" s="70">
        <f t="shared" si="161"/>
        <v>0</v>
      </c>
      <c r="BD93" s="70">
        <f t="shared" si="162"/>
        <v>0</v>
      </c>
      <c r="BE93" s="70">
        <v>0</v>
      </c>
      <c r="BF93" s="70">
        <f>93</f>
        <v>93</v>
      </c>
      <c r="BH93" s="70">
        <f t="shared" si="163"/>
        <v>0</v>
      </c>
      <c r="BI93" s="70">
        <f t="shared" si="164"/>
        <v>0</v>
      </c>
      <c r="BJ93" s="70">
        <f t="shared" si="165"/>
        <v>0</v>
      </c>
      <c r="BK93" s="70"/>
      <c r="BL93" s="70"/>
      <c r="BW93" s="70">
        <v>21</v>
      </c>
    </row>
    <row r="94" spans="1:75" ht="13.5" customHeight="1">
      <c r="A94" s="69" t="s">
        <v>347</v>
      </c>
      <c r="B94" s="10" t="s">
        <v>348</v>
      </c>
      <c r="C94" s="8" t="s">
        <v>349</v>
      </c>
      <c r="D94" s="8"/>
      <c r="E94" s="10" t="s">
        <v>350</v>
      </c>
      <c r="F94" s="70">
        <v>1</v>
      </c>
      <c r="G94" s="70">
        <v>0</v>
      </c>
      <c r="H94" s="70">
        <f t="shared" si="142"/>
        <v>0</v>
      </c>
      <c r="I94" s="70">
        <f t="shared" si="143"/>
        <v>0</v>
      </c>
      <c r="J94" s="70">
        <f t="shared" si="144"/>
        <v>0</v>
      </c>
      <c r="K94" s="71"/>
      <c r="Z94" s="70">
        <f t="shared" si="145"/>
        <v>0</v>
      </c>
      <c r="AB94" s="70">
        <f t="shared" si="146"/>
        <v>0</v>
      </c>
      <c r="AC94" s="70">
        <f t="shared" si="147"/>
        <v>0</v>
      </c>
      <c r="AD94" s="70">
        <f t="shared" si="148"/>
        <v>0</v>
      </c>
      <c r="AE94" s="70">
        <f t="shared" si="149"/>
        <v>0</v>
      </c>
      <c r="AF94" s="70">
        <f t="shared" si="150"/>
        <v>0</v>
      </c>
      <c r="AG94" s="70">
        <f t="shared" si="151"/>
        <v>0</v>
      </c>
      <c r="AH94" s="70">
        <f t="shared" si="152"/>
        <v>0</v>
      </c>
      <c r="AI94" s="55"/>
      <c r="AJ94" s="70">
        <f t="shared" si="153"/>
        <v>0</v>
      </c>
      <c r="AK94" s="70">
        <f t="shared" si="154"/>
        <v>0</v>
      </c>
      <c r="AL94" s="70">
        <f t="shared" si="155"/>
        <v>0</v>
      </c>
      <c r="AN94" s="70">
        <v>21</v>
      </c>
      <c r="AO94" s="70">
        <f t="shared" si="156"/>
        <v>0</v>
      </c>
      <c r="AP94" s="70">
        <f t="shared" si="157"/>
        <v>0</v>
      </c>
      <c r="AQ94" s="72" t="s">
        <v>94</v>
      </c>
      <c r="AV94" s="70">
        <f t="shared" si="158"/>
        <v>0</v>
      </c>
      <c r="AW94" s="70">
        <f t="shared" si="159"/>
        <v>0</v>
      </c>
      <c r="AX94" s="70">
        <f t="shared" si="160"/>
        <v>0</v>
      </c>
      <c r="AY94" s="72" t="s">
        <v>329</v>
      </c>
      <c r="AZ94" s="72" t="s">
        <v>330</v>
      </c>
      <c r="BA94" s="55" t="s">
        <v>101</v>
      </c>
      <c r="BC94" s="70">
        <f t="shared" si="161"/>
        <v>0</v>
      </c>
      <c r="BD94" s="70">
        <f t="shared" si="162"/>
        <v>0</v>
      </c>
      <c r="BE94" s="70">
        <v>0</v>
      </c>
      <c r="BF94" s="70">
        <f>94</f>
        <v>94</v>
      </c>
      <c r="BH94" s="70">
        <f t="shared" si="163"/>
        <v>0</v>
      </c>
      <c r="BI94" s="70">
        <f t="shared" si="164"/>
        <v>0</v>
      </c>
      <c r="BJ94" s="70">
        <f t="shared" si="165"/>
        <v>0</v>
      </c>
      <c r="BK94" s="70"/>
      <c r="BL94" s="70"/>
      <c r="BW94" s="70">
        <v>21</v>
      </c>
    </row>
    <row r="95" spans="1:75" ht="13.5" customHeight="1">
      <c r="A95" s="69" t="s">
        <v>351</v>
      </c>
      <c r="B95" s="10" t="s">
        <v>352</v>
      </c>
      <c r="C95" s="8" t="s">
        <v>353</v>
      </c>
      <c r="D95" s="8"/>
      <c r="E95" s="10" t="s">
        <v>350</v>
      </c>
      <c r="F95" s="70">
        <v>1</v>
      </c>
      <c r="G95" s="70">
        <v>0</v>
      </c>
      <c r="H95" s="70">
        <f t="shared" si="142"/>
        <v>0</v>
      </c>
      <c r="I95" s="70">
        <f t="shared" si="143"/>
        <v>0</v>
      </c>
      <c r="J95" s="70">
        <f t="shared" si="144"/>
        <v>0</v>
      </c>
      <c r="K95" s="71"/>
      <c r="Z95" s="70">
        <f t="shared" si="145"/>
        <v>0</v>
      </c>
      <c r="AB95" s="70">
        <f t="shared" si="146"/>
        <v>0</v>
      </c>
      <c r="AC95" s="70">
        <f t="shared" si="147"/>
        <v>0</v>
      </c>
      <c r="AD95" s="70">
        <f t="shared" si="148"/>
        <v>0</v>
      </c>
      <c r="AE95" s="70">
        <f t="shared" si="149"/>
        <v>0</v>
      </c>
      <c r="AF95" s="70">
        <f t="shared" si="150"/>
        <v>0</v>
      </c>
      <c r="AG95" s="70">
        <f t="shared" si="151"/>
        <v>0</v>
      </c>
      <c r="AH95" s="70">
        <f t="shared" si="152"/>
        <v>0</v>
      </c>
      <c r="AI95" s="55"/>
      <c r="AJ95" s="70">
        <f t="shared" si="153"/>
        <v>0</v>
      </c>
      <c r="AK95" s="70">
        <f t="shared" si="154"/>
        <v>0</v>
      </c>
      <c r="AL95" s="70">
        <f t="shared" si="155"/>
        <v>0</v>
      </c>
      <c r="AN95" s="70">
        <v>21</v>
      </c>
      <c r="AO95" s="70">
        <f t="shared" si="156"/>
        <v>0</v>
      </c>
      <c r="AP95" s="70">
        <f t="shared" si="157"/>
        <v>0</v>
      </c>
      <c r="AQ95" s="72" t="s">
        <v>94</v>
      </c>
      <c r="AV95" s="70">
        <f t="shared" si="158"/>
        <v>0</v>
      </c>
      <c r="AW95" s="70">
        <f t="shared" si="159"/>
        <v>0</v>
      </c>
      <c r="AX95" s="70">
        <f t="shared" si="160"/>
        <v>0</v>
      </c>
      <c r="AY95" s="72" t="s">
        <v>329</v>
      </c>
      <c r="AZ95" s="72" t="s">
        <v>330</v>
      </c>
      <c r="BA95" s="55" t="s">
        <v>101</v>
      </c>
      <c r="BC95" s="70">
        <f t="shared" si="161"/>
        <v>0</v>
      </c>
      <c r="BD95" s="70">
        <f t="shared" si="162"/>
        <v>0</v>
      </c>
      <c r="BE95" s="70">
        <v>0</v>
      </c>
      <c r="BF95" s="70">
        <f>95</f>
        <v>95</v>
      </c>
      <c r="BH95" s="70">
        <f t="shared" si="163"/>
        <v>0</v>
      </c>
      <c r="BI95" s="70">
        <f t="shared" si="164"/>
        <v>0</v>
      </c>
      <c r="BJ95" s="70">
        <f t="shared" si="165"/>
        <v>0</v>
      </c>
      <c r="BK95" s="70"/>
      <c r="BL95" s="70"/>
      <c r="BW95" s="70">
        <v>21</v>
      </c>
    </row>
    <row r="96" spans="1:75" ht="27" customHeight="1">
      <c r="A96" s="69" t="s">
        <v>354</v>
      </c>
      <c r="B96" s="10" t="s">
        <v>352</v>
      </c>
      <c r="C96" s="8" t="s">
        <v>355</v>
      </c>
      <c r="D96" s="8"/>
      <c r="E96" s="10" t="s">
        <v>350</v>
      </c>
      <c r="F96" s="70">
        <v>2</v>
      </c>
      <c r="G96" s="70">
        <v>0</v>
      </c>
      <c r="H96" s="70">
        <f t="shared" si="142"/>
        <v>0</v>
      </c>
      <c r="I96" s="70">
        <f t="shared" si="143"/>
        <v>0</v>
      </c>
      <c r="J96" s="70">
        <f t="shared" si="144"/>
        <v>0</v>
      </c>
      <c r="K96" s="71"/>
      <c r="Z96" s="70">
        <f t="shared" si="145"/>
        <v>0</v>
      </c>
      <c r="AB96" s="70">
        <f t="shared" si="146"/>
        <v>0</v>
      </c>
      <c r="AC96" s="70">
        <f t="shared" si="147"/>
        <v>0</v>
      </c>
      <c r="AD96" s="70">
        <f t="shared" si="148"/>
        <v>0</v>
      </c>
      <c r="AE96" s="70">
        <f t="shared" si="149"/>
        <v>0</v>
      </c>
      <c r="AF96" s="70">
        <f t="shared" si="150"/>
        <v>0</v>
      </c>
      <c r="AG96" s="70">
        <f t="shared" si="151"/>
        <v>0</v>
      </c>
      <c r="AH96" s="70">
        <f t="shared" si="152"/>
        <v>0</v>
      </c>
      <c r="AI96" s="55"/>
      <c r="AJ96" s="70">
        <f t="shared" si="153"/>
        <v>0</v>
      </c>
      <c r="AK96" s="70">
        <f t="shared" si="154"/>
        <v>0</v>
      </c>
      <c r="AL96" s="70">
        <f t="shared" si="155"/>
        <v>0</v>
      </c>
      <c r="AN96" s="70">
        <v>21</v>
      </c>
      <c r="AO96" s="70">
        <f t="shared" si="156"/>
        <v>0</v>
      </c>
      <c r="AP96" s="70">
        <f t="shared" si="157"/>
        <v>0</v>
      </c>
      <c r="AQ96" s="72" t="s">
        <v>94</v>
      </c>
      <c r="AV96" s="70">
        <f t="shared" si="158"/>
        <v>0</v>
      </c>
      <c r="AW96" s="70">
        <f t="shared" si="159"/>
        <v>0</v>
      </c>
      <c r="AX96" s="70">
        <f t="shared" si="160"/>
        <v>0</v>
      </c>
      <c r="AY96" s="72" t="s">
        <v>329</v>
      </c>
      <c r="AZ96" s="72" t="s">
        <v>330</v>
      </c>
      <c r="BA96" s="55" t="s">
        <v>101</v>
      </c>
      <c r="BC96" s="70">
        <f t="shared" si="161"/>
        <v>0</v>
      </c>
      <c r="BD96" s="70">
        <f t="shared" si="162"/>
        <v>0</v>
      </c>
      <c r="BE96" s="70">
        <v>0</v>
      </c>
      <c r="BF96" s="70">
        <f>96</f>
        <v>96</v>
      </c>
      <c r="BH96" s="70">
        <f t="shared" si="163"/>
        <v>0</v>
      </c>
      <c r="BI96" s="70">
        <f t="shared" si="164"/>
        <v>0</v>
      </c>
      <c r="BJ96" s="70">
        <f t="shared" si="165"/>
        <v>0</v>
      </c>
      <c r="BK96" s="70"/>
      <c r="BL96" s="70"/>
      <c r="BW96" s="70">
        <v>21</v>
      </c>
    </row>
    <row r="97" spans="1:75" ht="13.5" customHeight="1">
      <c r="A97" s="69" t="s">
        <v>356</v>
      </c>
      <c r="B97" s="10" t="s">
        <v>357</v>
      </c>
      <c r="C97" s="8" t="s">
        <v>358</v>
      </c>
      <c r="D97" s="8"/>
      <c r="E97" s="10" t="s">
        <v>133</v>
      </c>
      <c r="F97" s="70">
        <v>25</v>
      </c>
      <c r="G97" s="70">
        <v>0</v>
      </c>
      <c r="H97" s="70">
        <f t="shared" si="142"/>
        <v>0</v>
      </c>
      <c r="I97" s="70">
        <f t="shared" si="143"/>
        <v>0</v>
      </c>
      <c r="J97" s="70">
        <f t="shared" si="144"/>
        <v>0</v>
      </c>
      <c r="K97" s="71" t="s">
        <v>111</v>
      </c>
      <c r="Z97" s="70">
        <f t="shared" si="145"/>
        <v>0</v>
      </c>
      <c r="AB97" s="70">
        <f t="shared" si="146"/>
        <v>0</v>
      </c>
      <c r="AC97" s="70">
        <f t="shared" si="147"/>
        <v>0</v>
      </c>
      <c r="AD97" s="70">
        <f t="shared" si="148"/>
        <v>0</v>
      </c>
      <c r="AE97" s="70">
        <f t="shared" si="149"/>
        <v>0</v>
      </c>
      <c r="AF97" s="70">
        <f t="shared" si="150"/>
        <v>0</v>
      </c>
      <c r="AG97" s="70">
        <f t="shared" si="151"/>
        <v>0</v>
      </c>
      <c r="AH97" s="70">
        <f t="shared" si="152"/>
        <v>0</v>
      </c>
      <c r="AI97" s="55"/>
      <c r="AJ97" s="70">
        <f t="shared" si="153"/>
        <v>0</v>
      </c>
      <c r="AK97" s="70">
        <f t="shared" si="154"/>
        <v>0</v>
      </c>
      <c r="AL97" s="70">
        <f t="shared" si="155"/>
        <v>0</v>
      </c>
      <c r="AN97" s="70">
        <v>21</v>
      </c>
      <c r="AO97" s="70">
        <f t="shared" si="156"/>
        <v>0</v>
      </c>
      <c r="AP97" s="70">
        <f t="shared" si="157"/>
        <v>0</v>
      </c>
      <c r="AQ97" s="72" t="s">
        <v>94</v>
      </c>
      <c r="AV97" s="70">
        <f t="shared" si="158"/>
        <v>0</v>
      </c>
      <c r="AW97" s="70">
        <f t="shared" si="159"/>
        <v>0</v>
      </c>
      <c r="AX97" s="70">
        <f t="shared" si="160"/>
        <v>0</v>
      </c>
      <c r="AY97" s="72" t="s">
        <v>329</v>
      </c>
      <c r="AZ97" s="72" t="s">
        <v>330</v>
      </c>
      <c r="BA97" s="55" t="s">
        <v>101</v>
      </c>
      <c r="BC97" s="70">
        <f t="shared" si="161"/>
        <v>0</v>
      </c>
      <c r="BD97" s="70">
        <f t="shared" si="162"/>
        <v>0</v>
      </c>
      <c r="BE97" s="70">
        <v>0</v>
      </c>
      <c r="BF97" s="70">
        <f>97</f>
        <v>97</v>
      </c>
      <c r="BH97" s="70">
        <f t="shared" si="163"/>
        <v>0</v>
      </c>
      <c r="BI97" s="70">
        <f t="shared" si="164"/>
        <v>0</v>
      </c>
      <c r="BJ97" s="70">
        <f t="shared" si="165"/>
        <v>0</v>
      </c>
      <c r="BK97" s="70"/>
      <c r="BL97" s="70"/>
      <c r="BW97" s="70">
        <v>21</v>
      </c>
    </row>
    <row r="98" spans="1:75" ht="13.5" customHeight="1">
      <c r="A98" s="69" t="s">
        <v>359</v>
      </c>
      <c r="B98" s="10" t="s">
        <v>360</v>
      </c>
      <c r="C98" s="8" t="s">
        <v>361</v>
      </c>
      <c r="D98" s="8"/>
      <c r="E98" s="10" t="s">
        <v>133</v>
      </c>
      <c r="F98" s="70">
        <v>25</v>
      </c>
      <c r="G98" s="70">
        <v>0</v>
      </c>
      <c r="H98" s="70">
        <f t="shared" si="142"/>
        <v>0</v>
      </c>
      <c r="I98" s="70">
        <f t="shared" si="143"/>
        <v>0</v>
      </c>
      <c r="J98" s="70">
        <f t="shared" si="144"/>
        <v>0</v>
      </c>
      <c r="K98" s="71" t="s">
        <v>111</v>
      </c>
      <c r="Z98" s="70">
        <f t="shared" si="145"/>
        <v>0</v>
      </c>
      <c r="AB98" s="70">
        <f t="shared" si="146"/>
        <v>0</v>
      </c>
      <c r="AC98" s="70">
        <f t="shared" si="147"/>
        <v>0</v>
      </c>
      <c r="AD98" s="70">
        <f t="shared" si="148"/>
        <v>0</v>
      </c>
      <c r="AE98" s="70">
        <f t="shared" si="149"/>
        <v>0</v>
      </c>
      <c r="AF98" s="70">
        <f t="shared" si="150"/>
        <v>0</v>
      </c>
      <c r="AG98" s="70">
        <f t="shared" si="151"/>
        <v>0</v>
      </c>
      <c r="AH98" s="70">
        <f t="shared" si="152"/>
        <v>0</v>
      </c>
      <c r="AI98" s="55"/>
      <c r="AJ98" s="70">
        <f t="shared" si="153"/>
        <v>0</v>
      </c>
      <c r="AK98" s="70">
        <f t="shared" si="154"/>
        <v>0</v>
      </c>
      <c r="AL98" s="70">
        <f t="shared" si="155"/>
        <v>0</v>
      </c>
      <c r="AN98" s="70">
        <v>21</v>
      </c>
      <c r="AO98" s="70">
        <f t="shared" si="156"/>
        <v>0</v>
      </c>
      <c r="AP98" s="70">
        <f t="shared" si="157"/>
        <v>0</v>
      </c>
      <c r="AQ98" s="72" t="s">
        <v>94</v>
      </c>
      <c r="AV98" s="70">
        <f t="shared" si="158"/>
        <v>0</v>
      </c>
      <c r="AW98" s="70">
        <f t="shared" si="159"/>
        <v>0</v>
      </c>
      <c r="AX98" s="70">
        <f t="shared" si="160"/>
        <v>0</v>
      </c>
      <c r="AY98" s="72" t="s">
        <v>329</v>
      </c>
      <c r="AZ98" s="72" t="s">
        <v>330</v>
      </c>
      <c r="BA98" s="55" t="s">
        <v>101</v>
      </c>
      <c r="BC98" s="70">
        <f t="shared" si="161"/>
        <v>0</v>
      </c>
      <c r="BD98" s="70">
        <f t="shared" si="162"/>
        <v>0</v>
      </c>
      <c r="BE98" s="70">
        <v>0</v>
      </c>
      <c r="BF98" s="70">
        <f>98</f>
        <v>98</v>
      </c>
      <c r="BH98" s="70">
        <f t="shared" si="163"/>
        <v>0</v>
      </c>
      <c r="BI98" s="70">
        <f t="shared" si="164"/>
        <v>0</v>
      </c>
      <c r="BJ98" s="70">
        <f t="shared" si="165"/>
        <v>0</v>
      </c>
      <c r="BK98" s="70"/>
      <c r="BL98" s="70"/>
      <c r="BW98" s="70">
        <v>21</v>
      </c>
    </row>
    <row r="99" spans="1:75" ht="13.5" customHeight="1">
      <c r="A99" s="69" t="s">
        <v>362</v>
      </c>
      <c r="B99" s="10" t="s">
        <v>363</v>
      </c>
      <c r="C99" s="8" t="s">
        <v>364</v>
      </c>
      <c r="D99" s="8"/>
      <c r="E99" s="10" t="s">
        <v>133</v>
      </c>
      <c r="F99" s="70">
        <v>100</v>
      </c>
      <c r="G99" s="70">
        <v>0</v>
      </c>
      <c r="H99" s="70">
        <f t="shared" si="142"/>
        <v>0</v>
      </c>
      <c r="I99" s="70">
        <f t="shared" si="143"/>
        <v>0</v>
      </c>
      <c r="J99" s="70">
        <f t="shared" si="144"/>
        <v>0</v>
      </c>
      <c r="K99" s="71" t="s">
        <v>111</v>
      </c>
      <c r="Z99" s="70">
        <f t="shared" si="145"/>
        <v>0</v>
      </c>
      <c r="AB99" s="70">
        <f t="shared" si="146"/>
        <v>0</v>
      </c>
      <c r="AC99" s="70">
        <f t="shared" si="147"/>
        <v>0</v>
      </c>
      <c r="AD99" s="70">
        <f t="shared" si="148"/>
        <v>0</v>
      </c>
      <c r="AE99" s="70">
        <f t="shared" si="149"/>
        <v>0</v>
      </c>
      <c r="AF99" s="70">
        <f t="shared" si="150"/>
        <v>0</v>
      </c>
      <c r="AG99" s="70">
        <f t="shared" si="151"/>
        <v>0</v>
      </c>
      <c r="AH99" s="70">
        <f t="shared" si="152"/>
        <v>0</v>
      </c>
      <c r="AI99" s="55"/>
      <c r="AJ99" s="70">
        <f t="shared" si="153"/>
        <v>0</v>
      </c>
      <c r="AK99" s="70">
        <f t="shared" si="154"/>
        <v>0</v>
      </c>
      <c r="AL99" s="70">
        <f t="shared" si="155"/>
        <v>0</v>
      </c>
      <c r="AN99" s="70">
        <v>21</v>
      </c>
      <c r="AO99" s="70">
        <f t="shared" si="156"/>
        <v>0</v>
      </c>
      <c r="AP99" s="70">
        <f t="shared" si="157"/>
        <v>0</v>
      </c>
      <c r="AQ99" s="72" t="s">
        <v>94</v>
      </c>
      <c r="AV99" s="70">
        <f t="shared" si="158"/>
        <v>0</v>
      </c>
      <c r="AW99" s="70">
        <f t="shared" si="159"/>
        <v>0</v>
      </c>
      <c r="AX99" s="70">
        <f t="shared" si="160"/>
        <v>0</v>
      </c>
      <c r="AY99" s="72" t="s">
        <v>329</v>
      </c>
      <c r="AZ99" s="72" t="s">
        <v>330</v>
      </c>
      <c r="BA99" s="55" t="s">
        <v>101</v>
      </c>
      <c r="BC99" s="70">
        <f t="shared" si="161"/>
        <v>0</v>
      </c>
      <c r="BD99" s="70">
        <f t="shared" si="162"/>
        <v>0</v>
      </c>
      <c r="BE99" s="70">
        <v>0</v>
      </c>
      <c r="BF99" s="70">
        <f>99</f>
        <v>99</v>
      </c>
      <c r="BH99" s="70">
        <f t="shared" si="163"/>
        <v>0</v>
      </c>
      <c r="BI99" s="70">
        <f t="shared" si="164"/>
        <v>0</v>
      </c>
      <c r="BJ99" s="70">
        <f t="shared" si="165"/>
        <v>0</v>
      </c>
      <c r="BK99" s="70"/>
      <c r="BL99" s="70"/>
      <c r="BW99" s="70">
        <v>21</v>
      </c>
    </row>
    <row r="100" spans="1:75" ht="13.5" customHeight="1">
      <c r="A100" s="69" t="s">
        <v>365</v>
      </c>
      <c r="B100" s="10" t="s">
        <v>366</v>
      </c>
      <c r="C100" s="8" t="s">
        <v>367</v>
      </c>
      <c r="D100" s="8"/>
      <c r="E100" s="10" t="s">
        <v>133</v>
      </c>
      <c r="F100" s="70">
        <v>2</v>
      </c>
      <c r="G100" s="70">
        <v>0</v>
      </c>
      <c r="H100" s="70">
        <f t="shared" si="142"/>
        <v>0</v>
      </c>
      <c r="I100" s="70">
        <f t="shared" si="143"/>
        <v>0</v>
      </c>
      <c r="J100" s="70">
        <f t="shared" si="144"/>
        <v>0</v>
      </c>
      <c r="K100" s="71" t="s">
        <v>111</v>
      </c>
      <c r="Z100" s="70">
        <f t="shared" si="145"/>
        <v>0</v>
      </c>
      <c r="AB100" s="70">
        <f t="shared" si="146"/>
        <v>0</v>
      </c>
      <c r="AC100" s="70">
        <f t="shared" si="147"/>
        <v>0</v>
      </c>
      <c r="AD100" s="70">
        <f t="shared" si="148"/>
        <v>0</v>
      </c>
      <c r="AE100" s="70">
        <f t="shared" si="149"/>
        <v>0</v>
      </c>
      <c r="AF100" s="70">
        <f t="shared" si="150"/>
        <v>0</v>
      </c>
      <c r="AG100" s="70">
        <f t="shared" si="151"/>
        <v>0</v>
      </c>
      <c r="AH100" s="70">
        <f t="shared" si="152"/>
        <v>0</v>
      </c>
      <c r="AI100" s="55"/>
      <c r="AJ100" s="70">
        <f t="shared" si="153"/>
        <v>0</v>
      </c>
      <c r="AK100" s="70">
        <f t="shared" si="154"/>
        <v>0</v>
      </c>
      <c r="AL100" s="70">
        <f t="shared" si="155"/>
        <v>0</v>
      </c>
      <c r="AN100" s="70">
        <v>21</v>
      </c>
      <c r="AO100" s="70">
        <f t="shared" si="156"/>
        <v>0</v>
      </c>
      <c r="AP100" s="70">
        <f t="shared" si="157"/>
        <v>0</v>
      </c>
      <c r="AQ100" s="72" t="s">
        <v>94</v>
      </c>
      <c r="AV100" s="70">
        <f t="shared" si="158"/>
        <v>0</v>
      </c>
      <c r="AW100" s="70">
        <f t="shared" si="159"/>
        <v>0</v>
      </c>
      <c r="AX100" s="70">
        <f t="shared" si="160"/>
        <v>0</v>
      </c>
      <c r="AY100" s="72" t="s">
        <v>329</v>
      </c>
      <c r="AZ100" s="72" t="s">
        <v>330</v>
      </c>
      <c r="BA100" s="55" t="s">
        <v>101</v>
      </c>
      <c r="BC100" s="70">
        <f t="shared" si="161"/>
        <v>0</v>
      </c>
      <c r="BD100" s="70">
        <f t="shared" si="162"/>
        <v>0</v>
      </c>
      <c r="BE100" s="70">
        <v>0</v>
      </c>
      <c r="BF100" s="70">
        <f>100</f>
        <v>100</v>
      </c>
      <c r="BH100" s="70">
        <f t="shared" si="163"/>
        <v>0</v>
      </c>
      <c r="BI100" s="70">
        <f t="shared" si="164"/>
        <v>0</v>
      </c>
      <c r="BJ100" s="70">
        <f t="shared" si="165"/>
        <v>0</v>
      </c>
      <c r="BK100" s="70"/>
      <c r="BL100" s="70"/>
      <c r="BW100" s="70">
        <v>21</v>
      </c>
    </row>
    <row r="101" spans="1:75" ht="13.5" customHeight="1">
      <c r="A101" s="69" t="s">
        <v>368</v>
      </c>
      <c r="B101" s="10" t="s">
        <v>369</v>
      </c>
      <c r="C101" s="8" t="s">
        <v>370</v>
      </c>
      <c r="D101" s="8"/>
      <c r="E101" s="10" t="s">
        <v>133</v>
      </c>
      <c r="F101" s="70">
        <v>2</v>
      </c>
      <c r="G101" s="70">
        <v>0</v>
      </c>
      <c r="H101" s="70">
        <f t="shared" si="142"/>
        <v>0</v>
      </c>
      <c r="I101" s="70">
        <f t="shared" si="143"/>
        <v>0</v>
      </c>
      <c r="J101" s="70">
        <f t="shared" si="144"/>
        <v>0</v>
      </c>
      <c r="K101" s="71" t="s">
        <v>111</v>
      </c>
      <c r="Z101" s="70">
        <f t="shared" si="145"/>
        <v>0</v>
      </c>
      <c r="AB101" s="70">
        <f t="shared" si="146"/>
        <v>0</v>
      </c>
      <c r="AC101" s="70">
        <f t="shared" si="147"/>
        <v>0</v>
      </c>
      <c r="AD101" s="70">
        <f t="shared" si="148"/>
        <v>0</v>
      </c>
      <c r="AE101" s="70">
        <f t="shared" si="149"/>
        <v>0</v>
      </c>
      <c r="AF101" s="70">
        <f t="shared" si="150"/>
        <v>0</v>
      </c>
      <c r="AG101" s="70">
        <f t="shared" si="151"/>
        <v>0</v>
      </c>
      <c r="AH101" s="70">
        <f t="shared" si="152"/>
        <v>0</v>
      </c>
      <c r="AI101" s="55"/>
      <c r="AJ101" s="70">
        <f t="shared" si="153"/>
        <v>0</v>
      </c>
      <c r="AK101" s="70">
        <f t="shared" si="154"/>
        <v>0</v>
      </c>
      <c r="AL101" s="70">
        <f t="shared" si="155"/>
        <v>0</v>
      </c>
      <c r="AN101" s="70">
        <v>21</v>
      </c>
      <c r="AO101" s="70">
        <f t="shared" si="156"/>
        <v>0</v>
      </c>
      <c r="AP101" s="70">
        <f t="shared" si="157"/>
        <v>0</v>
      </c>
      <c r="AQ101" s="72" t="s">
        <v>94</v>
      </c>
      <c r="AV101" s="70">
        <f t="shared" si="158"/>
        <v>0</v>
      </c>
      <c r="AW101" s="70">
        <f t="shared" si="159"/>
        <v>0</v>
      </c>
      <c r="AX101" s="70">
        <f t="shared" si="160"/>
        <v>0</v>
      </c>
      <c r="AY101" s="72" t="s">
        <v>329</v>
      </c>
      <c r="AZ101" s="72" t="s">
        <v>330</v>
      </c>
      <c r="BA101" s="55" t="s">
        <v>101</v>
      </c>
      <c r="BC101" s="70">
        <f t="shared" si="161"/>
        <v>0</v>
      </c>
      <c r="BD101" s="70">
        <f t="shared" si="162"/>
        <v>0</v>
      </c>
      <c r="BE101" s="70">
        <v>0</v>
      </c>
      <c r="BF101" s="70">
        <f>101</f>
        <v>101</v>
      </c>
      <c r="BH101" s="70">
        <f t="shared" si="163"/>
        <v>0</v>
      </c>
      <c r="BI101" s="70">
        <f t="shared" si="164"/>
        <v>0</v>
      </c>
      <c r="BJ101" s="70">
        <f t="shared" si="165"/>
        <v>0</v>
      </c>
      <c r="BK101" s="70"/>
      <c r="BL101" s="70"/>
      <c r="BW101" s="70">
        <v>21</v>
      </c>
    </row>
    <row r="102" spans="1:75" ht="13.5" customHeight="1">
      <c r="A102" s="69" t="s">
        <v>371</v>
      </c>
      <c r="B102" s="10" t="s">
        <v>372</v>
      </c>
      <c r="C102" s="8" t="s">
        <v>373</v>
      </c>
      <c r="D102" s="8"/>
      <c r="E102" s="10" t="s">
        <v>133</v>
      </c>
      <c r="F102" s="70">
        <v>8</v>
      </c>
      <c r="G102" s="70">
        <v>0</v>
      </c>
      <c r="H102" s="70">
        <f t="shared" si="142"/>
        <v>0</v>
      </c>
      <c r="I102" s="70">
        <f t="shared" si="143"/>
        <v>0</v>
      </c>
      <c r="J102" s="70">
        <f t="shared" si="144"/>
        <v>0</v>
      </c>
      <c r="K102" s="71" t="s">
        <v>111</v>
      </c>
      <c r="Z102" s="70">
        <f t="shared" si="145"/>
        <v>0</v>
      </c>
      <c r="AB102" s="70">
        <f t="shared" si="146"/>
        <v>0</v>
      </c>
      <c r="AC102" s="70">
        <f t="shared" si="147"/>
        <v>0</v>
      </c>
      <c r="AD102" s="70">
        <f t="shared" si="148"/>
        <v>0</v>
      </c>
      <c r="AE102" s="70">
        <f t="shared" si="149"/>
        <v>0</v>
      </c>
      <c r="AF102" s="70">
        <f t="shared" si="150"/>
        <v>0</v>
      </c>
      <c r="AG102" s="70">
        <f t="shared" si="151"/>
        <v>0</v>
      </c>
      <c r="AH102" s="70">
        <f t="shared" si="152"/>
        <v>0</v>
      </c>
      <c r="AI102" s="55"/>
      <c r="AJ102" s="70">
        <f t="shared" si="153"/>
        <v>0</v>
      </c>
      <c r="AK102" s="70">
        <f t="shared" si="154"/>
        <v>0</v>
      </c>
      <c r="AL102" s="70">
        <f t="shared" si="155"/>
        <v>0</v>
      </c>
      <c r="AN102" s="70">
        <v>21</v>
      </c>
      <c r="AO102" s="70">
        <f t="shared" si="156"/>
        <v>0</v>
      </c>
      <c r="AP102" s="70">
        <f t="shared" si="157"/>
        <v>0</v>
      </c>
      <c r="AQ102" s="72" t="s">
        <v>94</v>
      </c>
      <c r="AV102" s="70">
        <f t="shared" si="158"/>
        <v>0</v>
      </c>
      <c r="AW102" s="70">
        <f t="shared" si="159"/>
        <v>0</v>
      </c>
      <c r="AX102" s="70">
        <f t="shared" si="160"/>
        <v>0</v>
      </c>
      <c r="AY102" s="72" t="s">
        <v>329</v>
      </c>
      <c r="AZ102" s="72" t="s">
        <v>330</v>
      </c>
      <c r="BA102" s="55" t="s">
        <v>101</v>
      </c>
      <c r="BC102" s="70">
        <f t="shared" si="161"/>
        <v>0</v>
      </c>
      <c r="BD102" s="70">
        <f t="shared" si="162"/>
        <v>0</v>
      </c>
      <c r="BE102" s="70">
        <v>0</v>
      </c>
      <c r="BF102" s="70">
        <f>102</f>
        <v>102</v>
      </c>
      <c r="BH102" s="70">
        <f t="shared" si="163"/>
        <v>0</v>
      </c>
      <c r="BI102" s="70">
        <f t="shared" si="164"/>
        <v>0</v>
      </c>
      <c r="BJ102" s="70">
        <f t="shared" si="165"/>
        <v>0</v>
      </c>
      <c r="BK102" s="70"/>
      <c r="BL102" s="70"/>
      <c r="BW102" s="70">
        <v>21</v>
      </c>
    </row>
    <row r="103" spans="1:75" ht="13.5" customHeight="1">
      <c r="A103" s="69" t="s">
        <v>374</v>
      </c>
      <c r="B103" s="10" t="s">
        <v>375</v>
      </c>
      <c r="C103" s="8" t="s">
        <v>376</v>
      </c>
      <c r="D103" s="8"/>
      <c r="E103" s="10" t="s">
        <v>133</v>
      </c>
      <c r="F103" s="70">
        <v>950</v>
      </c>
      <c r="G103" s="70">
        <v>0</v>
      </c>
      <c r="H103" s="70">
        <f t="shared" si="142"/>
        <v>0</v>
      </c>
      <c r="I103" s="70">
        <f t="shared" si="143"/>
        <v>0</v>
      </c>
      <c r="J103" s="70">
        <f t="shared" si="144"/>
        <v>0</v>
      </c>
      <c r="K103" s="71" t="s">
        <v>111</v>
      </c>
      <c r="Z103" s="70">
        <f t="shared" si="145"/>
        <v>0</v>
      </c>
      <c r="AB103" s="70">
        <f t="shared" si="146"/>
        <v>0</v>
      </c>
      <c r="AC103" s="70">
        <f t="shared" si="147"/>
        <v>0</v>
      </c>
      <c r="AD103" s="70">
        <f t="shared" si="148"/>
        <v>0</v>
      </c>
      <c r="AE103" s="70">
        <f t="shared" si="149"/>
        <v>0</v>
      </c>
      <c r="AF103" s="70">
        <f t="shared" si="150"/>
        <v>0</v>
      </c>
      <c r="AG103" s="70">
        <f t="shared" si="151"/>
        <v>0</v>
      </c>
      <c r="AH103" s="70">
        <f t="shared" si="152"/>
        <v>0</v>
      </c>
      <c r="AI103" s="55"/>
      <c r="AJ103" s="70">
        <f t="shared" si="153"/>
        <v>0</v>
      </c>
      <c r="AK103" s="70">
        <f t="shared" si="154"/>
        <v>0</v>
      </c>
      <c r="AL103" s="70">
        <f t="shared" si="155"/>
        <v>0</v>
      </c>
      <c r="AN103" s="70">
        <v>21</v>
      </c>
      <c r="AO103" s="70">
        <f t="shared" si="156"/>
        <v>0</v>
      </c>
      <c r="AP103" s="70">
        <f t="shared" si="157"/>
        <v>0</v>
      </c>
      <c r="AQ103" s="72" t="s">
        <v>94</v>
      </c>
      <c r="AV103" s="70">
        <f t="shared" si="158"/>
        <v>0</v>
      </c>
      <c r="AW103" s="70">
        <f t="shared" si="159"/>
        <v>0</v>
      </c>
      <c r="AX103" s="70">
        <f t="shared" si="160"/>
        <v>0</v>
      </c>
      <c r="AY103" s="72" t="s">
        <v>329</v>
      </c>
      <c r="AZ103" s="72" t="s">
        <v>330</v>
      </c>
      <c r="BA103" s="55" t="s">
        <v>101</v>
      </c>
      <c r="BC103" s="70">
        <f t="shared" si="161"/>
        <v>0</v>
      </c>
      <c r="BD103" s="70">
        <f t="shared" si="162"/>
        <v>0</v>
      </c>
      <c r="BE103" s="70">
        <v>0</v>
      </c>
      <c r="BF103" s="70">
        <f>103</f>
        <v>103</v>
      </c>
      <c r="BH103" s="70">
        <f t="shared" si="163"/>
        <v>0</v>
      </c>
      <c r="BI103" s="70">
        <f t="shared" si="164"/>
        <v>0</v>
      </c>
      <c r="BJ103" s="70">
        <f t="shared" si="165"/>
        <v>0</v>
      </c>
      <c r="BK103" s="70"/>
      <c r="BL103" s="70"/>
      <c r="BW103" s="70">
        <v>21</v>
      </c>
    </row>
    <row r="104" spans="1:75" ht="13.5" customHeight="1">
      <c r="A104" s="69" t="s">
        <v>377</v>
      </c>
      <c r="B104" s="10" t="s">
        <v>378</v>
      </c>
      <c r="C104" s="8" t="s">
        <v>379</v>
      </c>
      <c r="D104" s="8"/>
      <c r="E104" s="10" t="s">
        <v>133</v>
      </c>
      <c r="F104" s="70">
        <v>650</v>
      </c>
      <c r="G104" s="70">
        <v>0</v>
      </c>
      <c r="H104" s="70">
        <f t="shared" si="142"/>
        <v>0</v>
      </c>
      <c r="I104" s="70">
        <f t="shared" si="143"/>
        <v>0</v>
      </c>
      <c r="J104" s="70">
        <f t="shared" si="144"/>
        <v>0</v>
      </c>
      <c r="K104" s="71" t="s">
        <v>111</v>
      </c>
      <c r="Z104" s="70">
        <f t="shared" si="145"/>
        <v>0</v>
      </c>
      <c r="AB104" s="70">
        <f t="shared" si="146"/>
        <v>0</v>
      </c>
      <c r="AC104" s="70">
        <f t="shared" si="147"/>
        <v>0</v>
      </c>
      <c r="AD104" s="70">
        <f t="shared" si="148"/>
        <v>0</v>
      </c>
      <c r="AE104" s="70">
        <f t="shared" si="149"/>
        <v>0</v>
      </c>
      <c r="AF104" s="70">
        <f t="shared" si="150"/>
        <v>0</v>
      </c>
      <c r="AG104" s="70">
        <f t="shared" si="151"/>
        <v>0</v>
      </c>
      <c r="AH104" s="70">
        <f t="shared" si="152"/>
        <v>0</v>
      </c>
      <c r="AI104" s="55"/>
      <c r="AJ104" s="70">
        <f t="shared" si="153"/>
        <v>0</v>
      </c>
      <c r="AK104" s="70">
        <f t="shared" si="154"/>
        <v>0</v>
      </c>
      <c r="AL104" s="70">
        <f t="shared" si="155"/>
        <v>0</v>
      </c>
      <c r="AN104" s="70">
        <v>21</v>
      </c>
      <c r="AO104" s="70">
        <f t="shared" si="156"/>
        <v>0</v>
      </c>
      <c r="AP104" s="70">
        <f t="shared" si="157"/>
        <v>0</v>
      </c>
      <c r="AQ104" s="72" t="s">
        <v>94</v>
      </c>
      <c r="AV104" s="70">
        <f t="shared" si="158"/>
        <v>0</v>
      </c>
      <c r="AW104" s="70">
        <f t="shared" si="159"/>
        <v>0</v>
      </c>
      <c r="AX104" s="70">
        <f t="shared" si="160"/>
        <v>0</v>
      </c>
      <c r="AY104" s="72" t="s">
        <v>329</v>
      </c>
      <c r="AZ104" s="72" t="s">
        <v>330</v>
      </c>
      <c r="BA104" s="55" t="s">
        <v>101</v>
      </c>
      <c r="BC104" s="70">
        <f t="shared" si="161"/>
        <v>0</v>
      </c>
      <c r="BD104" s="70">
        <f t="shared" si="162"/>
        <v>0</v>
      </c>
      <c r="BE104" s="70">
        <v>0</v>
      </c>
      <c r="BF104" s="70">
        <f>104</f>
        <v>104</v>
      </c>
      <c r="BH104" s="70">
        <f t="shared" si="163"/>
        <v>0</v>
      </c>
      <c r="BI104" s="70">
        <f t="shared" si="164"/>
        <v>0</v>
      </c>
      <c r="BJ104" s="70">
        <f t="shared" si="165"/>
        <v>0</v>
      </c>
      <c r="BK104" s="70"/>
      <c r="BL104" s="70"/>
      <c r="BW104" s="70">
        <v>21</v>
      </c>
    </row>
    <row r="105" spans="1:75" ht="13.5" customHeight="1">
      <c r="A105" s="69" t="s">
        <v>380</v>
      </c>
      <c r="B105" s="10" t="s">
        <v>381</v>
      </c>
      <c r="C105" s="8" t="s">
        <v>382</v>
      </c>
      <c r="D105" s="8"/>
      <c r="E105" s="10" t="s">
        <v>133</v>
      </c>
      <c r="F105" s="70">
        <v>120</v>
      </c>
      <c r="G105" s="70">
        <v>0</v>
      </c>
      <c r="H105" s="70">
        <f t="shared" si="142"/>
        <v>0</v>
      </c>
      <c r="I105" s="70">
        <f t="shared" si="143"/>
        <v>0</v>
      </c>
      <c r="J105" s="70">
        <f t="shared" si="144"/>
        <v>0</v>
      </c>
      <c r="K105" s="71" t="s">
        <v>111</v>
      </c>
      <c r="Z105" s="70">
        <f t="shared" si="145"/>
        <v>0</v>
      </c>
      <c r="AB105" s="70">
        <f t="shared" si="146"/>
        <v>0</v>
      </c>
      <c r="AC105" s="70">
        <f t="shared" si="147"/>
        <v>0</v>
      </c>
      <c r="AD105" s="70">
        <f t="shared" si="148"/>
        <v>0</v>
      </c>
      <c r="AE105" s="70">
        <f t="shared" si="149"/>
        <v>0</v>
      </c>
      <c r="AF105" s="70">
        <f t="shared" si="150"/>
        <v>0</v>
      </c>
      <c r="AG105" s="70">
        <f t="shared" si="151"/>
        <v>0</v>
      </c>
      <c r="AH105" s="70">
        <f t="shared" si="152"/>
        <v>0</v>
      </c>
      <c r="AI105" s="55"/>
      <c r="AJ105" s="70">
        <f t="shared" si="153"/>
        <v>0</v>
      </c>
      <c r="AK105" s="70">
        <f t="shared" si="154"/>
        <v>0</v>
      </c>
      <c r="AL105" s="70">
        <f t="shared" si="155"/>
        <v>0</v>
      </c>
      <c r="AN105" s="70">
        <v>21</v>
      </c>
      <c r="AO105" s="70">
        <f t="shared" si="156"/>
        <v>0</v>
      </c>
      <c r="AP105" s="70">
        <f t="shared" si="157"/>
        <v>0</v>
      </c>
      <c r="AQ105" s="72" t="s">
        <v>94</v>
      </c>
      <c r="AV105" s="70">
        <f t="shared" si="158"/>
        <v>0</v>
      </c>
      <c r="AW105" s="70">
        <f t="shared" si="159"/>
        <v>0</v>
      </c>
      <c r="AX105" s="70">
        <f t="shared" si="160"/>
        <v>0</v>
      </c>
      <c r="AY105" s="72" t="s">
        <v>329</v>
      </c>
      <c r="AZ105" s="72" t="s">
        <v>330</v>
      </c>
      <c r="BA105" s="55" t="s">
        <v>101</v>
      </c>
      <c r="BC105" s="70">
        <f t="shared" si="161"/>
        <v>0</v>
      </c>
      <c r="BD105" s="70">
        <f t="shared" si="162"/>
        <v>0</v>
      </c>
      <c r="BE105" s="70">
        <v>0</v>
      </c>
      <c r="BF105" s="70">
        <f>105</f>
        <v>105</v>
      </c>
      <c r="BH105" s="70">
        <f t="shared" si="163"/>
        <v>0</v>
      </c>
      <c r="BI105" s="70">
        <f t="shared" si="164"/>
        <v>0</v>
      </c>
      <c r="BJ105" s="70">
        <f t="shared" si="165"/>
        <v>0</v>
      </c>
      <c r="BK105" s="70"/>
      <c r="BL105" s="70"/>
      <c r="BW105" s="70">
        <v>21</v>
      </c>
    </row>
    <row r="106" spans="1:75" ht="13.5" customHeight="1">
      <c r="A106" s="69" t="s">
        <v>383</v>
      </c>
      <c r="B106" s="10" t="s">
        <v>384</v>
      </c>
      <c r="C106" s="8" t="s">
        <v>385</v>
      </c>
      <c r="D106" s="8"/>
      <c r="E106" s="10" t="s">
        <v>133</v>
      </c>
      <c r="F106" s="70">
        <v>150</v>
      </c>
      <c r="G106" s="70">
        <v>0</v>
      </c>
      <c r="H106" s="70">
        <f t="shared" si="142"/>
        <v>0</v>
      </c>
      <c r="I106" s="70">
        <f t="shared" si="143"/>
        <v>0</v>
      </c>
      <c r="J106" s="70">
        <f t="shared" si="144"/>
        <v>0</v>
      </c>
      <c r="K106" s="71" t="s">
        <v>111</v>
      </c>
      <c r="Z106" s="70">
        <f t="shared" si="145"/>
        <v>0</v>
      </c>
      <c r="AB106" s="70">
        <f t="shared" si="146"/>
        <v>0</v>
      </c>
      <c r="AC106" s="70">
        <f t="shared" si="147"/>
        <v>0</v>
      </c>
      <c r="AD106" s="70">
        <f t="shared" si="148"/>
        <v>0</v>
      </c>
      <c r="AE106" s="70">
        <f t="shared" si="149"/>
        <v>0</v>
      </c>
      <c r="AF106" s="70">
        <f t="shared" si="150"/>
        <v>0</v>
      </c>
      <c r="AG106" s="70">
        <f t="shared" si="151"/>
        <v>0</v>
      </c>
      <c r="AH106" s="70">
        <f t="shared" si="152"/>
        <v>0</v>
      </c>
      <c r="AI106" s="55"/>
      <c r="AJ106" s="70">
        <f t="shared" si="153"/>
        <v>0</v>
      </c>
      <c r="AK106" s="70">
        <f t="shared" si="154"/>
        <v>0</v>
      </c>
      <c r="AL106" s="70">
        <f t="shared" si="155"/>
        <v>0</v>
      </c>
      <c r="AN106" s="70">
        <v>21</v>
      </c>
      <c r="AO106" s="70">
        <f t="shared" si="156"/>
        <v>0</v>
      </c>
      <c r="AP106" s="70">
        <f t="shared" si="157"/>
        <v>0</v>
      </c>
      <c r="AQ106" s="72" t="s">
        <v>94</v>
      </c>
      <c r="AV106" s="70">
        <f t="shared" si="158"/>
        <v>0</v>
      </c>
      <c r="AW106" s="70">
        <f t="shared" si="159"/>
        <v>0</v>
      </c>
      <c r="AX106" s="70">
        <f t="shared" si="160"/>
        <v>0</v>
      </c>
      <c r="AY106" s="72" t="s">
        <v>329</v>
      </c>
      <c r="AZ106" s="72" t="s">
        <v>330</v>
      </c>
      <c r="BA106" s="55" t="s">
        <v>101</v>
      </c>
      <c r="BC106" s="70">
        <f t="shared" si="161"/>
        <v>0</v>
      </c>
      <c r="BD106" s="70">
        <f t="shared" si="162"/>
        <v>0</v>
      </c>
      <c r="BE106" s="70">
        <v>0</v>
      </c>
      <c r="BF106" s="70">
        <f>106</f>
        <v>106</v>
      </c>
      <c r="BH106" s="70">
        <f t="shared" si="163"/>
        <v>0</v>
      </c>
      <c r="BI106" s="70">
        <f t="shared" si="164"/>
        <v>0</v>
      </c>
      <c r="BJ106" s="70">
        <f t="shared" si="165"/>
        <v>0</v>
      </c>
      <c r="BK106" s="70"/>
      <c r="BL106" s="70"/>
      <c r="BW106" s="70">
        <v>21</v>
      </c>
    </row>
    <row r="107" spans="1:75" ht="13.5" customHeight="1">
      <c r="A107" s="69" t="s">
        <v>386</v>
      </c>
      <c r="B107" s="10" t="s">
        <v>387</v>
      </c>
      <c r="C107" s="8" t="s">
        <v>388</v>
      </c>
      <c r="D107" s="8"/>
      <c r="E107" s="10" t="s">
        <v>133</v>
      </c>
      <c r="F107" s="70">
        <v>50</v>
      </c>
      <c r="G107" s="70">
        <v>0</v>
      </c>
      <c r="H107" s="70">
        <f t="shared" si="142"/>
        <v>0</v>
      </c>
      <c r="I107" s="70">
        <f t="shared" si="143"/>
        <v>0</v>
      </c>
      <c r="J107" s="70">
        <f t="shared" si="144"/>
        <v>0</v>
      </c>
      <c r="K107" s="71" t="s">
        <v>111</v>
      </c>
      <c r="Z107" s="70">
        <f t="shared" si="145"/>
        <v>0</v>
      </c>
      <c r="AB107" s="70">
        <f t="shared" si="146"/>
        <v>0</v>
      </c>
      <c r="AC107" s="70">
        <f t="shared" si="147"/>
        <v>0</v>
      </c>
      <c r="AD107" s="70">
        <f t="shared" si="148"/>
        <v>0</v>
      </c>
      <c r="AE107" s="70">
        <f t="shared" si="149"/>
        <v>0</v>
      </c>
      <c r="AF107" s="70">
        <f t="shared" si="150"/>
        <v>0</v>
      </c>
      <c r="AG107" s="70">
        <f t="shared" si="151"/>
        <v>0</v>
      </c>
      <c r="AH107" s="70">
        <f t="shared" si="152"/>
        <v>0</v>
      </c>
      <c r="AI107" s="55"/>
      <c r="AJ107" s="70">
        <f t="shared" si="153"/>
        <v>0</v>
      </c>
      <c r="AK107" s="70">
        <f t="shared" si="154"/>
        <v>0</v>
      </c>
      <c r="AL107" s="70">
        <f t="shared" si="155"/>
        <v>0</v>
      </c>
      <c r="AN107" s="70">
        <v>21</v>
      </c>
      <c r="AO107" s="70">
        <f t="shared" si="156"/>
        <v>0</v>
      </c>
      <c r="AP107" s="70">
        <f t="shared" si="157"/>
        <v>0</v>
      </c>
      <c r="AQ107" s="72" t="s">
        <v>94</v>
      </c>
      <c r="AV107" s="70">
        <f t="shared" si="158"/>
        <v>0</v>
      </c>
      <c r="AW107" s="70">
        <f t="shared" si="159"/>
        <v>0</v>
      </c>
      <c r="AX107" s="70">
        <f t="shared" si="160"/>
        <v>0</v>
      </c>
      <c r="AY107" s="72" t="s">
        <v>329</v>
      </c>
      <c r="AZ107" s="72" t="s">
        <v>330</v>
      </c>
      <c r="BA107" s="55" t="s">
        <v>101</v>
      </c>
      <c r="BC107" s="70">
        <f t="shared" si="161"/>
        <v>0</v>
      </c>
      <c r="BD107" s="70">
        <f t="shared" si="162"/>
        <v>0</v>
      </c>
      <c r="BE107" s="70">
        <v>0</v>
      </c>
      <c r="BF107" s="70">
        <f>107</f>
        <v>107</v>
      </c>
      <c r="BH107" s="70">
        <f t="shared" si="163"/>
        <v>0</v>
      </c>
      <c r="BI107" s="70">
        <f t="shared" si="164"/>
        <v>0</v>
      </c>
      <c r="BJ107" s="70">
        <f t="shared" si="165"/>
        <v>0</v>
      </c>
      <c r="BK107" s="70"/>
      <c r="BL107" s="70"/>
      <c r="BW107" s="70">
        <v>21</v>
      </c>
    </row>
    <row r="108" spans="1:75" ht="13.5" customHeight="1">
      <c r="A108" s="69" t="s">
        <v>389</v>
      </c>
      <c r="B108" s="10" t="s">
        <v>390</v>
      </c>
      <c r="C108" s="8" t="s">
        <v>391</v>
      </c>
      <c r="D108" s="8"/>
      <c r="E108" s="10" t="s">
        <v>350</v>
      </c>
      <c r="F108" s="70">
        <v>1</v>
      </c>
      <c r="G108" s="70">
        <v>0</v>
      </c>
      <c r="H108" s="70">
        <f t="shared" si="142"/>
        <v>0</v>
      </c>
      <c r="I108" s="70">
        <f t="shared" si="143"/>
        <v>0</v>
      </c>
      <c r="J108" s="70">
        <f t="shared" si="144"/>
        <v>0</v>
      </c>
      <c r="K108" s="71"/>
      <c r="Z108" s="70">
        <f t="shared" si="145"/>
        <v>0</v>
      </c>
      <c r="AB108" s="70">
        <f t="shared" si="146"/>
        <v>0</v>
      </c>
      <c r="AC108" s="70">
        <f t="shared" si="147"/>
        <v>0</v>
      </c>
      <c r="AD108" s="70">
        <f t="shared" si="148"/>
        <v>0</v>
      </c>
      <c r="AE108" s="70">
        <f t="shared" si="149"/>
        <v>0</v>
      </c>
      <c r="AF108" s="70">
        <f t="shared" si="150"/>
        <v>0</v>
      </c>
      <c r="AG108" s="70">
        <f t="shared" si="151"/>
        <v>0</v>
      </c>
      <c r="AH108" s="70">
        <f t="shared" si="152"/>
        <v>0</v>
      </c>
      <c r="AI108" s="55"/>
      <c r="AJ108" s="70">
        <f t="shared" si="153"/>
        <v>0</v>
      </c>
      <c r="AK108" s="70">
        <f t="shared" si="154"/>
        <v>0</v>
      </c>
      <c r="AL108" s="70">
        <f t="shared" si="155"/>
        <v>0</v>
      </c>
      <c r="AN108" s="70">
        <v>21</v>
      </c>
      <c r="AO108" s="70">
        <f t="shared" si="156"/>
        <v>0</v>
      </c>
      <c r="AP108" s="70">
        <f t="shared" si="157"/>
        <v>0</v>
      </c>
      <c r="AQ108" s="72" t="s">
        <v>94</v>
      </c>
      <c r="AV108" s="70">
        <f t="shared" si="158"/>
        <v>0</v>
      </c>
      <c r="AW108" s="70">
        <f t="shared" si="159"/>
        <v>0</v>
      </c>
      <c r="AX108" s="70">
        <f t="shared" si="160"/>
        <v>0</v>
      </c>
      <c r="AY108" s="72" t="s">
        <v>329</v>
      </c>
      <c r="AZ108" s="72" t="s">
        <v>330</v>
      </c>
      <c r="BA108" s="55" t="s">
        <v>101</v>
      </c>
      <c r="BC108" s="70">
        <f t="shared" si="161"/>
        <v>0</v>
      </c>
      <c r="BD108" s="70">
        <f t="shared" si="162"/>
        <v>0</v>
      </c>
      <c r="BE108" s="70">
        <v>0</v>
      </c>
      <c r="BF108" s="70">
        <f>108</f>
        <v>108</v>
      </c>
      <c r="BH108" s="70">
        <f t="shared" si="163"/>
        <v>0</v>
      </c>
      <c r="BI108" s="70">
        <f t="shared" si="164"/>
        <v>0</v>
      </c>
      <c r="BJ108" s="70">
        <f t="shared" si="165"/>
        <v>0</v>
      </c>
      <c r="BK108" s="70"/>
      <c r="BL108" s="70"/>
      <c r="BW108" s="70">
        <v>21</v>
      </c>
    </row>
    <row r="109" spans="1:75" ht="13.5" customHeight="1">
      <c r="A109" s="69" t="s">
        <v>392</v>
      </c>
      <c r="B109" s="10" t="s">
        <v>390</v>
      </c>
      <c r="C109" s="8" t="s">
        <v>393</v>
      </c>
      <c r="D109" s="8"/>
      <c r="E109" s="10" t="s">
        <v>350</v>
      </c>
      <c r="F109" s="70">
        <v>4</v>
      </c>
      <c r="G109" s="70">
        <v>0</v>
      </c>
      <c r="H109" s="70">
        <f t="shared" si="142"/>
        <v>0</v>
      </c>
      <c r="I109" s="70">
        <f t="shared" si="143"/>
        <v>0</v>
      </c>
      <c r="J109" s="70">
        <f t="shared" si="144"/>
        <v>0</v>
      </c>
      <c r="K109" s="71"/>
      <c r="Z109" s="70">
        <f t="shared" si="145"/>
        <v>0</v>
      </c>
      <c r="AB109" s="70">
        <f t="shared" si="146"/>
        <v>0</v>
      </c>
      <c r="AC109" s="70">
        <f t="shared" si="147"/>
        <v>0</v>
      </c>
      <c r="AD109" s="70">
        <f t="shared" si="148"/>
        <v>0</v>
      </c>
      <c r="AE109" s="70">
        <f t="shared" si="149"/>
        <v>0</v>
      </c>
      <c r="AF109" s="70">
        <f t="shared" si="150"/>
        <v>0</v>
      </c>
      <c r="AG109" s="70">
        <f t="shared" si="151"/>
        <v>0</v>
      </c>
      <c r="AH109" s="70">
        <f t="shared" si="152"/>
        <v>0</v>
      </c>
      <c r="AI109" s="55"/>
      <c r="AJ109" s="70">
        <f t="shared" si="153"/>
        <v>0</v>
      </c>
      <c r="AK109" s="70">
        <f t="shared" si="154"/>
        <v>0</v>
      </c>
      <c r="AL109" s="70">
        <f t="shared" si="155"/>
        <v>0</v>
      </c>
      <c r="AN109" s="70">
        <v>21</v>
      </c>
      <c r="AO109" s="70">
        <f t="shared" si="156"/>
        <v>0</v>
      </c>
      <c r="AP109" s="70">
        <f t="shared" si="157"/>
        <v>0</v>
      </c>
      <c r="AQ109" s="72" t="s">
        <v>94</v>
      </c>
      <c r="AV109" s="70">
        <f t="shared" si="158"/>
        <v>0</v>
      </c>
      <c r="AW109" s="70">
        <f t="shared" si="159"/>
        <v>0</v>
      </c>
      <c r="AX109" s="70">
        <f t="shared" si="160"/>
        <v>0</v>
      </c>
      <c r="AY109" s="72" t="s">
        <v>329</v>
      </c>
      <c r="AZ109" s="72" t="s">
        <v>330</v>
      </c>
      <c r="BA109" s="55" t="s">
        <v>101</v>
      </c>
      <c r="BC109" s="70">
        <f t="shared" si="161"/>
        <v>0</v>
      </c>
      <c r="BD109" s="70">
        <f t="shared" si="162"/>
        <v>0</v>
      </c>
      <c r="BE109" s="70">
        <v>0</v>
      </c>
      <c r="BF109" s="70">
        <f>109</f>
        <v>109</v>
      </c>
      <c r="BH109" s="70">
        <f t="shared" si="163"/>
        <v>0</v>
      </c>
      <c r="BI109" s="70">
        <f t="shared" si="164"/>
        <v>0</v>
      </c>
      <c r="BJ109" s="70">
        <f t="shared" si="165"/>
        <v>0</v>
      </c>
      <c r="BK109" s="70"/>
      <c r="BL109" s="70"/>
      <c r="BW109" s="70">
        <v>21</v>
      </c>
    </row>
    <row r="110" spans="1:75" ht="13.5" customHeight="1">
      <c r="A110" s="69" t="s">
        <v>394</v>
      </c>
      <c r="B110" s="10" t="s">
        <v>395</v>
      </c>
      <c r="C110" s="8" t="s">
        <v>396</v>
      </c>
      <c r="D110" s="8"/>
      <c r="E110" s="10" t="s">
        <v>350</v>
      </c>
      <c r="F110" s="70">
        <v>1</v>
      </c>
      <c r="G110" s="70">
        <v>0</v>
      </c>
      <c r="H110" s="70">
        <f t="shared" si="142"/>
        <v>0</v>
      </c>
      <c r="I110" s="70">
        <f t="shared" si="143"/>
        <v>0</v>
      </c>
      <c r="J110" s="70">
        <f t="shared" si="144"/>
        <v>0</v>
      </c>
      <c r="K110" s="71"/>
      <c r="Z110" s="70">
        <f t="shared" si="145"/>
        <v>0</v>
      </c>
      <c r="AB110" s="70">
        <f t="shared" si="146"/>
        <v>0</v>
      </c>
      <c r="AC110" s="70">
        <f t="shared" si="147"/>
        <v>0</v>
      </c>
      <c r="AD110" s="70">
        <f t="shared" si="148"/>
        <v>0</v>
      </c>
      <c r="AE110" s="70">
        <f t="shared" si="149"/>
        <v>0</v>
      </c>
      <c r="AF110" s="70">
        <f t="shared" si="150"/>
        <v>0</v>
      </c>
      <c r="AG110" s="70">
        <f t="shared" si="151"/>
        <v>0</v>
      </c>
      <c r="AH110" s="70">
        <f t="shared" si="152"/>
        <v>0</v>
      </c>
      <c r="AI110" s="55"/>
      <c r="AJ110" s="70">
        <f t="shared" si="153"/>
        <v>0</v>
      </c>
      <c r="AK110" s="70">
        <f t="shared" si="154"/>
        <v>0</v>
      </c>
      <c r="AL110" s="70">
        <f t="shared" si="155"/>
        <v>0</v>
      </c>
      <c r="AN110" s="70">
        <v>21</v>
      </c>
      <c r="AO110" s="70">
        <f t="shared" si="156"/>
        <v>0</v>
      </c>
      <c r="AP110" s="70">
        <f t="shared" si="157"/>
        <v>0</v>
      </c>
      <c r="AQ110" s="72" t="s">
        <v>94</v>
      </c>
      <c r="AV110" s="70">
        <f t="shared" si="158"/>
        <v>0</v>
      </c>
      <c r="AW110" s="70">
        <f t="shared" si="159"/>
        <v>0</v>
      </c>
      <c r="AX110" s="70">
        <f t="shared" si="160"/>
        <v>0</v>
      </c>
      <c r="AY110" s="72" t="s">
        <v>329</v>
      </c>
      <c r="AZ110" s="72" t="s">
        <v>330</v>
      </c>
      <c r="BA110" s="55" t="s">
        <v>101</v>
      </c>
      <c r="BC110" s="70">
        <f t="shared" si="161"/>
        <v>0</v>
      </c>
      <c r="BD110" s="70">
        <f t="shared" si="162"/>
        <v>0</v>
      </c>
      <c r="BE110" s="70">
        <v>0</v>
      </c>
      <c r="BF110" s="70">
        <f>110</f>
        <v>110</v>
      </c>
      <c r="BH110" s="70">
        <f t="shared" si="163"/>
        <v>0</v>
      </c>
      <c r="BI110" s="70">
        <f t="shared" si="164"/>
        <v>0</v>
      </c>
      <c r="BJ110" s="70">
        <f t="shared" si="165"/>
        <v>0</v>
      </c>
      <c r="BK110" s="70"/>
      <c r="BL110" s="70"/>
      <c r="BW110" s="70">
        <v>21</v>
      </c>
    </row>
    <row r="111" spans="1:75" ht="27" customHeight="1">
      <c r="A111" s="69" t="s">
        <v>397</v>
      </c>
      <c r="B111" s="10" t="s">
        <v>398</v>
      </c>
      <c r="C111" s="8" t="s">
        <v>399</v>
      </c>
      <c r="D111" s="8"/>
      <c r="E111" s="10" t="s">
        <v>350</v>
      </c>
      <c r="F111" s="70">
        <v>27</v>
      </c>
      <c r="G111" s="70">
        <v>0</v>
      </c>
      <c r="H111" s="70">
        <f t="shared" si="142"/>
        <v>0</v>
      </c>
      <c r="I111" s="70">
        <f t="shared" si="143"/>
        <v>0</v>
      </c>
      <c r="J111" s="70">
        <f t="shared" si="144"/>
        <v>0</v>
      </c>
      <c r="K111" s="71"/>
      <c r="Z111" s="70">
        <f t="shared" si="145"/>
        <v>0</v>
      </c>
      <c r="AB111" s="70">
        <f t="shared" si="146"/>
        <v>0</v>
      </c>
      <c r="AC111" s="70">
        <f t="shared" si="147"/>
        <v>0</v>
      </c>
      <c r="AD111" s="70">
        <f t="shared" si="148"/>
        <v>0</v>
      </c>
      <c r="AE111" s="70">
        <f t="shared" si="149"/>
        <v>0</v>
      </c>
      <c r="AF111" s="70">
        <f t="shared" si="150"/>
        <v>0</v>
      </c>
      <c r="AG111" s="70">
        <f t="shared" si="151"/>
        <v>0</v>
      </c>
      <c r="AH111" s="70">
        <f t="shared" si="152"/>
        <v>0</v>
      </c>
      <c r="AI111" s="55"/>
      <c r="AJ111" s="70">
        <f t="shared" si="153"/>
        <v>0</v>
      </c>
      <c r="AK111" s="70">
        <f t="shared" si="154"/>
        <v>0</v>
      </c>
      <c r="AL111" s="70">
        <f t="shared" si="155"/>
        <v>0</v>
      </c>
      <c r="AN111" s="70">
        <v>21</v>
      </c>
      <c r="AO111" s="70">
        <f t="shared" si="156"/>
        <v>0</v>
      </c>
      <c r="AP111" s="70">
        <f t="shared" si="157"/>
        <v>0</v>
      </c>
      <c r="AQ111" s="72" t="s">
        <v>94</v>
      </c>
      <c r="AV111" s="70">
        <f t="shared" si="158"/>
        <v>0</v>
      </c>
      <c r="AW111" s="70">
        <f t="shared" si="159"/>
        <v>0</v>
      </c>
      <c r="AX111" s="70">
        <f t="shared" si="160"/>
        <v>0</v>
      </c>
      <c r="AY111" s="72" t="s">
        <v>329</v>
      </c>
      <c r="AZ111" s="72" t="s">
        <v>330</v>
      </c>
      <c r="BA111" s="55" t="s">
        <v>101</v>
      </c>
      <c r="BC111" s="70">
        <f t="shared" si="161"/>
        <v>0</v>
      </c>
      <c r="BD111" s="70">
        <f t="shared" si="162"/>
        <v>0</v>
      </c>
      <c r="BE111" s="70">
        <v>0</v>
      </c>
      <c r="BF111" s="70">
        <f>111</f>
        <v>111</v>
      </c>
      <c r="BH111" s="70">
        <f t="shared" si="163"/>
        <v>0</v>
      </c>
      <c r="BI111" s="70">
        <f t="shared" si="164"/>
        <v>0</v>
      </c>
      <c r="BJ111" s="70">
        <f t="shared" si="165"/>
        <v>0</v>
      </c>
      <c r="BK111" s="70"/>
      <c r="BL111" s="70"/>
      <c r="BW111" s="70">
        <v>21</v>
      </c>
    </row>
    <row r="112" spans="1:75" ht="13.5" customHeight="1">
      <c r="A112" s="69" t="s">
        <v>400</v>
      </c>
      <c r="B112" s="10" t="s">
        <v>401</v>
      </c>
      <c r="C112" s="8" t="s">
        <v>402</v>
      </c>
      <c r="D112" s="8"/>
      <c r="E112" s="10" t="s">
        <v>350</v>
      </c>
      <c r="F112" s="70">
        <v>7</v>
      </c>
      <c r="G112" s="70">
        <v>0</v>
      </c>
      <c r="H112" s="70">
        <f t="shared" si="142"/>
        <v>0</v>
      </c>
      <c r="I112" s="70">
        <f t="shared" si="143"/>
        <v>0</v>
      </c>
      <c r="J112" s="70">
        <f t="shared" si="144"/>
        <v>0</v>
      </c>
      <c r="K112" s="71"/>
      <c r="Z112" s="70">
        <f t="shared" si="145"/>
        <v>0</v>
      </c>
      <c r="AB112" s="70">
        <f t="shared" si="146"/>
        <v>0</v>
      </c>
      <c r="AC112" s="70">
        <f t="shared" si="147"/>
        <v>0</v>
      </c>
      <c r="AD112" s="70">
        <f t="shared" si="148"/>
        <v>0</v>
      </c>
      <c r="AE112" s="70">
        <f t="shared" si="149"/>
        <v>0</v>
      </c>
      <c r="AF112" s="70">
        <f t="shared" si="150"/>
        <v>0</v>
      </c>
      <c r="AG112" s="70">
        <f t="shared" si="151"/>
        <v>0</v>
      </c>
      <c r="AH112" s="70">
        <f t="shared" si="152"/>
        <v>0</v>
      </c>
      <c r="AI112" s="55"/>
      <c r="AJ112" s="70">
        <f t="shared" si="153"/>
        <v>0</v>
      </c>
      <c r="AK112" s="70">
        <f t="shared" si="154"/>
        <v>0</v>
      </c>
      <c r="AL112" s="70">
        <f t="shared" si="155"/>
        <v>0</v>
      </c>
      <c r="AN112" s="70">
        <v>21</v>
      </c>
      <c r="AO112" s="70">
        <f t="shared" si="156"/>
        <v>0</v>
      </c>
      <c r="AP112" s="70">
        <f t="shared" si="157"/>
        <v>0</v>
      </c>
      <c r="AQ112" s="72" t="s">
        <v>94</v>
      </c>
      <c r="AV112" s="70">
        <f t="shared" si="158"/>
        <v>0</v>
      </c>
      <c r="AW112" s="70">
        <f t="shared" si="159"/>
        <v>0</v>
      </c>
      <c r="AX112" s="70">
        <f t="shared" si="160"/>
        <v>0</v>
      </c>
      <c r="AY112" s="72" t="s">
        <v>329</v>
      </c>
      <c r="AZ112" s="72" t="s">
        <v>330</v>
      </c>
      <c r="BA112" s="55" t="s">
        <v>101</v>
      </c>
      <c r="BC112" s="70">
        <f t="shared" si="161"/>
        <v>0</v>
      </c>
      <c r="BD112" s="70">
        <f t="shared" si="162"/>
        <v>0</v>
      </c>
      <c r="BE112" s="70">
        <v>0</v>
      </c>
      <c r="BF112" s="70">
        <f>112</f>
        <v>112</v>
      </c>
      <c r="BH112" s="70">
        <f t="shared" si="163"/>
        <v>0</v>
      </c>
      <c r="BI112" s="70">
        <f t="shared" si="164"/>
        <v>0</v>
      </c>
      <c r="BJ112" s="70">
        <f t="shared" si="165"/>
        <v>0</v>
      </c>
      <c r="BK112" s="70"/>
      <c r="BL112" s="70"/>
      <c r="BW112" s="70">
        <v>21</v>
      </c>
    </row>
    <row r="113" spans="1:75" ht="13.5" customHeight="1">
      <c r="A113" s="69" t="s">
        <v>403</v>
      </c>
      <c r="B113" s="10" t="s">
        <v>404</v>
      </c>
      <c r="C113" s="8" t="s">
        <v>405</v>
      </c>
      <c r="D113" s="8"/>
      <c r="E113" s="10" t="s">
        <v>350</v>
      </c>
      <c r="F113" s="70">
        <v>7</v>
      </c>
      <c r="G113" s="70">
        <v>0</v>
      </c>
      <c r="H113" s="70">
        <f t="shared" si="142"/>
        <v>0</v>
      </c>
      <c r="I113" s="70">
        <f t="shared" si="143"/>
        <v>0</v>
      </c>
      <c r="J113" s="70">
        <f t="shared" si="144"/>
        <v>0</v>
      </c>
      <c r="K113" s="71"/>
      <c r="Z113" s="70">
        <f t="shared" si="145"/>
        <v>0</v>
      </c>
      <c r="AB113" s="70">
        <f t="shared" si="146"/>
        <v>0</v>
      </c>
      <c r="AC113" s="70">
        <f t="shared" si="147"/>
        <v>0</v>
      </c>
      <c r="AD113" s="70">
        <f t="shared" si="148"/>
        <v>0</v>
      </c>
      <c r="AE113" s="70">
        <f t="shared" si="149"/>
        <v>0</v>
      </c>
      <c r="AF113" s="70">
        <f t="shared" si="150"/>
        <v>0</v>
      </c>
      <c r="AG113" s="70">
        <f t="shared" si="151"/>
        <v>0</v>
      </c>
      <c r="AH113" s="70">
        <f t="shared" si="152"/>
        <v>0</v>
      </c>
      <c r="AI113" s="55"/>
      <c r="AJ113" s="70">
        <f t="shared" si="153"/>
        <v>0</v>
      </c>
      <c r="AK113" s="70">
        <f t="shared" si="154"/>
        <v>0</v>
      </c>
      <c r="AL113" s="70">
        <f t="shared" si="155"/>
        <v>0</v>
      </c>
      <c r="AN113" s="70">
        <v>21</v>
      </c>
      <c r="AO113" s="70">
        <f t="shared" si="156"/>
        <v>0</v>
      </c>
      <c r="AP113" s="70">
        <f t="shared" si="157"/>
        <v>0</v>
      </c>
      <c r="AQ113" s="72" t="s">
        <v>94</v>
      </c>
      <c r="AV113" s="70">
        <f t="shared" si="158"/>
        <v>0</v>
      </c>
      <c r="AW113" s="70">
        <f t="shared" si="159"/>
        <v>0</v>
      </c>
      <c r="AX113" s="70">
        <f t="shared" si="160"/>
        <v>0</v>
      </c>
      <c r="AY113" s="72" t="s">
        <v>329</v>
      </c>
      <c r="AZ113" s="72" t="s">
        <v>330</v>
      </c>
      <c r="BA113" s="55" t="s">
        <v>101</v>
      </c>
      <c r="BC113" s="70">
        <f t="shared" si="161"/>
        <v>0</v>
      </c>
      <c r="BD113" s="70">
        <f t="shared" si="162"/>
        <v>0</v>
      </c>
      <c r="BE113" s="70">
        <v>0</v>
      </c>
      <c r="BF113" s="70">
        <f>113</f>
        <v>113</v>
      </c>
      <c r="BH113" s="70">
        <f t="shared" si="163"/>
        <v>0</v>
      </c>
      <c r="BI113" s="70">
        <f t="shared" si="164"/>
        <v>0</v>
      </c>
      <c r="BJ113" s="70">
        <f t="shared" si="165"/>
        <v>0</v>
      </c>
      <c r="BK113" s="70"/>
      <c r="BL113" s="70"/>
      <c r="BW113" s="70">
        <v>21</v>
      </c>
    </row>
    <row r="114" spans="1:75" ht="13.5" customHeight="1">
      <c r="A114" s="69" t="s">
        <v>406</v>
      </c>
      <c r="B114" s="10" t="s">
        <v>407</v>
      </c>
      <c r="C114" s="8" t="s">
        <v>408</v>
      </c>
      <c r="D114" s="8"/>
      <c r="E114" s="10" t="s">
        <v>350</v>
      </c>
      <c r="F114" s="70">
        <v>6</v>
      </c>
      <c r="G114" s="70">
        <v>0</v>
      </c>
      <c r="H114" s="70">
        <f t="shared" si="142"/>
        <v>0</v>
      </c>
      <c r="I114" s="70">
        <f t="shared" si="143"/>
        <v>0</v>
      </c>
      <c r="J114" s="70">
        <f t="shared" si="144"/>
        <v>0</v>
      </c>
      <c r="K114" s="71"/>
      <c r="Z114" s="70">
        <f t="shared" si="145"/>
        <v>0</v>
      </c>
      <c r="AB114" s="70">
        <f t="shared" si="146"/>
        <v>0</v>
      </c>
      <c r="AC114" s="70">
        <f t="shared" si="147"/>
        <v>0</v>
      </c>
      <c r="AD114" s="70">
        <f t="shared" si="148"/>
        <v>0</v>
      </c>
      <c r="AE114" s="70">
        <f t="shared" si="149"/>
        <v>0</v>
      </c>
      <c r="AF114" s="70">
        <f t="shared" si="150"/>
        <v>0</v>
      </c>
      <c r="AG114" s="70">
        <f t="shared" si="151"/>
        <v>0</v>
      </c>
      <c r="AH114" s="70">
        <f t="shared" si="152"/>
        <v>0</v>
      </c>
      <c r="AI114" s="55"/>
      <c r="AJ114" s="70">
        <f t="shared" si="153"/>
        <v>0</v>
      </c>
      <c r="AK114" s="70">
        <f t="shared" si="154"/>
        <v>0</v>
      </c>
      <c r="AL114" s="70">
        <f t="shared" si="155"/>
        <v>0</v>
      </c>
      <c r="AN114" s="70">
        <v>21</v>
      </c>
      <c r="AO114" s="70">
        <f t="shared" si="156"/>
        <v>0</v>
      </c>
      <c r="AP114" s="70">
        <f t="shared" si="157"/>
        <v>0</v>
      </c>
      <c r="AQ114" s="72" t="s">
        <v>94</v>
      </c>
      <c r="AV114" s="70">
        <f t="shared" si="158"/>
        <v>0</v>
      </c>
      <c r="AW114" s="70">
        <f t="shared" si="159"/>
        <v>0</v>
      </c>
      <c r="AX114" s="70">
        <f t="shared" si="160"/>
        <v>0</v>
      </c>
      <c r="AY114" s="72" t="s">
        <v>329</v>
      </c>
      <c r="AZ114" s="72" t="s">
        <v>330</v>
      </c>
      <c r="BA114" s="55" t="s">
        <v>101</v>
      </c>
      <c r="BC114" s="70">
        <f t="shared" si="161"/>
        <v>0</v>
      </c>
      <c r="BD114" s="70">
        <f t="shared" si="162"/>
        <v>0</v>
      </c>
      <c r="BE114" s="70">
        <v>0</v>
      </c>
      <c r="BF114" s="70">
        <f>114</f>
        <v>114</v>
      </c>
      <c r="BH114" s="70">
        <f t="shared" si="163"/>
        <v>0</v>
      </c>
      <c r="BI114" s="70">
        <f t="shared" si="164"/>
        <v>0</v>
      </c>
      <c r="BJ114" s="70">
        <f t="shared" si="165"/>
        <v>0</v>
      </c>
      <c r="BK114" s="70"/>
      <c r="BL114" s="70"/>
      <c r="BW114" s="70">
        <v>21</v>
      </c>
    </row>
    <row r="115" spans="1:75" ht="13.5" customHeight="1">
      <c r="A115" s="69" t="s">
        <v>128</v>
      </c>
      <c r="B115" s="10" t="s">
        <v>409</v>
      </c>
      <c r="C115" s="8" t="s">
        <v>410</v>
      </c>
      <c r="D115" s="8"/>
      <c r="E115" s="10" t="s">
        <v>350</v>
      </c>
      <c r="F115" s="70">
        <v>6</v>
      </c>
      <c r="G115" s="70">
        <v>0</v>
      </c>
      <c r="H115" s="70">
        <f t="shared" si="142"/>
        <v>0</v>
      </c>
      <c r="I115" s="70">
        <f t="shared" si="143"/>
        <v>0</v>
      </c>
      <c r="J115" s="70">
        <f t="shared" si="144"/>
        <v>0</v>
      </c>
      <c r="K115" s="71"/>
      <c r="Z115" s="70">
        <f t="shared" si="145"/>
        <v>0</v>
      </c>
      <c r="AB115" s="70">
        <f t="shared" si="146"/>
        <v>0</v>
      </c>
      <c r="AC115" s="70">
        <f t="shared" si="147"/>
        <v>0</v>
      </c>
      <c r="AD115" s="70">
        <f t="shared" si="148"/>
        <v>0</v>
      </c>
      <c r="AE115" s="70">
        <f t="shared" si="149"/>
        <v>0</v>
      </c>
      <c r="AF115" s="70">
        <f t="shared" si="150"/>
        <v>0</v>
      </c>
      <c r="AG115" s="70">
        <f t="shared" si="151"/>
        <v>0</v>
      </c>
      <c r="AH115" s="70">
        <f t="shared" si="152"/>
        <v>0</v>
      </c>
      <c r="AI115" s="55"/>
      <c r="AJ115" s="70">
        <f t="shared" si="153"/>
        <v>0</v>
      </c>
      <c r="AK115" s="70">
        <f t="shared" si="154"/>
        <v>0</v>
      </c>
      <c r="AL115" s="70">
        <f t="shared" si="155"/>
        <v>0</v>
      </c>
      <c r="AN115" s="70">
        <v>21</v>
      </c>
      <c r="AO115" s="70">
        <f t="shared" si="156"/>
        <v>0</v>
      </c>
      <c r="AP115" s="70">
        <f t="shared" si="157"/>
        <v>0</v>
      </c>
      <c r="AQ115" s="72" t="s">
        <v>94</v>
      </c>
      <c r="AV115" s="70">
        <f t="shared" si="158"/>
        <v>0</v>
      </c>
      <c r="AW115" s="70">
        <f t="shared" si="159"/>
        <v>0</v>
      </c>
      <c r="AX115" s="70">
        <f t="shared" si="160"/>
        <v>0</v>
      </c>
      <c r="AY115" s="72" t="s">
        <v>329</v>
      </c>
      <c r="AZ115" s="72" t="s">
        <v>330</v>
      </c>
      <c r="BA115" s="55" t="s">
        <v>101</v>
      </c>
      <c r="BC115" s="70">
        <f t="shared" si="161"/>
        <v>0</v>
      </c>
      <c r="BD115" s="70">
        <f t="shared" si="162"/>
        <v>0</v>
      </c>
      <c r="BE115" s="70">
        <v>0</v>
      </c>
      <c r="BF115" s="70">
        <f>115</f>
        <v>115</v>
      </c>
      <c r="BH115" s="70">
        <f t="shared" si="163"/>
        <v>0</v>
      </c>
      <c r="BI115" s="70">
        <f t="shared" si="164"/>
        <v>0</v>
      </c>
      <c r="BJ115" s="70">
        <f t="shared" si="165"/>
        <v>0</v>
      </c>
      <c r="BK115" s="70"/>
      <c r="BL115" s="70"/>
      <c r="BW115" s="70">
        <v>21</v>
      </c>
    </row>
    <row r="116" spans="1:75" ht="13.5" customHeight="1">
      <c r="A116" s="69" t="s">
        <v>411</v>
      </c>
      <c r="B116" s="10" t="s">
        <v>412</v>
      </c>
      <c r="C116" s="8" t="s">
        <v>413</v>
      </c>
      <c r="D116" s="8"/>
      <c r="E116" s="10" t="s">
        <v>350</v>
      </c>
      <c r="F116" s="70">
        <v>6</v>
      </c>
      <c r="G116" s="70">
        <v>0</v>
      </c>
      <c r="H116" s="70">
        <f t="shared" si="142"/>
        <v>0</v>
      </c>
      <c r="I116" s="70">
        <f t="shared" si="143"/>
        <v>0</v>
      </c>
      <c r="J116" s="70">
        <f t="shared" si="144"/>
        <v>0</v>
      </c>
      <c r="K116" s="71"/>
      <c r="Z116" s="70">
        <f t="shared" si="145"/>
        <v>0</v>
      </c>
      <c r="AB116" s="70">
        <f t="shared" si="146"/>
        <v>0</v>
      </c>
      <c r="AC116" s="70">
        <f t="shared" si="147"/>
        <v>0</v>
      </c>
      <c r="AD116" s="70">
        <f t="shared" si="148"/>
        <v>0</v>
      </c>
      <c r="AE116" s="70">
        <f t="shared" si="149"/>
        <v>0</v>
      </c>
      <c r="AF116" s="70">
        <f t="shared" si="150"/>
        <v>0</v>
      </c>
      <c r="AG116" s="70">
        <f t="shared" si="151"/>
        <v>0</v>
      </c>
      <c r="AH116" s="70">
        <f t="shared" si="152"/>
        <v>0</v>
      </c>
      <c r="AI116" s="55"/>
      <c r="AJ116" s="70">
        <f t="shared" si="153"/>
        <v>0</v>
      </c>
      <c r="AK116" s="70">
        <f t="shared" si="154"/>
        <v>0</v>
      </c>
      <c r="AL116" s="70">
        <f t="shared" si="155"/>
        <v>0</v>
      </c>
      <c r="AN116" s="70">
        <v>21</v>
      </c>
      <c r="AO116" s="70">
        <f t="shared" si="156"/>
        <v>0</v>
      </c>
      <c r="AP116" s="70">
        <f t="shared" si="157"/>
        <v>0</v>
      </c>
      <c r="AQ116" s="72" t="s">
        <v>94</v>
      </c>
      <c r="AV116" s="70">
        <f t="shared" si="158"/>
        <v>0</v>
      </c>
      <c r="AW116" s="70">
        <f t="shared" si="159"/>
        <v>0</v>
      </c>
      <c r="AX116" s="70">
        <f t="shared" si="160"/>
        <v>0</v>
      </c>
      <c r="AY116" s="72" t="s">
        <v>329</v>
      </c>
      <c r="AZ116" s="72" t="s">
        <v>330</v>
      </c>
      <c r="BA116" s="55" t="s">
        <v>101</v>
      </c>
      <c r="BC116" s="70">
        <f t="shared" si="161"/>
        <v>0</v>
      </c>
      <c r="BD116" s="70">
        <f t="shared" si="162"/>
        <v>0</v>
      </c>
      <c r="BE116" s="70">
        <v>0</v>
      </c>
      <c r="BF116" s="70">
        <f>116</f>
        <v>116</v>
      </c>
      <c r="BH116" s="70">
        <f t="shared" si="163"/>
        <v>0</v>
      </c>
      <c r="BI116" s="70">
        <f t="shared" si="164"/>
        <v>0</v>
      </c>
      <c r="BJ116" s="70">
        <f t="shared" si="165"/>
        <v>0</v>
      </c>
      <c r="BK116" s="70"/>
      <c r="BL116" s="70"/>
      <c r="BW116" s="70">
        <v>21</v>
      </c>
    </row>
    <row r="117" spans="1:75" ht="13.5" customHeight="1">
      <c r="A117" s="69" t="s">
        <v>414</v>
      </c>
      <c r="B117" s="10" t="s">
        <v>415</v>
      </c>
      <c r="C117" s="8" t="s">
        <v>416</v>
      </c>
      <c r="D117" s="8"/>
      <c r="E117" s="10" t="s">
        <v>350</v>
      </c>
      <c r="F117" s="70">
        <v>6</v>
      </c>
      <c r="G117" s="70">
        <v>0</v>
      </c>
      <c r="H117" s="70">
        <f t="shared" si="142"/>
        <v>0</v>
      </c>
      <c r="I117" s="70">
        <f t="shared" si="143"/>
        <v>0</v>
      </c>
      <c r="J117" s="70">
        <f t="shared" si="144"/>
        <v>0</v>
      </c>
      <c r="K117" s="71"/>
      <c r="Z117" s="70">
        <f t="shared" si="145"/>
        <v>0</v>
      </c>
      <c r="AB117" s="70">
        <f t="shared" si="146"/>
        <v>0</v>
      </c>
      <c r="AC117" s="70">
        <f t="shared" si="147"/>
        <v>0</v>
      </c>
      <c r="AD117" s="70">
        <f t="shared" si="148"/>
        <v>0</v>
      </c>
      <c r="AE117" s="70">
        <f t="shared" si="149"/>
        <v>0</v>
      </c>
      <c r="AF117" s="70">
        <f t="shared" si="150"/>
        <v>0</v>
      </c>
      <c r="AG117" s="70">
        <f t="shared" si="151"/>
        <v>0</v>
      </c>
      <c r="AH117" s="70">
        <f t="shared" si="152"/>
        <v>0</v>
      </c>
      <c r="AI117" s="55"/>
      <c r="AJ117" s="70">
        <f t="shared" si="153"/>
        <v>0</v>
      </c>
      <c r="AK117" s="70">
        <f t="shared" si="154"/>
        <v>0</v>
      </c>
      <c r="AL117" s="70">
        <f t="shared" si="155"/>
        <v>0</v>
      </c>
      <c r="AN117" s="70">
        <v>21</v>
      </c>
      <c r="AO117" s="70">
        <f t="shared" si="156"/>
        <v>0</v>
      </c>
      <c r="AP117" s="70">
        <f t="shared" si="157"/>
        <v>0</v>
      </c>
      <c r="AQ117" s="72" t="s">
        <v>94</v>
      </c>
      <c r="AV117" s="70">
        <f t="shared" si="158"/>
        <v>0</v>
      </c>
      <c r="AW117" s="70">
        <f t="shared" si="159"/>
        <v>0</v>
      </c>
      <c r="AX117" s="70">
        <f t="shared" si="160"/>
        <v>0</v>
      </c>
      <c r="AY117" s="72" t="s">
        <v>329</v>
      </c>
      <c r="AZ117" s="72" t="s">
        <v>330</v>
      </c>
      <c r="BA117" s="55" t="s">
        <v>101</v>
      </c>
      <c r="BC117" s="70">
        <f t="shared" si="161"/>
        <v>0</v>
      </c>
      <c r="BD117" s="70">
        <f t="shared" si="162"/>
        <v>0</v>
      </c>
      <c r="BE117" s="70">
        <v>0</v>
      </c>
      <c r="BF117" s="70">
        <f>117</f>
        <v>117</v>
      </c>
      <c r="BH117" s="70">
        <f t="shared" si="163"/>
        <v>0</v>
      </c>
      <c r="BI117" s="70">
        <f t="shared" si="164"/>
        <v>0</v>
      </c>
      <c r="BJ117" s="70">
        <f t="shared" si="165"/>
        <v>0</v>
      </c>
      <c r="BK117" s="70"/>
      <c r="BL117" s="70"/>
      <c r="BW117" s="70">
        <v>21</v>
      </c>
    </row>
    <row r="118" spans="1:75" ht="13.5" customHeight="1">
      <c r="A118" s="69" t="s">
        <v>417</v>
      </c>
      <c r="B118" s="10" t="s">
        <v>418</v>
      </c>
      <c r="C118" s="8" t="s">
        <v>419</v>
      </c>
      <c r="D118" s="8"/>
      <c r="E118" s="10" t="s">
        <v>350</v>
      </c>
      <c r="F118" s="70">
        <v>7</v>
      </c>
      <c r="G118" s="70">
        <v>0</v>
      </c>
      <c r="H118" s="70">
        <f t="shared" si="142"/>
        <v>0</v>
      </c>
      <c r="I118" s="70">
        <f t="shared" si="143"/>
        <v>0</v>
      </c>
      <c r="J118" s="70">
        <f t="shared" si="144"/>
        <v>0</v>
      </c>
      <c r="K118" s="71"/>
      <c r="Z118" s="70">
        <f t="shared" si="145"/>
        <v>0</v>
      </c>
      <c r="AB118" s="70">
        <f t="shared" si="146"/>
        <v>0</v>
      </c>
      <c r="AC118" s="70">
        <f t="shared" si="147"/>
        <v>0</v>
      </c>
      <c r="AD118" s="70">
        <f t="shared" si="148"/>
        <v>0</v>
      </c>
      <c r="AE118" s="70">
        <f t="shared" si="149"/>
        <v>0</v>
      </c>
      <c r="AF118" s="70">
        <f t="shared" si="150"/>
        <v>0</v>
      </c>
      <c r="AG118" s="70">
        <f t="shared" si="151"/>
        <v>0</v>
      </c>
      <c r="AH118" s="70">
        <f t="shared" si="152"/>
        <v>0</v>
      </c>
      <c r="AI118" s="55"/>
      <c r="AJ118" s="70">
        <f t="shared" si="153"/>
        <v>0</v>
      </c>
      <c r="AK118" s="70">
        <f t="shared" si="154"/>
        <v>0</v>
      </c>
      <c r="AL118" s="70">
        <f t="shared" si="155"/>
        <v>0</v>
      </c>
      <c r="AN118" s="70">
        <v>21</v>
      </c>
      <c r="AO118" s="70">
        <f t="shared" si="156"/>
        <v>0</v>
      </c>
      <c r="AP118" s="70">
        <f t="shared" si="157"/>
        <v>0</v>
      </c>
      <c r="AQ118" s="72" t="s">
        <v>94</v>
      </c>
      <c r="AV118" s="70">
        <f t="shared" si="158"/>
        <v>0</v>
      </c>
      <c r="AW118" s="70">
        <f t="shared" si="159"/>
        <v>0</v>
      </c>
      <c r="AX118" s="70">
        <f t="shared" si="160"/>
        <v>0</v>
      </c>
      <c r="AY118" s="72" t="s">
        <v>329</v>
      </c>
      <c r="AZ118" s="72" t="s">
        <v>330</v>
      </c>
      <c r="BA118" s="55" t="s">
        <v>101</v>
      </c>
      <c r="BC118" s="70">
        <f t="shared" si="161"/>
        <v>0</v>
      </c>
      <c r="BD118" s="70">
        <f t="shared" si="162"/>
        <v>0</v>
      </c>
      <c r="BE118" s="70">
        <v>0</v>
      </c>
      <c r="BF118" s="70">
        <f>118</f>
        <v>118</v>
      </c>
      <c r="BH118" s="70">
        <f t="shared" si="163"/>
        <v>0</v>
      </c>
      <c r="BI118" s="70">
        <f t="shared" si="164"/>
        <v>0</v>
      </c>
      <c r="BJ118" s="70">
        <f t="shared" si="165"/>
        <v>0</v>
      </c>
      <c r="BK118" s="70"/>
      <c r="BL118" s="70"/>
      <c r="BW118" s="70">
        <v>21</v>
      </c>
    </row>
    <row r="119" spans="1:75" ht="13.5" customHeight="1">
      <c r="A119" s="69" t="s">
        <v>420</v>
      </c>
      <c r="B119" s="10" t="s">
        <v>421</v>
      </c>
      <c r="C119" s="8" t="s">
        <v>422</v>
      </c>
      <c r="D119" s="8"/>
      <c r="E119" s="10" t="s">
        <v>350</v>
      </c>
      <c r="F119" s="70">
        <v>13</v>
      </c>
      <c r="G119" s="70">
        <v>0</v>
      </c>
      <c r="H119" s="70">
        <f t="shared" si="142"/>
        <v>0</v>
      </c>
      <c r="I119" s="70">
        <f t="shared" si="143"/>
        <v>0</v>
      </c>
      <c r="J119" s="70">
        <f t="shared" si="144"/>
        <v>0</v>
      </c>
      <c r="K119" s="71"/>
      <c r="Z119" s="70">
        <f t="shared" si="145"/>
        <v>0</v>
      </c>
      <c r="AB119" s="70">
        <f t="shared" si="146"/>
        <v>0</v>
      </c>
      <c r="AC119" s="70">
        <f t="shared" si="147"/>
        <v>0</v>
      </c>
      <c r="AD119" s="70">
        <f t="shared" si="148"/>
        <v>0</v>
      </c>
      <c r="AE119" s="70">
        <f t="shared" si="149"/>
        <v>0</v>
      </c>
      <c r="AF119" s="70">
        <f t="shared" si="150"/>
        <v>0</v>
      </c>
      <c r="AG119" s="70">
        <f t="shared" si="151"/>
        <v>0</v>
      </c>
      <c r="AH119" s="70">
        <f t="shared" si="152"/>
        <v>0</v>
      </c>
      <c r="AI119" s="55"/>
      <c r="AJ119" s="70">
        <f t="shared" si="153"/>
        <v>0</v>
      </c>
      <c r="AK119" s="70">
        <f t="shared" si="154"/>
        <v>0</v>
      </c>
      <c r="AL119" s="70">
        <f t="shared" si="155"/>
        <v>0</v>
      </c>
      <c r="AN119" s="70">
        <v>21</v>
      </c>
      <c r="AO119" s="70">
        <f t="shared" si="156"/>
        <v>0</v>
      </c>
      <c r="AP119" s="70">
        <f t="shared" si="157"/>
        <v>0</v>
      </c>
      <c r="AQ119" s="72" t="s">
        <v>94</v>
      </c>
      <c r="AV119" s="70">
        <f t="shared" si="158"/>
        <v>0</v>
      </c>
      <c r="AW119" s="70">
        <f t="shared" si="159"/>
        <v>0</v>
      </c>
      <c r="AX119" s="70">
        <f t="shared" si="160"/>
        <v>0</v>
      </c>
      <c r="AY119" s="72" t="s">
        <v>329</v>
      </c>
      <c r="AZ119" s="72" t="s">
        <v>330</v>
      </c>
      <c r="BA119" s="55" t="s">
        <v>101</v>
      </c>
      <c r="BC119" s="70">
        <f t="shared" si="161"/>
        <v>0</v>
      </c>
      <c r="BD119" s="70">
        <f t="shared" si="162"/>
        <v>0</v>
      </c>
      <c r="BE119" s="70">
        <v>0</v>
      </c>
      <c r="BF119" s="70">
        <f>119</f>
        <v>119</v>
      </c>
      <c r="BH119" s="70">
        <f t="shared" si="163"/>
        <v>0</v>
      </c>
      <c r="BI119" s="70">
        <f t="shared" si="164"/>
        <v>0</v>
      </c>
      <c r="BJ119" s="70">
        <f t="shared" si="165"/>
        <v>0</v>
      </c>
      <c r="BK119" s="70"/>
      <c r="BL119" s="70"/>
      <c r="BW119" s="70">
        <v>21</v>
      </c>
    </row>
    <row r="120" spans="1:75" ht="13.5" customHeight="1">
      <c r="A120" s="69" t="s">
        <v>423</v>
      </c>
      <c r="B120" s="10" t="s">
        <v>424</v>
      </c>
      <c r="C120" s="8" t="s">
        <v>425</v>
      </c>
      <c r="D120" s="8"/>
      <c r="E120" s="10" t="s">
        <v>350</v>
      </c>
      <c r="F120" s="70">
        <v>6</v>
      </c>
      <c r="G120" s="70">
        <v>0</v>
      </c>
      <c r="H120" s="70">
        <f t="shared" si="142"/>
        <v>0</v>
      </c>
      <c r="I120" s="70">
        <f t="shared" si="143"/>
        <v>0</v>
      </c>
      <c r="J120" s="70">
        <f t="shared" si="144"/>
        <v>0</v>
      </c>
      <c r="K120" s="71"/>
      <c r="Z120" s="70">
        <f t="shared" si="145"/>
        <v>0</v>
      </c>
      <c r="AB120" s="70">
        <f t="shared" si="146"/>
        <v>0</v>
      </c>
      <c r="AC120" s="70">
        <f t="shared" si="147"/>
        <v>0</v>
      </c>
      <c r="AD120" s="70">
        <f t="shared" si="148"/>
        <v>0</v>
      </c>
      <c r="AE120" s="70">
        <f t="shared" si="149"/>
        <v>0</v>
      </c>
      <c r="AF120" s="70">
        <f t="shared" si="150"/>
        <v>0</v>
      </c>
      <c r="AG120" s="70">
        <f t="shared" si="151"/>
        <v>0</v>
      </c>
      <c r="AH120" s="70">
        <f t="shared" si="152"/>
        <v>0</v>
      </c>
      <c r="AI120" s="55"/>
      <c r="AJ120" s="70">
        <f t="shared" si="153"/>
        <v>0</v>
      </c>
      <c r="AK120" s="70">
        <f t="shared" si="154"/>
        <v>0</v>
      </c>
      <c r="AL120" s="70">
        <f t="shared" si="155"/>
        <v>0</v>
      </c>
      <c r="AN120" s="70">
        <v>21</v>
      </c>
      <c r="AO120" s="70">
        <f t="shared" si="156"/>
        <v>0</v>
      </c>
      <c r="AP120" s="70">
        <f t="shared" si="157"/>
        <v>0</v>
      </c>
      <c r="AQ120" s="72" t="s">
        <v>94</v>
      </c>
      <c r="AV120" s="70">
        <f t="shared" si="158"/>
        <v>0</v>
      </c>
      <c r="AW120" s="70">
        <f t="shared" si="159"/>
        <v>0</v>
      </c>
      <c r="AX120" s="70">
        <f t="shared" si="160"/>
        <v>0</v>
      </c>
      <c r="AY120" s="72" t="s">
        <v>329</v>
      </c>
      <c r="AZ120" s="72" t="s">
        <v>330</v>
      </c>
      <c r="BA120" s="55" t="s">
        <v>101</v>
      </c>
      <c r="BC120" s="70">
        <f t="shared" si="161"/>
        <v>0</v>
      </c>
      <c r="BD120" s="70">
        <f t="shared" si="162"/>
        <v>0</v>
      </c>
      <c r="BE120" s="70">
        <v>0</v>
      </c>
      <c r="BF120" s="70">
        <f>120</f>
        <v>120</v>
      </c>
      <c r="BH120" s="70">
        <f t="shared" si="163"/>
        <v>0</v>
      </c>
      <c r="BI120" s="70">
        <f t="shared" si="164"/>
        <v>0</v>
      </c>
      <c r="BJ120" s="70">
        <f t="shared" si="165"/>
        <v>0</v>
      </c>
      <c r="BK120" s="70"/>
      <c r="BL120" s="70"/>
      <c r="BW120" s="70">
        <v>21</v>
      </c>
    </row>
    <row r="121" spans="1:75" ht="27" customHeight="1">
      <c r="A121" s="69" t="s">
        <v>426</v>
      </c>
      <c r="B121" s="10" t="s">
        <v>427</v>
      </c>
      <c r="C121" s="8" t="s">
        <v>428</v>
      </c>
      <c r="D121" s="8"/>
      <c r="E121" s="10" t="s">
        <v>350</v>
      </c>
      <c r="F121" s="70">
        <v>3</v>
      </c>
      <c r="G121" s="70">
        <v>0</v>
      </c>
      <c r="H121" s="70">
        <f t="shared" si="142"/>
        <v>0</v>
      </c>
      <c r="I121" s="70">
        <f t="shared" si="143"/>
        <v>0</v>
      </c>
      <c r="J121" s="70">
        <f t="shared" si="144"/>
        <v>0</v>
      </c>
      <c r="K121" s="71"/>
      <c r="Z121" s="70">
        <f t="shared" si="145"/>
        <v>0</v>
      </c>
      <c r="AB121" s="70">
        <f t="shared" si="146"/>
        <v>0</v>
      </c>
      <c r="AC121" s="70">
        <f t="shared" si="147"/>
        <v>0</v>
      </c>
      <c r="AD121" s="70">
        <f t="shared" si="148"/>
        <v>0</v>
      </c>
      <c r="AE121" s="70">
        <f t="shared" si="149"/>
        <v>0</v>
      </c>
      <c r="AF121" s="70">
        <f t="shared" si="150"/>
        <v>0</v>
      </c>
      <c r="AG121" s="70">
        <f t="shared" si="151"/>
        <v>0</v>
      </c>
      <c r="AH121" s="70">
        <f t="shared" si="152"/>
        <v>0</v>
      </c>
      <c r="AI121" s="55"/>
      <c r="AJ121" s="70">
        <f t="shared" si="153"/>
        <v>0</v>
      </c>
      <c r="AK121" s="70">
        <f t="shared" si="154"/>
        <v>0</v>
      </c>
      <c r="AL121" s="70">
        <f t="shared" si="155"/>
        <v>0</v>
      </c>
      <c r="AN121" s="70">
        <v>21</v>
      </c>
      <c r="AO121" s="70">
        <f t="shared" si="156"/>
        <v>0</v>
      </c>
      <c r="AP121" s="70">
        <f t="shared" si="157"/>
        <v>0</v>
      </c>
      <c r="AQ121" s="72" t="s">
        <v>94</v>
      </c>
      <c r="AV121" s="70">
        <f t="shared" si="158"/>
        <v>0</v>
      </c>
      <c r="AW121" s="70">
        <f t="shared" si="159"/>
        <v>0</v>
      </c>
      <c r="AX121" s="70">
        <f t="shared" si="160"/>
        <v>0</v>
      </c>
      <c r="AY121" s="72" t="s">
        <v>329</v>
      </c>
      <c r="AZ121" s="72" t="s">
        <v>330</v>
      </c>
      <c r="BA121" s="55" t="s">
        <v>101</v>
      </c>
      <c r="BC121" s="70">
        <f t="shared" si="161"/>
        <v>0</v>
      </c>
      <c r="BD121" s="70">
        <f t="shared" si="162"/>
        <v>0</v>
      </c>
      <c r="BE121" s="70">
        <v>0</v>
      </c>
      <c r="BF121" s="70">
        <f>121</f>
        <v>121</v>
      </c>
      <c r="BH121" s="70">
        <f t="shared" si="163"/>
        <v>0</v>
      </c>
      <c r="BI121" s="70">
        <f t="shared" si="164"/>
        <v>0</v>
      </c>
      <c r="BJ121" s="70">
        <f t="shared" si="165"/>
        <v>0</v>
      </c>
      <c r="BK121" s="70"/>
      <c r="BL121" s="70"/>
      <c r="BW121" s="70">
        <v>21</v>
      </c>
    </row>
    <row r="122" spans="1:75" ht="27" customHeight="1">
      <c r="A122" s="69" t="s">
        <v>429</v>
      </c>
      <c r="B122" s="10" t="s">
        <v>398</v>
      </c>
      <c r="C122" s="8" t="s">
        <v>430</v>
      </c>
      <c r="D122" s="8"/>
      <c r="E122" s="10" t="s">
        <v>350</v>
      </c>
      <c r="F122" s="70">
        <v>2</v>
      </c>
      <c r="G122" s="70">
        <v>0</v>
      </c>
      <c r="H122" s="70">
        <f t="shared" si="142"/>
        <v>0</v>
      </c>
      <c r="I122" s="70">
        <f t="shared" si="143"/>
        <v>0</v>
      </c>
      <c r="J122" s="70">
        <f t="shared" si="144"/>
        <v>0</v>
      </c>
      <c r="K122" s="71"/>
      <c r="Z122" s="70">
        <f t="shared" si="145"/>
        <v>0</v>
      </c>
      <c r="AB122" s="70">
        <f t="shared" si="146"/>
        <v>0</v>
      </c>
      <c r="AC122" s="70">
        <f t="shared" si="147"/>
        <v>0</v>
      </c>
      <c r="AD122" s="70">
        <f t="shared" si="148"/>
        <v>0</v>
      </c>
      <c r="AE122" s="70">
        <f t="shared" si="149"/>
        <v>0</v>
      </c>
      <c r="AF122" s="70">
        <f t="shared" si="150"/>
        <v>0</v>
      </c>
      <c r="AG122" s="70">
        <f t="shared" si="151"/>
        <v>0</v>
      </c>
      <c r="AH122" s="70">
        <f t="shared" si="152"/>
        <v>0</v>
      </c>
      <c r="AI122" s="55"/>
      <c r="AJ122" s="70">
        <f t="shared" si="153"/>
        <v>0</v>
      </c>
      <c r="AK122" s="70">
        <f t="shared" si="154"/>
        <v>0</v>
      </c>
      <c r="AL122" s="70">
        <f t="shared" si="155"/>
        <v>0</v>
      </c>
      <c r="AN122" s="70">
        <v>21</v>
      </c>
      <c r="AO122" s="70">
        <f t="shared" si="156"/>
        <v>0</v>
      </c>
      <c r="AP122" s="70">
        <f t="shared" si="157"/>
        <v>0</v>
      </c>
      <c r="AQ122" s="72" t="s">
        <v>94</v>
      </c>
      <c r="AV122" s="70">
        <f t="shared" si="158"/>
        <v>0</v>
      </c>
      <c r="AW122" s="70">
        <f t="shared" si="159"/>
        <v>0</v>
      </c>
      <c r="AX122" s="70">
        <f t="shared" si="160"/>
        <v>0</v>
      </c>
      <c r="AY122" s="72" t="s">
        <v>329</v>
      </c>
      <c r="AZ122" s="72" t="s">
        <v>330</v>
      </c>
      <c r="BA122" s="55" t="s">
        <v>101</v>
      </c>
      <c r="BC122" s="70">
        <f t="shared" si="161"/>
        <v>0</v>
      </c>
      <c r="BD122" s="70">
        <f t="shared" si="162"/>
        <v>0</v>
      </c>
      <c r="BE122" s="70">
        <v>0</v>
      </c>
      <c r="BF122" s="70">
        <f>122</f>
        <v>122</v>
      </c>
      <c r="BH122" s="70">
        <f t="shared" si="163"/>
        <v>0</v>
      </c>
      <c r="BI122" s="70">
        <f t="shared" si="164"/>
        <v>0</v>
      </c>
      <c r="BJ122" s="70">
        <f t="shared" si="165"/>
        <v>0</v>
      </c>
      <c r="BK122" s="70"/>
      <c r="BL122" s="70"/>
      <c r="BW122" s="70">
        <v>21</v>
      </c>
    </row>
    <row r="123" spans="1:75" ht="13.5" customHeight="1">
      <c r="A123" s="69" t="s">
        <v>431</v>
      </c>
      <c r="B123" s="10" t="s">
        <v>432</v>
      </c>
      <c r="C123" s="8" t="s">
        <v>433</v>
      </c>
      <c r="D123" s="8"/>
      <c r="E123" s="10" t="s">
        <v>350</v>
      </c>
      <c r="F123" s="70">
        <v>21</v>
      </c>
      <c r="G123" s="70">
        <v>0</v>
      </c>
      <c r="H123" s="70">
        <f t="shared" si="142"/>
        <v>0</v>
      </c>
      <c r="I123" s="70">
        <f t="shared" si="143"/>
        <v>0</v>
      </c>
      <c r="J123" s="70">
        <f t="shared" si="144"/>
        <v>0</v>
      </c>
      <c r="K123" s="71"/>
      <c r="Z123" s="70">
        <f t="shared" si="145"/>
        <v>0</v>
      </c>
      <c r="AB123" s="70">
        <f t="shared" si="146"/>
        <v>0</v>
      </c>
      <c r="AC123" s="70">
        <f t="shared" si="147"/>
        <v>0</v>
      </c>
      <c r="AD123" s="70">
        <f t="shared" si="148"/>
        <v>0</v>
      </c>
      <c r="AE123" s="70">
        <f t="shared" si="149"/>
        <v>0</v>
      </c>
      <c r="AF123" s="70">
        <f t="shared" si="150"/>
        <v>0</v>
      </c>
      <c r="AG123" s="70">
        <f t="shared" si="151"/>
        <v>0</v>
      </c>
      <c r="AH123" s="70">
        <f t="shared" si="152"/>
        <v>0</v>
      </c>
      <c r="AI123" s="55"/>
      <c r="AJ123" s="70">
        <f t="shared" si="153"/>
        <v>0</v>
      </c>
      <c r="AK123" s="70">
        <f t="shared" si="154"/>
        <v>0</v>
      </c>
      <c r="AL123" s="70">
        <f t="shared" si="155"/>
        <v>0</v>
      </c>
      <c r="AN123" s="70">
        <v>21</v>
      </c>
      <c r="AO123" s="70">
        <f t="shared" si="156"/>
        <v>0</v>
      </c>
      <c r="AP123" s="70">
        <f t="shared" si="157"/>
        <v>0</v>
      </c>
      <c r="AQ123" s="72" t="s">
        <v>94</v>
      </c>
      <c r="AV123" s="70">
        <f t="shared" si="158"/>
        <v>0</v>
      </c>
      <c r="AW123" s="70">
        <f t="shared" si="159"/>
        <v>0</v>
      </c>
      <c r="AX123" s="70">
        <f t="shared" si="160"/>
        <v>0</v>
      </c>
      <c r="AY123" s="72" t="s">
        <v>329</v>
      </c>
      <c r="AZ123" s="72" t="s">
        <v>330</v>
      </c>
      <c r="BA123" s="55" t="s">
        <v>101</v>
      </c>
      <c r="BC123" s="70">
        <f t="shared" si="161"/>
        <v>0</v>
      </c>
      <c r="BD123" s="70">
        <f t="shared" si="162"/>
        <v>0</v>
      </c>
      <c r="BE123" s="70">
        <v>0</v>
      </c>
      <c r="BF123" s="70">
        <f>123</f>
        <v>123</v>
      </c>
      <c r="BH123" s="70">
        <f t="shared" si="163"/>
        <v>0</v>
      </c>
      <c r="BI123" s="70">
        <f t="shared" si="164"/>
        <v>0</v>
      </c>
      <c r="BJ123" s="70">
        <f t="shared" si="165"/>
        <v>0</v>
      </c>
      <c r="BK123" s="70"/>
      <c r="BL123" s="70"/>
      <c r="BW123" s="70">
        <v>21</v>
      </c>
    </row>
    <row r="124" spans="1:75" ht="13.5" customHeight="1">
      <c r="A124" s="69" t="s">
        <v>434</v>
      </c>
      <c r="B124" s="10" t="s">
        <v>435</v>
      </c>
      <c r="C124" s="8" t="s">
        <v>436</v>
      </c>
      <c r="D124" s="8"/>
      <c r="E124" s="10" t="s">
        <v>350</v>
      </c>
      <c r="F124" s="70">
        <v>3</v>
      </c>
      <c r="G124" s="70">
        <v>0</v>
      </c>
      <c r="H124" s="70">
        <f t="shared" si="142"/>
        <v>0</v>
      </c>
      <c r="I124" s="70">
        <f t="shared" si="143"/>
        <v>0</v>
      </c>
      <c r="J124" s="70">
        <f t="shared" si="144"/>
        <v>0</v>
      </c>
      <c r="K124" s="71"/>
      <c r="Z124" s="70">
        <f t="shared" si="145"/>
        <v>0</v>
      </c>
      <c r="AB124" s="70">
        <f t="shared" si="146"/>
        <v>0</v>
      </c>
      <c r="AC124" s="70">
        <f t="shared" si="147"/>
        <v>0</v>
      </c>
      <c r="AD124" s="70">
        <f t="shared" si="148"/>
        <v>0</v>
      </c>
      <c r="AE124" s="70">
        <f t="shared" si="149"/>
        <v>0</v>
      </c>
      <c r="AF124" s="70">
        <f t="shared" si="150"/>
        <v>0</v>
      </c>
      <c r="AG124" s="70">
        <f t="shared" si="151"/>
        <v>0</v>
      </c>
      <c r="AH124" s="70">
        <f t="shared" si="152"/>
        <v>0</v>
      </c>
      <c r="AI124" s="55"/>
      <c r="AJ124" s="70">
        <f t="shared" si="153"/>
        <v>0</v>
      </c>
      <c r="AK124" s="70">
        <f t="shared" si="154"/>
        <v>0</v>
      </c>
      <c r="AL124" s="70">
        <f t="shared" si="155"/>
        <v>0</v>
      </c>
      <c r="AN124" s="70">
        <v>21</v>
      </c>
      <c r="AO124" s="70">
        <f t="shared" si="156"/>
        <v>0</v>
      </c>
      <c r="AP124" s="70">
        <f t="shared" si="157"/>
        <v>0</v>
      </c>
      <c r="AQ124" s="72" t="s">
        <v>94</v>
      </c>
      <c r="AV124" s="70">
        <f t="shared" si="158"/>
        <v>0</v>
      </c>
      <c r="AW124" s="70">
        <f t="shared" si="159"/>
        <v>0</v>
      </c>
      <c r="AX124" s="70">
        <f t="shared" si="160"/>
        <v>0</v>
      </c>
      <c r="AY124" s="72" t="s">
        <v>329</v>
      </c>
      <c r="AZ124" s="72" t="s">
        <v>330</v>
      </c>
      <c r="BA124" s="55" t="s">
        <v>101</v>
      </c>
      <c r="BC124" s="70">
        <f t="shared" si="161"/>
        <v>0</v>
      </c>
      <c r="BD124" s="70">
        <f t="shared" si="162"/>
        <v>0</v>
      </c>
      <c r="BE124" s="70">
        <v>0</v>
      </c>
      <c r="BF124" s="70">
        <f>124</f>
        <v>124</v>
      </c>
      <c r="BH124" s="70">
        <f t="shared" si="163"/>
        <v>0</v>
      </c>
      <c r="BI124" s="70">
        <f t="shared" si="164"/>
        <v>0</v>
      </c>
      <c r="BJ124" s="70">
        <f t="shared" si="165"/>
        <v>0</v>
      </c>
      <c r="BK124" s="70"/>
      <c r="BL124" s="70"/>
      <c r="BW124" s="70">
        <v>21</v>
      </c>
    </row>
    <row r="125" spans="1:75" ht="13.5" customHeight="1">
      <c r="A125" s="69" t="s">
        <v>437</v>
      </c>
      <c r="B125" s="10" t="s">
        <v>438</v>
      </c>
      <c r="C125" s="8" t="s">
        <v>439</v>
      </c>
      <c r="D125" s="8"/>
      <c r="E125" s="10" t="s">
        <v>350</v>
      </c>
      <c r="F125" s="70">
        <v>7</v>
      </c>
      <c r="G125" s="70">
        <v>0</v>
      </c>
      <c r="H125" s="70">
        <f t="shared" si="142"/>
        <v>0</v>
      </c>
      <c r="I125" s="70">
        <f t="shared" si="143"/>
        <v>0</v>
      </c>
      <c r="J125" s="70">
        <f t="shared" si="144"/>
        <v>0</v>
      </c>
      <c r="K125" s="71"/>
      <c r="Z125" s="70">
        <f t="shared" si="145"/>
        <v>0</v>
      </c>
      <c r="AB125" s="70">
        <f t="shared" si="146"/>
        <v>0</v>
      </c>
      <c r="AC125" s="70">
        <f t="shared" si="147"/>
        <v>0</v>
      </c>
      <c r="AD125" s="70">
        <f t="shared" si="148"/>
        <v>0</v>
      </c>
      <c r="AE125" s="70">
        <f t="shared" si="149"/>
        <v>0</v>
      </c>
      <c r="AF125" s="70">
        <f t="shared" si="150"/>
        <v>0</v>
      </c>
      <c r="AG125" s="70">
        <f t="shared" si="151"/>
        <v>0</v>
      </c>
      <c r="AH125" s="70">
        <f t="shared" si="152"/>
        <v>0</v>
      </c>
      <c r="AI125" s="55"/>
      <c r="AJ125" s="70">
        <f t="shared" si="153"/>
        <v>0</v>
      </c>
      <c r="AK125" s="70">
        <f t="shared" si="154"/>
        <v>0</v>
      </c>
      <c r="AL125" s="70">
        <f t="shared" si="155"/>
        <v>0</v>
      </c>
      <c r="AN125" s="70">
        <v>21</v>
      </c>
      <c r="AO125" s="70">
        <f t="shared" si="156"/>
        <v>0</v>
      </c>
      <c r="AP125" s="70">
        <f t="shared" si="157"/>
        <v>0</v>
      </c>
      <c r="AQ125" s="72" t="s">
        <v>94</v>
      </c>
      <c r="AV125" s="70">
        <f t="shared" si="158"/>
        <v>0</v>
      </c>
      <c r="AW125" s="70">
        <f t="shared" si="159"/>
        <v>0</v>
      </c>
      <c r="AX125" s="70">
        <f t="shared" si="160"/>
        <v>0</v>
      </c>
      <c r="AY125" s="72" t="s">
        <v>329</v>
      </c>
      <c r="AZ125" s="72" t="s">
        <v>330</v>
      </c>
      <c r="BA125" s="55" t="s">
        <v>101</v>
      </c>
      <c r="BC125" s="70">
        <f t="shared" si="161"/>
        <v>0</v>
      </c>
      <c r="BD125" s="70">
        <f t="shared" si="162"/>
        <v>0</v>
      </c>
      <c r="BE125" s="70">
        <v>0</v>
      </c>
      <c r="BF125" s="70">
        <f>125</f>
        <v>125</v>
      </c>
      <c r="BH125" s="70">
        <f t="shared" si="163"/>
        <v>0</v>
      </c>
      <c r="BI125" s="70">
        <f t="shared" si="164"/>
        <v>0</v>
      </c>
      <c r="BJ125" s="70">
        <f t="shared" si="165"/>
        <v>0</v>
      </c>
      <c r="BK125" s="70"/>
      <c r="BL125" s="70"/>
      <c r="BW125" s="70">
        <v>21</v>
      </c>
    </row>
    <row r="126" spans="1:75" ht="13.5" customHeight="1">
      <c r="A126" s="69" t="s">
        <v>440</v>
      </c>
      <c r="B126" s="10" t="s">
        <v>441</v>
      </c>
      <c r="C126" s="8" t="s">
        <v>442</v>
      </c>
      <c r="D126" s="8"/>
      <c r="E126" s="10" t="s">
        <v>350</v>
      </c>
      <c r="F126" s="70">
        <v>24</v>
      </c>
      <c r="G126" s="70">
        <v>0</v>
      </c>
      <c r="H126" s="70">
        <f t="shared" si="142"/>
        <v>0</v>
      </c>
      <c r="I126" s="70">
        <f t="shared" si="143"/>
        <v>0</v>
      </c>
      <c r="J126" s="70">
        <f t="shared" si="144"/>
        <v>0</v>
      </c>
      <c r="K126" s="71"/>
      <c r="Z126" s="70">
        <f t="shared" si="145"/>
        <v>0</v>
      </c>
      <c r="AB126" s="70">
        <f t="shared" si="146"/>
        <v>0</v>
      </c>
      <c r="AC126" s="70">
        <f t="shared" si="147"/>
        <v>0</v>
      </c>
      <c r="AD126" s="70">
        <f t="shared" si="148"/>
        <v>0</v>
      </c>
      <c r="AE126" s="70">
        <f t="shared" si="149"/>
        <v>0</v>
      </c>
      <c r="AF126" s="70">
        <f t="shared" si="150"/>
        <v>0</v>
      </c>
      <c r="AG126" s="70">
        <f t="shared" si="151"/>
        <v>0</v>
      </c>
      <c r="AH126" s="70">
        <f t="shared" si="152"/>
        <v>0</v>
      </c>
      <c r="AI126" s="55"/>
      <c r="AJ126" s="70">
        <f t="shared" si="153"/>
        <v>0</v>
      </c>
      <c r="AK126" s="70">
        <f t="shared" si="154"/>
        <v>0</v>
      </c>
      <c r="AL126" s="70">
        <f t="shared" si="155"/>
        <v>0</v>
      </c>
      <c r="AN126" s="70">
        <v>21</v>
      </c>
      <c r="AO126" s="70">
        <f t="shared" si="156"/>
        <v>0</v>
      </c>
      <c r="AP126" s="70">
        <f t="shared" si="157"/>
        <v>0</v>
      </c>
      <c r="AQ126" s="72" t="s">
        <v>94</v>
      </c>
      <c r="AV126" s="70">
        <f t="shared" si="158"/>
        <v>0</v>
      </c>
      <c r="AW126" s="70">
        <f t="shared" si="159"/>
        <v>0</v>
      </c>
      <c r="AX126" s="70">
        <f t="shared" si="160"/>
        <v>0</v>
      </c>
      <c r="AY126" s="72" t="s">
        <v>329</v>
      </c>
      <c r="AZ126" s="72" t="s">
        <v>330</v>
      </c>
      <c r="BA126" s="55" t="s">
        <v>101</v>
      </c>
      <c r="BC126" s="70">
        <f t="shared" si="161"/>
        <v>0</v>
      </c>
      <c r="BD126" s="70">
        <f t="shared" si="162"/>
        <v>0</v>
      </c>
      <c r="BE126" s="70">
        <v>0</v>
      </c>
      <c r="BF126" s="70">
        <f>126</f>
        <v>126</v>
      </c>
      <c r="BH126" s="70">
        <f t="shared" si="163"/>
        <v>0</v>
      </c>
      <c r="BI126" s="70">
        <f t="shared" si="164"/>
        <v>0</v>
      </c>
      <c r="BJ126" s="70">
        <f t="shared" si="165"/>
        <v>0</v>
      </c>
      <c r="BK126" s="70"/>
      <c r="BL126" s="70"/>
      <c r="BW126" s="70">
        <v>21</v>
      </c>
    </row>
    <row r="127" spans="1:75" ht="13.5" customHeight="1">
      <c r="A127" s="69" t="s">
        <v>443</v>
      </c>
      <c r="B127" s="10" t="s">
        <v>444</v>
      </c>
      <c r="C127" s="8" t="s">
        <v>445</v>
      </c>
      <c r="D127" s="8"/>
      <c r="E127" s="10" t="s">
        <v>350</v>
      </c>
      <c r="F127" s="70">
        <v>1</v>
      </c>
      <c r="G127" s="70">
        <v>0</v>
      </c>
      <c r="H127" s="70">
        <f t="shared" si="142"/>
        <v>0</v>
      </c>
      <c r="I127" s="70">
        <f t="shared" si="143"/>
        <v>0</v>
      </c>
      <c r="J127" s="70">
        <f t="shared" si="144"/>
        <v>0</v>
      </c>
      <c r="K127" s="71"/>
      <c r="Z127" s="70">
        <f t="shared" si="145"/>
        <v>0</v>
      </c>
      <c r="AB127" s="70">
        <f t="shared" si="146"/>
        <v>0</v>
      </c>
      <c r="AC127" s="70">
        <f t="shared" si="147"/>
        <v>0</v>
      </c>
      <c r="AD127" s="70">
        <f t="shared" si="148"/>
        <v>0</v>
      </c>
      <c r="AE127" s="70">
        <f t="shared" si="149"/>
        <v>0</v>
      </c>
      <c r="AF127" s="70">
        <f t="shared" si="150"/>
        <v>0</v>
      </c>
      <c r="AG127" s="70">
        <f t="shared" si="151"/>
        <v>0</v>
      </c>
      <c r="AH127" s="70">
        <f t="shared" si="152"/>
        <v>0</v>
      </c>
      <c r="AI127" s="55"/>
      <c r="AJ127" s="70">
        <f t="shared" si="153"/>
        <v>0</v>
      </c>
      <c r="AK127" s="70">
        <f t="shared" si="154"/>
        <v>0</v>
      </c>
      <c r="AL127" s="70">
        <f t="shared" si="155"/>
        <v>0</v>
      </c>
      <c r="AN127" s="70">
        <v>21</v>
      </c>
      <c r="AO127" s="70">
        <f t="shared" si="156"/>
        <v>0</v>
      </c>
      <c r="AP127" s="70">
        <f t="shared" si="157"/>
        <v>0</v>
      </c>
      <c r="AQ127" s="72" t="s">
        <v>94</v>
      </c>
      <c r="AV127" s="70">
        <f t="shared" si="158"/>
        <v>0</v>
      </c>
      <c r="AW127" s="70">
        <f t="shared" si="159"/>
        <v>0</v>
      </c>
      <c r="AX127" s="70">
        <f t="shared" si="160"/>
        <v>0</v>
      </c>
      <c r="AY127" s="72" t="s">
        <v>329</v>
      </c>
      <c r="AZ127" s="72" t="s">
        <v>330</v>
      </c>
      <c r="BA127" s="55" t="s">
        <v>101</v>
      </c>
      <c r="BC127" s="70">
        <f t="shared" si="161"/>
        <v>0</v>
      </c>
      <c r="BD127" s="70">
        <f t="shared" si="162"/>
        <v>0</v>
      </c>
      <c r="BE127" s="70">
        <v>0</v>
      </c>
      <c r="BF127" s="70">
        <f>127</f>
        <v>127</v>
      </c>
      <c r="BH127" s="70">
        <f t="shared" si="163"/>
        <v>0</v>
      </c>
      <c r="BI127" s="70">
        <f t="shared" si="164"/>
        <v>0</v>
      </c>
      <c r="BJ127" s="70">
        <f t="shared" si="165"/>
        <v>0</v>
      </c>
      <c r="BK127" s="70"/>
      <c r="BL127" s="70"/>
      <c r="BW127" s="70">
        <v>21</v>
      </c>
    </row>
    <row r="128" spans="1:75" ht="13.5" customHeight="1">
      <c r="A128" s="69" t="s">
        <v>446</v>
      </c>
      <c r="B128" s="10" t="s">
        <v>447</v>
      </c>
      <c r="C128" s="8" t="s">
        <v>448</v>
      </c>
      <c r="D128" s="8"/>
      <c r="E128" s="10" t="s">
        <v>350</v>
      </c>
      <c r="F128" s="70">
        <v>2</v>
      </c>
      <c r="G128" s="70">
        <v>0</v>
      </c>
      <c r="H128" s="70">
        <f t="shared" si="142"/>
        <v>0</v>
      </c>
      <c r="I128" s="70">
        <f t="shared" si="143"/>
        <v>0</v>
      </c>
      <c r="J128" s="70">
        <f t="shared" si="144"/>
        <v>0</v>
      </c>
      <c r="K128" s="71"/>
      <c r="Z128" s="70">
        <f t="shared" si="145"/>
        <v>0</v>
      </c>
      <c r="AB128" s="70">
        <f t="shared" si="146"/>
        <v>0</v>
      </c>
      <c r="AC128" s="70">
        <f t="shared" si="147"/>
        <v>0</v>
      </c>
      <c r="AD128" s="70">
        <f t="shared" si="148"/>
        <v>0</v>
      </c>
      <c r="AE128" s="70">
        <f t="shared" si="149"/>
        <v>0</v>
      </c>
      <c r="AF128" s="70">
        <f t="shared" si="150"/>
        <v>0</v>
      </c>
      <c r="AG128" s="70">
        <f t="shared" si="151"/>
        <v>0</v>
      </c>
      <c r="AH128" s="70">
        <f t="shared" si="152"/>
        <v>0</v>
      </c>
      <c r="AI128" s="55"/>
      <c r="AJ128" s="70">
        <f t="shared" si="153"/>
        <v>0</v>
      </c>
      <c r="AK128" s="70">
        <f t="shared" si="154"/>
        <v>0</v>
      </c>
      <c r="AL128" s="70">
        <f t="shared" si="155"/>
        <v>0</v>
      </c>
      <c r="AN128" s="70">
        <v>21</v>
      </c>
      <c r="AO128" s="70">
        <f t="shared" si="156"/>
        <v>0</v>
      </c>
      <c r="AP128" s="70">
        <f t="shared" si="157"/>
        <v>0</v>
      </c>
      <c r="AQ128" s="72" t="s">
        <v>94</v>
      </c>
      <c r="AV128" s="70">
        <f t="shared" si="158"/>
        <v>0</v>
      </c>
      <c r="AW128" s="70">
        <f t="shared" si="159"/>
        <v>0</v>
      </c>
      <c r="AX128" s="70">
        <f t="shared" si="160"/>
        <v>0</v>
      </c>
      <c r="AY128" s="72" t="s">
        <v>329</v>
      </c>
      <c r="AZ128" s="72" t="s">
        <v>330</v>
      </c>
      <c r="BA128" s="55" t="s">
        <v>101</v>
      </c>
      <c r="BC128" s="70">
        <f t="shared" si="161"/>
        <v>0</v>
      </c>
      <c r="BD128" s="70">
        <f t="shared" si="162"/>
        <v>0</v>
      </c>
      <c r="BE128" s="70">
        <v>0</v>
      </c>
      <c r="BF128" s="70">
        <f>128</f>
        <v>128</v>
      </c>
      <c r="BH128" s="70">
        <f t="shared" si="163"/>
        <v>0</v>
      </c>
      <c r="BI128" s="70">
        <f t="shared" si="164"/>
        <v>0</v>
      </c>
      <c r="BJ128" s="70">
        <f t="shared" si="165"/>
        <v>0</v>
      </c>
      <c r="BK128" s="70"/>
      <c r="BL128" s="70"/>
      <c r="BW128" s="70">
        <v>21</v>
      </c>
    </row>
    <row r="129" spans="1:75" ht="13.5" customHeight="1">
      <c r="A129" s="69" t="s">
        <v>449</v>
      </c>
      <c r="B129" s="10" t="s">
        <v>450</v>
      </c>
      <c r="C129" s="8" t="s">
        <v>451</v>
      </c>
      <c r="D129" s="8"/>
      <c r="E129" s="10" t="s">
        <v>350</v>
      </c>
      <c r="F129" s="70">
        <v>1</v>
      </c>
      <c r="G129" s="70">
        <v>0</v>
      </c>
      <c r="H129" s="70">
        <f t="shared" si="142"/>
        <v>0</v>
      </c>
      <c r="I129" s="70">
        <f t="shared" si="143"/>
        <v>0</v>
      </c>
      <c r="J129" s="70">
        <f t="shared" si="144"/>
        <v>0</v>
      </c>
      <c r="K129" s="71"/>
      <c r="Z129" s="70">
        <f t="shared" si="145"/>
        <v>0</v>
      </c>
      <c r="AB129" s="70">
        <f t="shared" si="146"/>
        <v>0</v>
      </c>
      <c r="AC129" s="70">
        <f t="shared" si="147"/>
        <v>0</v>
      </c>
      <c r="AD129" s="70">
        <f t="shared" si="148"/>
        <v>0</v>
      </c>
      <c r="AE129" s="70">
        <f t="shared" si="149"/>
        <v>0</v>
      </c>
      <c r="AF129" s="70">
        <f t="shared" si="150"/>
        <v>0</v>
      </c>
      <c r="AG129" s="70">
        <f t="shared" si="151"/>
        <v>0</v>
      </c>
      <c r="AH129" s="70">
        <f t="shared" si="152"/>
        <v>0</v>
      </c>
      <c r="AI129" s="55"/>
      <c r="AJ129" s="70">
        <f t="shared" si="153"/>
        <v>0</v>
      </c>
      <c r="AK129" s="70">
        <f t="shared" si="154"/>
        <v>0</v>
      </c>
      <c r="AL129" s="70">
        <f t="shared" si="155"/>
        <v>0</v>
      </c>
      <c r="AN129" s="70">
        <v>21</v>
      </c>
      <c r="AO129" s="70">
        <f t="shared" si="156"/>
        <v>0</v>
      </c>
      <c r="AP129" s="70">
        <f t="shared" si="157"/>
        <v>0</v>
      </c>
      <c r="AQ129" s="72" t="s">
        <v>94</v>
      </c>
      <c r="AV129" s="70">
        <f t="shared" si="158"/>
        <v>0</v>
      </c>
      <c r="AW129" s="70">
        <f t="shared" si="159"/>
        <v>0</v>
      </c>
      <c r="AX129" s="70">
        <f t="shared" si="160"/>
        <v>0</v>
      </c>
      <c r="AY129" s="72" t="s">
        <v>329</v>
      </c>
      <c r="AZ129" s="72" t="s">
        <v>330</v>
      </c>
      <c r="BA129" s="55" t="s">
        <v>101</v>
      </c>
      <c r="BC129" s="70">
        <f t="shared" si="161"/>
        <v>0</v>
      </c>
      <c r="BD129" s="70">
        <f t="shared" si="162"/>
        <v>0</v>
      </c>
      <c r="BE129" s="70">
        <v>0</v>
      </c>
      <c r="BF129" s="70">
        <f>129</f>
        <v>129</v>
      </c>
      <c r="BH129" s="70">
        <f t="shared" si="163"/>
        <v>0</v>
      </c>
      <c r="BI129" s="70">
        <f t="shared" si="164"/>
        <v>0</v>
      </c>
      <c r="BJ129" s="70">
        <f t="shared" si="165"/>
        <v>0</v>
      </c>
      <c r="BK129" s="70"/>
      <c r="BL129" s="70"/>
      <c r="BW129" s="70">
        <v>21</v>
      </c>
    </row>
    <row r="130" spans="1:75" ht="13.5" customHeight="1">
      <c r="A130" s="69" t="s">
        <v>452</v>
      </c>
      <c r="B130" s="10" t="s">
        <v>453</v>
      </c>
      <c r="C130" s="8" t="s">
        <v>454</v>
      </c>
      <c r="D130" s="8"/>
      <c r="E130" s="10" t="s">
        <v>350</v>
      </c>
      <c r="F130" s="70">
        <v>2</v>
      </c>
      <c r="G130" s="70">
        <v>0</v>
      </c>
      <c r="H130" s="70">
        <f t="shared" si="142"/>
        <v>0</v>
      </c>
      <c r="I130" s="70">
        <f t="shared" si="143"/>
        <v>0</v>
      </c>
      <c r="J130" s="70">
        <f t="shared" si="144"/>
        <v>0</v>
      </c>
      <c r="K130" s="71"/>
      <c r="Z130" s="70">
        <f t="shared" si="145"/>
        <v>0</v>
      </c>
      <c r="AB130" s="70">
        <f t="shared" si="146"/>
        <v>0</v>
      </c>
      <c r="AC130" s="70">
        <f t="shared" si="147"/>
        <v>0</v>
      </c>
      <c r="AD130" s="70">
        <f t="shared" si="148"/>
        <v>0</v>
      </c>
      <c r="AE130" s="70">
        <f t="shared" si="149"/>
        <v>0</v>
      </c>
      <c r="AF130" s="70">
        <f t="shared" si="150"/>
        <v>0</v>
      </c>
      <c r="AG130" s="70">
        <f t="shared" si="151"/>
        <v>0</v>
      </c>
      <c r="AH130" s="70">
        <f t="shared" si="152"/>
        <v>0</v>
      </c>
      <c r="AI130" s="55"/>
      <c r="AJ130" s="70">
        <f t="shared" si="153"/>
        <v>0</v>
      </c>
      <c r="AK130" s="70">
        <f t="shared" si="154"/>
        <v>0</v>
      </c>
      <c r="AL130" s="70">
        <f t="shared" si="155"/>
        <v>0</v>
      </c>
      <c r="AN130" s="70">
        <v>21</v>
      </c>
      <c r="AO130" s="70">
        <f t="shared" si="156"/>
        <v>0</v>
      </c>
      <c r="AP130" s="70">
        <f t="shared" si="157"/>
        <v>0</v>
      </c>
      <c r="AQ130" s="72" t="s">
        <v>94</v>
      </c>
      <c r="AV130" s="70">
        <f t="shared" si="158"/>
        <v>0</v>
      </c>
      <c r="AW130" s="70">
        <f t="shared" si="159"/>
        <v>0</v>
      </c>
      <c r="AX130" s="70">
        <f t="shared" si="160"/>
        <v>0</v>
      </c>
      <c r="AY130" s="72" t="s">
        <v>329</v>
      </c>
      <c r="AZ130" s="72" t="s">
        <v>330</v>
      </c>
      <c r="BA130" s="55" t="s">
        <v>101</v>
      </c>
      <c r="BC130" s="70">
        <f t="shared" si="161"/>
        <v>0</v>
      </c>
      <c r="BD130" s="70">
        <f t="shared" si="162"/>
        <v>0</v>
      </c>
      <c r="BE130" s="70">
        <v>0</v>
      </c>
      <c r="BF130" s="70">
        <f>130</f>
        <v>130</v>
      </c>
      <c r="BH130" s="70">
        <f t="shared" si="163"/>
        <v>0</v>
      </c>
      <c r="BI130" s="70">
        <f t="shared" si="164"/>
        <v>0</v>
      </c>
      <c r="BJ130" s="70">
        <f t="shared" si="165"/>
        <v>0</v>
      </c>
      <c r="BK130" s="70"/>
      <c r="BL130" s="70"/>
      <c r="BW130" s="70">
        <v>21</v>
      </c>
    </row>
    <row r="131" spans="1:75" ht="13.5" customHeight="1">
      <c r="A131" s="69" t="s">
        <v>455</v>
      </c>
      <c r="B131" s="10" t="s">
        <v>456</v>
      </c>
      <c r="C131" s="8" t="s">
        <v>457</v>
      </c>
      <c r="D131" s="8"/>
      <c r="E131" s="10" t="s">
        <v>350</v>
      </c>
      <c r="F131" s="70">
        <v>2</v>
      </c>
      <c r="G131" s="70">
        <v>0</v>
      </c>
      <c r="H131" s="70">
        <f t="shared" si="142"/>
        <v>0</v>
      </c>
      <c r="I131" s="70">
        <f t="shared" si="143"/>
        <v>0</v>
      </c>
      <c r="J131" s="70">
        <f t="shared" si="144"/>
        <v>0</v>
      </c>
      <c r="K131" s="71"/>
      <c r="Z131" s="70">
        <f t="shared" si="145"/>
        <v>0</v>
      </c>
      <c r="AB131" s="70">
        <f t="shared" si="146"/>
        <v>0</v>
      </c>
      <c r="AC131" s="70">
        <f t="shared" si="147"/>
        <v>0</v>
      </c>
      <c r="AD131" s="70">
        <f t="shared" si="148"/>
        <v>0</v>
      </c>
      <c r="AE131" s="70">
        <f t="shared" si="149"/>
        <v>0</v>
      </c>
      <c r="AF131" s="70">
        <f t="shared" si="150"/>
        <v>0</v>
      </c>
      <c r="AG131" s="70">
        <f t="shared" si="151"/>
        <v>0</v>
      </c>
      <c r="AH131" s="70">
        <f t="shared" si="152"/>
        <v>0</v>
      </c>
      <c r="AI131" s="55"/>
      <c r="AJ131" s="70">
        <f t="shared" si="153"/>
        <v>0</v>
      </c>
      <c r="AK131" s="70">
        <f t="shared" si="154"/>
        <v>0</v>
      </c>
      <c r="AL131" s="70">
        <f t="shared" si="155"/>
        <v>0</v>
      </c>
      <c r="AN131" s="70">
        <v>21</v>
      </c>
      <c r="AO131" s="70">
        <f t="shared" si="156"/>
        <v>0</v>
      </c>
      <c r="AP131" s="70">
        <f t="shared" si="157"/>
        <v>0</v>
      </c>
      <c r="AQ131" s="72" t="s">
        <v>94</v>
      </c>
      <c r="AV131" s="70">
        <f t="shared" si="158"/>
        <v>0</v>
      </c>
      <c r="AW131" s="70">
        <f t="shared" si="159"/>
        <v>0</v>
      </c>
      <c r="AX131" s="70">
        <f t="shared" si="160"/>
        <v>0</v>
      </c>
      <c r="AY131" s="72" t="s">
        <v>329</v>
      </c>
      <c r="AZ131" s="72" t="s">
        <v>330</v>
      </c>
      <c r="BA131" s="55" t="s">
        <v>101</v>
      </c>
      <c r="BC131" s="70">
        <f t="shared" si="161"/>
        <v>0</v>
      </c>
      <c r="BD131" s="70">
        <f t="shared" si="162"/>
        <v>0</v>
      </c>
      <c r="BE131" s="70">
        <v>0</v>
      </c>
      <c r="BF131" s="70">
        <f>131</f>
        <v>131</v>
      </c>
      <c r="BH131" s="70">
        <f t="shared" si="163"/>
        <v>0</v>
      </c>
      <c r="BI131" s="70">
        <f t="shared" si="164"/>
        <v>0</v>
      </c>
      <c r="BJ131" s="70">
        <f t="shared" si="165"/>
        <v>0</v>
      </c>
      <c r="BK131" s="70"/>
      <c r="BL131" s="70"/>
      <c r="BW131" s="70">
        <v>21</v>
      </c>
    </row>
    <row r="132" spans="1:75" ht="13.5" customHeight="1">
      <c r="A132" s="69" t="s">
        <v>458</v>
      </c>
      <c r="B132" s="10" t="s">
        <v>459</v>
      </c>
      <c r="C132" s="8" t="s">
        <v>460</v>
      </c>
      <c r="D132" s="8"/>
      <c r="E132" s="10" t="s">
        <v>350</v>
      </c>
      <c r="F132" s="70">
        <v>1</v>
      </c>
      <c r="G132" s="70">
        <v>0</v>
      </c>
      <c r="H132" s="70">
        <f t="shared" si="142"/>
        <v>0</v>
      </c>
      <c r="I132" s="70">
        <f t="shared" si="143"/>
        <v>0</v>
      </c>
      <c r="J132" s="70">
        <f t="shared" si="144"/>
        <v>0</v>
      </c>
      <c r="K132" s="71"/>
      <c r="Z132" s="70">
        <f t="shared" si="145"/>
        <v>0</v>
      </c>
      <c r="AB132" s="70">
        <f t="shared" si="146"/>
        <v>0</v>
      </c>
      <c r="AC132" s="70">
        <f t="shared" si="147"/>
        <v>0</v>
      </c>
      <c r="AD132" s="70">
        <f t="shared" si="148"/>
        <v>0</v>
      </c>
      <c r="AE132" s="70">
        <f t="shared" si="149"/>
        <v>0</v>
      </c>
      <c r="AF132" s="70">
        <f t="shared" si="150"/>
        <v>0</v>
      </c>
      <c r="AG132" s="70">
        <f t="shared" si="151"/>
        <v>0</v>
      </c>
      <c r="AH132" s="70">
        <f t="shared" si="152"/>
        <v>0</v>
      </c>
      <c r="AI132" s="55"/>
      <c r="AJ132" s="70">
        <f t="shared" si="153"/>
        <v>0</v>
      </c>
      <c r="AK132" s="70">
        <f t="shared" si="154"/>
        <v>0</v>
      </c>
      <c r="AL132" s="70">
        <f t="shared" si="155"/>
        <v>0</v>
      </c>
      <c r="AN132" s="70">
        <v>21</v>
      </c>
      <c r="AO132" s="70">
        <f t="shared" si="156"/>
        <v>0</v>
      </c>
      <c r="AP132" s="70">
        <f t="shared" si="157"/>
        <v>0</v>
      </c>
      <c r="AQ132" s="72" t="s">
        <v>94</v>
      </c>
      <c r="AV132" s="70">
        <f t="shared" si="158"/>
        <v>0</v>
      </c>
      <c r="AW132" s="70">
        <f t="shared" si="159"/>
        <v>0</v>
      </c>
      <c r="AX132" s="70">
        <f t="shared" si="160"/>
        <v>0</v>
      </c>
      <c r="AY132" s="72" t="s">
        <v>329</v>
      </c>
      <c r="AZ132" s="72" t="s">
        <v>330</v>
      </c>
      <c r="BA132" s="55" t="s">
        <v>101</v>
      </c>
      <c r="BC132" s="70">
        <f t="shared" si="161"/>
        <v>0</v>
      </c>
      <c r="BD132" s="70">
        <f t="shared" si="162"/>
        <v>0</v>
      </c>
      <c r="BE132" s="70">
        <v>0</v>
      </c>
      <c r="BF132" s="70">
        <f>132</f>
        <v>132</v>
      </c>
      <c r="BH132" s="70">
        <f t="shared" si="163"/>
        <v>0</v>
      </c>
      <c r="BI132" s="70">
        <f t="shared" si="164"/>
        <v>0</v>
      </c>
      <c r="BJ132" s="70">
        <f t="shared" si="165"/>
        <v>0</v>
      </c>
      <c r="BK132" s="70"/>
      <c r="BL132" s="70"/>
      <c r="BW132" s="70">
        <v>21</v>
      </c>
    </row>
    <row r="133" spans="1:75" ht="13.5" customHeight="1">
      <c r="A133" s="69" t="s">
        <v>461</v>
      </c>
      <c r="B133" s="10" t="s">
        <v>462</v>
      </c>
      <c r="C133" s="8" t="s">
        <v>463</v>
      </c>
      <c r="D133" s="8"/>
      <c r="E133" s="10" t="s">
        <v>350</v>
      </c>
      <c r="F133" s="70">
        <v>1</v>
      </c>
      <c r="G133" s="70">
        <v>0</v>
      </c>
      <c r="H133" s="70">
        <f t="shared" si="142"/>
        <v>0</v>
      </c>
      <c r="I133" s="70">
        <f t="shared" si="143"/>
        <v>0</v>
      </c>
      <c r="J133" s="70">
        <f t="shared" si="144"/>
        <v>0</v>
      </c>
      <c r="K133" s="71"/>
      <c r="Z133" s="70">
        <f t="shared" si="145"/>
        <v>0</v>
      </c>
      <c r="AB133" s="70">
        <f t="shared" si="146"/>
        <v>0</v>
      </c>
      <c r="AC133" s="70">
        <f t="shared" si="147"/>
        <v>0</v>
      </c>
      <c r="AD133" s="70">
        <f t="shared" si="148"/>
        <v>0</v>
      </c>
      <c r="AE133" s="70">
        <f t="shared" si="149"/>
        <v>0</v>
      </c>
      <c r="AF133" s="70">
        <f t="shared" si="150"/>
        <v>0</v>
      </c>
      <c r="AG133" s="70">
        <f t="shared" si="151"/>
        <v>0</v>
      </c>
      <c r="AH133" s="70">
        <f t="shared" si="152"/>
        <v>0</v>
      </c>
      <c r="AI133" s="55"/>
      <c r="AJ133" s="70">
        <f t="shared" si="153"/>
        <v>0</v>
      </c>
      <c r="AK133" s="70">
        <f t="shared" si="154"/>
        <v>0</v>
      </c>
      <c r="AL133" s="70">
        <f t="shared" si="155"/>
        <v>0</v>
      </c>
      <c r="AN133" s="70">
        <v>21</v>
      </c>
      <c r="AO133" s="70">
        <f t="shared" si="156"/>
        <v>0</v>
      </c>
      <c r="AP133" s="70">
        <f t="shared" si="157"/>
        <v>0</v>
      </c>
      <c r="AQ133" s="72" t="s">
        <v>94</v>
      </c>
      <c r="AV133" s="70">
        <f t="shared" si="158"/>
        <v>0</v>
      </c>
      <c r="AW133" s="70">
        <f t="shared" si="159"/>
        <v>0</v>
      </c>
      <c r="AX133" s="70">
        <f t="shared" si="160"/>
        <v>0</v>
      </c>
      <c r="AY133" s="72" t="s">
        <v>329</v>
      </c>
      <c r="AZ133" s="72" t="s">
        <v>330</v>
      </c>
      <c r="BA133" s="55" t="s">
        <v>101</v>
      </c>
      <c r="BC133" s="70">
        <f t="shared" si="161"/>
        <v>0</v>
      </c>
      <c r="BD133" s="70">
        <f t="shared" si="162"/>
        <v>0</v>
      </c>
      <c r="BE133" s="70">
        <v>0</v>
      </c>
      <c r="BF133" s="70">
        <f>133</f>
        <v>133</v>
      </c>
      <c r="BH133" s="70">
        <f t="shared" si="163"/>
        <v>0</v>
      </c>
      <c r="BI133" s="70">
        <f t="shared" si="164"/>
        <v>0</v>
      </c>
      <c r="BJ133" s="70">
        <f t="shared" si="165"/>
        <v>0</v>
      </c>
      <c r="BK133" s="70"/>
      <c r="BL133" s="70"/>
      <c r="BW133" s="70">
        <v>21</v>
      </c>
    </row>
    <row r="134" spans="1:75" ht="13.5" customHeight="1">
      <c r="A134" s="69" t="s">
        <v>464</v>
      </c>
      <c r="B134" s="10" t="s">
        <v>465</v>
      </c>
      <c r="C134" s="8" t="s">
        <v>466</v>
      </c>
      <c r="D134" s="8"/>
      <c r="E134" s="10" t="s">
        <v>350</v>
      </c>
      <c r="F134" s="70">
        <v>4</v>
      </c>
      <c r="G134" s="70">
        <v>0</v>
      </c>
      <c r="H134" s="70">
        <f t="shared" si="142"/>
        <v>0</v>
      </c>
      <c r="I134" s="70">
        <f t="shared" si="143"/>
        <v>0</v>
      </c>
      <c r="J134" s="70">
        <f t="shared" si="144"/>
        <v>0</v>
      </c>
      <c r="K134" s="71"/>
      <c r="Z134" s="70">
        <f t="shared" si="145"/>
        <v>0</v>
      </c>
      <c r="AB134" s="70">
        <f t="shared" si="146"/>
        <v>0</v>
      </c>
      <c r="AC134" s="70">
        <f t="shared" si="147"/>
        <v>0</v>
      </c>
      <c r="AD134" s="70">
        <f t="shared" si="148"/>
        <v>0</v>
      </c>
      <c r="AE134" s="70">
        <f t="shared" si="149"/>
        <v>0</v>
      </c>
      <c r="AF134" s="70">
        <f t="shared" si="150"/>
        <v>0</v>
      </c>
      <c r="AG134" s="70">
        <f t="shared" si="151"/>
        <v>0</v>
      </c>
      <c r="AH134" s="70">
        <f t="shared" si="152"/>
        <v>0</v>
      </c>
      <c r="AI134" s="55"/>
      <c r="AJ134" s="70">
        <f t="shared" si="153"/>
        <v>0</v>
      </c>
      <c r="AK134" s="70">
        <f t="shared" si="154"/>
        <v>0</v>
      </c>
      <c r="AL134" s="70">
        <f t="shared" si="155"/>
        <v>0</v>
      </c>
      <c r="AN134" s="70">
        <v>21</v>
      </c>
      <c r="AO134" s="70">
        <f t="shared" si="156"/>
        <v>0</v>
      </c>
      <c r="AP134" s="70">
        <f t="shared" si="157"/>
        <v>0</v>
      </c>
      <c r="AQ134" s="72" t="s">
        <v>94</v>
      </c>
      <c r="AV134" s="70">
        <f t="shared" si="158"/>
        <v>0</v>
      </c>
      <c r="AW134" s="70">
        <f t="shared" si="159"/>
        <v>0</v>
      </c>
      <c r="AX134" s="70">
        <f t="shared" si="160"/>
        <v>0</v>
      </c>
      <c r="AY134" s="72" t="s">
        <v>329</v>
      </c>
      <c r="AZ134" s="72" t="s">
        <v>330</v>
      </c>
      <c r="BA134" s="55" t="s">
        <v>101</v>
      </c>
      <c r="BC134" s="70">
        <f t="shared" si="161"/>
        <v>0</v>
      </c>
      <c r="BD134" s="70">
        <f t="shared" si="162"/>
        <v>0</v>
      </c>
      <c r="BE134" s="70">
        <v>0</v>
      </c>
      <c r="BF134" s="70">
        <f>134</f>
        <v>134</v>
      </c>
      <c r="BH134" s="70">
        <f t="shared" si="163"/>
        <v>0</v>
      </c>
      <c r="BI134" s="70">
        <f t="shared" si="164"/>
        <v>0</v>
      </c>
      <c r="BJ134" s="70">
        <f t="shared" si="165"/>
        <v>0</v>
      </c>
      <c r="BK134" s="70"/>
      <c r="BL134" s="70"/>
      <c r="BW134" s="70">
        <v>21</v>
      </c>
    </row>
    <row r="135" spans="1:75" ht="13.5" customHeight="1">
      <c r="A135" s="69" t="s">
        <v>467</v>
      </c>
      <c r="B135" s="10" t="s">
        <v>468</v>
      </c>
      <c r="C135" s="8" t="s">
        <v>469</v>
      </c>
      <c r="D135" s="8"/>
      <c r="E135" s="10" t="s">
        <v>350</v>
      </c>
      <c r="F135" s="70">
        <v>1</v>
      </c>
      <c r="G135" s="70">
        <v>0</v>
      </c>
      <c r="H135" s="70">
        <f t="shared" si="142"/>
        <v>0</v>
      </c>
      <c r="I135" s="70">
        <f t="shared" si="143"/>
        <v>0</v>
      </c>
      <c r="J135" s="70">
        <f t="shared" si="144"/>
        <v>0</v>
      </c>
      <c r="K135" s="71"/>
      <c r="Z135" s="70">
        <f t="shared" si="145"/>
        <v>0</v>
      </c>
      <c r="AB135" s="70">
        <f t="shared" si="146"/>
        <v>0</v>
      </c>
      <c r="AC135" s="70">
        <f t="shared" si="147"/>
        <v>0</v>
      </c>
      <c r="AD135" s="70">
        <f t="shared" si="148"/>
        <v>0</v>
      </c>
      <c r="AE135" s="70">
        <f t="shared" si="149"/>
        <v>0</v>
      </c>
      <c r="AF135" s="70">
        <f t="shared" si="150"/>
        <v>0</v>
      </c>
      <c r="AG135" s="70">
        <f t="shared" si="151"/>
        <v>0</v>
      </c>
      <c r="AH135" s="70">
        <f t="shared" si="152"/>
        <v>0</v>
      </c>
      <c r="AI135" s="55"/>
      <c r="AJ135" s="70">
        <f t="shared" si="153"/>
        <v>0</v>
      </c>
      <c r="AK135" s="70">
        <f t="shared" si="154"/>
        <v>0</v>
      </c>
      <c r="AL135" s="70">
        <f t="shared" si="155"/>
        <v>0</v>
      </c>
      <c r="AN135" s="70">
        <v>21</v>
      </c>
      <c r="AO135" s="70">
        <f t="shared" si="156"/>
        <v>0</v>
      </c>
      <c r="AP135" s="70">
        <f t="shared" si="157"/>
        <v>0</v>
      </c>
      <c r="AQ135" s="72" t="s">
        <v>94</v>
      </c>
      <c r="AV135" s="70">
        <f t="shared" si="158"/>
        <v>0</v>
      </c>
      <c r="AW135" s="70">
        <f t="shared" si="159"/>
        <v>0</v>
      </c>
      <c r="AX135" s="70">
        <f t="shared" si="160"/>
        <v>0</v>
      </c>
      <c r="AY135" s="72" t="s">
        <v>329</v>
      </c>
      <c r="AZ135" s="72" t="s">
        <v>330</v>
      </c>
      <c r="BA135" s="55" t="s">
        <v>101</v>
      </c>
      <c r="BC135" s="70">
        <f t="shared" si="161"/>
        <v>0</v>
      </c>
      <c r="BD135" s="70">
        <f t="shared" si="162"/>
        <v>0</v>
      </c>
      <c r="BE135" s="70">
        <v>0</v>
      </c>
      <c r="BF135" s="70">
        <f>135</f>
        <v>135</v>
      </c>
      <c r="BH135" s="70">
        <f t="shared" si="163"/>
        <v>0</v>
      </c>
      <c r="BI135" s="70">
        <f t="shared" si="164"/>
        <v>0</v>
      </c>
      <c r="BJ135" s="70">
        <f t="shared" si="165"/>
        <v>0</v>
      </c>
      <c r="BK135" s="70"/>
      <c r="BL135" s="70"/>
      <c r="BW135" s="70">
        <v>21</v>
      </c>
    </row>
    <row r="136" spans="1:75" ht="13.5" customHeight="1">
      <c r="A136" s="69" t="s">
        <v>470</v>
      </c>
      <c r="B136" s="10" t="s">
        <v>471</v>
      </c>
      <c r="C136" s="8" t="s">
        <v>472</v>
      </c>
      <c r="D136" s="8"/>
      <c r="E136" s="10" t="s">
        <v>350</v>
      </c>
      <c r="F136" s="70">
        <v>4</v>
      </c>
      <c r="G136" s="70">
        <v>0</v>
      </c>
      <c r="H136" s="70">
        <f t="shared" si="142"/>
        <v>0</v>
      </c>
      <c r="I136" s="70">
        <f t="shared" si="143"/>
        <v>0</v>
      </c>
      <c r="J136" s="70">
        <f t="shared" si="144"/>
        <v>0</v>
      </c>
      <c r="K136" s="71"/>
      <c r="Z136" s="70">
        <f t="shared" si="145"/>
        <v>0</v>
      </c>
      <c r="AB136" s="70">
        <f t="shared" si="146"/>
        <v>0</v>
      </c>
      <c r="AC136" s="70">
        <f t="shared" si="147"/>
        <v>0</v>
      </c>
      <c r="AD136" s="70">
        <f t="shared" si="148"/>
        <v>0</v>
      </c>
      <c r="AE136" s="70">
        <f t="shared" si="149"/>
        <v>0</v>
      </c>
      <c r="AF136" s="70">
        <f t="shared" si="150"/>
        <v>0</v>
      </c>
      <c r="AG136" s="70">
        <f t="shared" si="151"/>
        <v>0</v>
      </c>
      <c r="AH136" s="70">
        <f t="shared" si="152"/>
        <v>0</v>
      </c>
      <c r="AI136" s="55"/>
      <c r="AJ136" s="70">
        <f t="shared" si="153"/>
        <v>0</v>
      </c>
      <c r="AK136" s="70">
        <f t="shared" si="154"/>
        <v>0</v>
      </c>
      <c r="AL136" s="70">
        <f t="shared" si="155"/>
        <v>0</v>
      </c>
      <c r="AN136" s="70">
        <v>21</v>
      </c>
      <c r="AO136" s="70">
        <f t="shared" si="156"/>
        <v>0</v>
      </c>
      <c r="AP136" s="70">
        <f t="shared" si="157"/>
        <v>0</v>
      </c>
      <c r="AQ136" s="72" t="s">
        <v>94</v>
      </c>
      <c r="AV136" s="70">
        <f t="shared" si="158"/>
        <v>0</v>
      </c>
      <c r="AW136" s="70">
        <f t="shared" si="159"/>
        <v>0</v>
      </c>
      <c r="AX136" s="70">
        <f t="shared" si="160"/>
        <v>0</v>
      </c>
      <c r="AY136" s="72" t="s">
        <v>329</v>
      </c>
      <c r="AZ136" s="72" t="s">
        <v>330</v>
      </c>
      <c r="BA136" s="55" t="s">
        <v>101</v>
      </c>
      <c r="BC136" s="70">
        <f t="shared" si="161"/>
        <v>0</v>
      </c>
      <c r="BD136" s="70">
        <f t="shared" si="162"/>
        <v>0</v>
      </c>
      <c r="BE136" s="70">
        <v>0</v>
      </c>
      <c r="BF136" s="70">
        <f>136</f>
        <v>136</v>
      </c>
      <c r="BH136" s="70">
        <f t="shared" si="163"/>
        <v>0</v>
      </c>
      <c r="BI136" s="70">
        <f t="shared" si="164"/>
        <v>0</v>
      </c>
      <c r="BJ136" s="70">
        <f t="shared" si="165"/>
        <v>0</v>
      </c>
      <c r="BK136" s="70"/>
      <c r="BL136" s="70"/>
      <c r="BW136" s="70">
        <v>21</v>
      </c>
    </row>
    <row r="137" spans="1:75" ht="13.5" customHeight="1">
      <c r="A137" s="69" t="s">
        <v>473</v>
      </c>
      <c r="B137" s="10" t="s">
        <v>474</v>
      </c>
      <c r="C137" s="8" t="s">
        <v>475</v>
      </c>
      <c r="D137" s="8"/>
      <c r="E137" s="10" t="s">
        <v>350</v>
      </c>
      <c r="F137" s="70">
        <v>1</v>
      </c>
      <c r="G137" s="70">
        <v>0</v>
      </c>
      <c r="H137" s="70">
        <f t="shared" si="142"/>
        <v>0</v>
      </c>
      <c r="I137" s="70">
        <f t="shared" si="143"/>
        <v>0</v>
      </c>
      <c r="J137" s="70">
        <f t="shared" si="144"/>
        <v>0</v>
      </c>
      <c r="K137" s="71"/>
      <c r="Z137" s="70">
        <f t="shared" si="145"/>
        <v>0</v>
      </c>
      <c r="AB137" s="70">
        <f t="shared" si="146"/>
        <v>0</v>
      </c>
      <c r="AC137" s="70">
        <f t="shared" si="147"/>
        <v>0</v>
      </c>
      <c r="AD137" s="70">
        <f t="shared" si="148"/>
        <v>0</v>
      </c>
      <c r="AE137" s="70">
        <f t="shared" si="149"/>
        <v>0</v>
      </c>
      <c r="AF137" s="70">
        <f t="shared" si="150"/>
        <v>0</v>
      </c>
      <c r="AG137" s="70">
        <f t="shared" si="151"/>
        <v>0</v>
      </c>
      <c r="AH137" s="70">
        <f t="shared" si="152"/>
        <v>0</v>
      </c>
      <c r="AI137" s="55"/>
      <c r="AJ137" s="70">
        <f t="shared" si="153"/>
        <v>0</v>
      </c>
      <c r="AK137" s="70">
        <f t="shared" si="154"/>
        <v>0</v>
      </c>
      <c r="AL137" s="70">
        <f t="shared" si="155"/>
        <v>0</v>
      </c>
      <c r="AN137" s="70">
        <v>21</v>
      </c>
      <c r="AO137" s="70">
        <f t="shared" si="156"/>
        <v>0</v>
      </c>
      <c r="AP137" s="70">
        <f t="shared" si="157"/>
        <v>0</v>
      </c>
      <c r="AQ137" s="72" t="s">
        <v>94</v>
      </c>
      <c r="AV137" s="70">
        <f t="shared" si="158"/>
        <v>0</v>
      </c>
      <c r="AW137" s="70">
        <f t="shared" si="159"/>
        <v>0</v>
      </c>
      <c r="AX137" s="70">
        <f t="shared" si="160"/>
        <v>0</v>
      </c>
      <c r="AY137" s="72" t="s">
        <v>329</v>
      </c>
      <c r="AZ137" s="72" t="s">
        <v>330</v>
      </c>
      <c r="BA137" s="55" t="s">
        <v>101</v>
      </c>
      <c r="BC137" s="70">
        <f t="shared" si="161"/>
        <v>0</v>
      </c>
      <c r="BD137" s="70">
        <f t="shared" si="162"/>
        <v>0</v>
      </c>
      <c r="BE137" s="70">
        <v>0</v>
      </c>
      <c r="BF137" s="70">
        <f>137</f>
        <v>137</v>
      </c>
      <c r="BH137" s="70">
        <f t="shared" si="163"/>
        <v>0</v>
      </c>
      <c r="BI137" s="70">
        <f t="shared" si="164"/>
        <v>0</v>
      </c>
      <c r="BJ137" s="70">
        <f t="shared" si="165"/>
        <v>0</v>
      </c>
      <c r="BK137" s="70"/>
      <c r="BL137" s="70"/>
      <c r="BW137" s="70">
        <v>21</v>
      </c>
    </row>
    <row r="138" spans="1:75" ht="13.5" customHeight="1">
      <c r="A138" s="69" t="s">
        <v>476</v>
      </c>
      <c r="B138" s="10" t="s">
        <v>477</v>
      </c>
      <c r="C138" s="8" t="s">
        <v>478</v>
      </c>
      <c r="D138" s="8"/>
      <c r="E138" s="10" t="s">
        <v>350</v>
      </c>
      <c r="F138" s="70">
        <v>2</v>
      </c>
      <c r="G138" s="70">
        <v>0</v>
      </c>
      <c r="H138" s="70">
        <f t="shared" si="142"/>
        <v>0</v>
      </c>
      <c r="I138" s="70">
        <f t="shared" si="143"/>
        <v>0</v>
      </c>
      <c r="J138" s="70">
        <f t="shared" si="144"/>
        <v>0</v>
      </c>
      <c r="K138" s="71"/>
      <c r="Z138" s="70">
        <f t="shared" si="145"/>
        <v>0</v>
      </c>
      <c r="AB138" s="70">
        <f t="shared" si="146"/>
        <v>0</v>
      </c>
      <c r="AC138" s="70">
        <f t="shared" si="147"/>
        <v>0</v>
      </c>
      <c r="AD138" s="70">
        <f t="shared" si="148"/>
        <v>0</v>
      </c>
      <c r="AE138" s="70">
        <f t="shared" si="149"/>
        <v>0</v>
      </c>
      <c r="AF138" s="70">
        <f t="shared" si="150"/>
        <v>0</v>
      </c>
      <c r="AG138" s="70">
        <f t="shared" si="151"/>
        <v>0</v>
      </c>
      <c r="AH138" s="70">
        <f t="shared" si="152"/>
        <v>0</v>
      </c>
      <c r="AI138" s="55"/>
      <c r="AJ138" s="70">
        <f t="shared" si="153"/>
        <v>0</v>
      </c>
      <c r="AK138" s="70">
        <f t="shared" si="154"/>
        <v>0</v>
      </c>
      <c r="AL138" s="70">
        <f t="shared" si="155"/>
        <v>0</v>
      </c>
      <c r="AN138" s="70">
        <v>21</v>
      </c>
      <c r="AO138" s="70">
        <f t="shared" si="156"/>
        <v>0</v>
      </c>
      <c r="AP138" s="70">
        <f t="shared" si="157"/>
        <v>0</v>
      </c>
      <c r="AQ138" s="72" t="s">
        <v>94</v>
      </c>
      <c r="AV138" s="70">
        <f t="shared" si="158"/>
        <v>0</v>
      </c>
      <c r="AW138" s="70">
        <f t="shared" si="159"/>
        <v>0</v>
      </c>
      <c r="AX138" s="70">
        <f t="shared" si="160"/>
        <v>0</v>
      </c>
      <c r="AY138" s="72" t="s">
        <v>329</v>
      </c>
      <c r="AZ138" s="72" t="s">
        <v>330</v>
      </c>
      <c r="BA138" s="55" t="s">
        <v>101</v>
      </c>
      <c r="BC138" s="70">
        <f t="shared" si="161"/>
        <v>0</v>
      </c>
      <c r="BD138" s="70">
        <f t="shared" si="162"/>
        <v>0</v>
      </c>
      <c r="BE138" s="70">
        <v>0</v>
      </c>
      <c r="BF138" s="70">
        <f>138</f>
        <v>138</v>
      </c>
      <c r="BH138" s="70">
        <f t="shared" si="163"/>
        <v>0</v>
      </c>
      <c r="BI138" s="70">
        <f t="shared" si="164"/>
        <v>0</v>
      </c>
      <c r="BJ138" s="70">
        <f t="shared" si="165"/>
        <v>0</v>
      </c>
      <c r="BK138" s="70"/>
      <c r="BL138" s="70"/>
      <c r="BW138" s="70">
        <v>21</v>
      </c>
    </row>
    <row r="139" spans="1:75" ht="13.5" customHeight="1">
      <c r="A139" s="69" t="s">
        <v>479</v>
      </c>
      <c r="B139" s="10" t="s">
        <v>480</v>
      </c>
      <c r="C139" s="8" t="s">
        <v>481</v>
      </c>
      <c r="D139" s="8"/>
      <c r="E139" s="10" t="s">
        <v>350</v>
      </c>
      <c r="F139" s="70">
        <v>1</v>
      </c>
      <c r="G139" s="70">
        <v>0</v>
      </c>
      <c r="H139" s="70">
        <f t="shared" si="142"/>
        <v>0</v>
      </c>
      <c r="I139" s="70">
        <f t="shared" si="143"/>
        <v>0</v>
      </c>
      <c r="J139" s="70">
        <f t="shared" si="144"/>
        <v>0</v>
      </c>
      <c r="K139" s="71"/>
      <c r="Z139" s="70">
        <f t="shared" si="145"/>
        <v>0</v>
      </c>
      <c r="AB139" s="70">
        <f t="shared" si="146"/>
        <v>0</v>
      </c>
      <c r="AC139" s="70">
        <f t="shared" si="147"/>
        <v>0</v>
      </c>
      <c r="AD139" s="70">
        <f t="shared" si="148"/>
        <v>0</v>
      </c>
      <c r="AE139" s="70">
        <f t="shared" si="149"/>
        <v>0</v>
      </c>
      <c r="AF139" s="70">
        <f t="shared" si="150"/>
        <v>0</v>
      </c>
      <c r="AG139" s="70">
        <f t="shared" si="151"/>
        <v>0</v>
      </c>
      <c r="AH139" s="70">
        <f t="shared" si="152"/>
        <v>0</v>
      </c>
      <c r="AI139" s="55"/>
      <c r="AJ139" s="70">
        <f t="shared" si="153"/>
        <v>0</v>
      </c>
      <c r="AK139" s="70">
        <f t="shared" si="154"/>
        <v>0</v>
      </c>
      <c r="AL139" s="70">
        <f t="shared" si="155"/>
        <v>0</v>
      </c>
      <c r="AN139" s="70">
        <v>21</v>
      </c>
      <c r="AO139" s="70">
        <f t="shared" si="156"/>
        <v>0</v>
      </c>
      <c r="AP139" s="70">
        <f t="shared" si="157"/>
        <v>0</v>
      </c>
      <c r="AQ139" s="72" t="s">
        <v>94</v>
      </c>
      <c r="AV139" s="70">
        <f t="shared" si="158"/>
        <v>0</v>
      </c>
      <c r="AW139" s="70">
        <f t="shared" si="159"/>
        <v>0</v>
      </c>
      <c r="AX139" s="70">
        <f t="shared" si="160"/>
        <v>0</v>
      </c>
      <c r="AY139" s="72" t="s">
        <v>329</v>
      </c>
      <c r="AZ139" s="72" t="s">
        <v>330</v>
      </c>
      <c r="BA139" s="55" t="s">
        <v>101</v>
      </c>
      <c r="BC139" s="70">
        <f t="shared" si="161"/>
        <v>0</v>
      </c>
      <c r="BD139" s="70">
        <f t="shared" si="162"/>
        <v>0</v>
      </c>
      <c r="BE139" s="70">
        <v>0</v>
      </c>
      <c r="BF139" s="70">
        <f>139</f>
        <v>139</v>
      </c>
      <c r="BH139" s="70">
        <f t="shared" si="163"/>
        <v>0</v>
      </c>
      <c r="BI139" s="70">
        <f t="shared" si="164"/>
        <v>0</v>
      </c>
      <c r="BJ139" s="70">
        <f t="shared" si="165"/>
        <v>0</v>
      </c>
      <c r="BK139" s="70"/>
      <c r="BL139" s="70"/>
      <c r="BW139" s="70">
        <v>21</v>
      </c>
    </row>
    <row r="140" spans="1:75" ht="13.5" customHeight="1">
      <c r="A140" s="69" t="s">
        <v>482</v>
      </c>
      <c r="B140" s="10" t="s">
        <v>483</v>
      </c>
      <c r="C140" s="8" t="s">
        <v>484</v>
      </c>
      <c r="D140" s="8"/>
      <c r="E140" s="10" t="s">
        <v>350</v>
      </c>
      <c r="F140" s="70">
        <v>13</v>
      </c>
      <c r="G140" s="70">
        <v>0</v>
      </c>
      <c r="H140" s="70">
        <f t="shared" si="142"/>
        <v>0</v>
      </c>
      <c r="I140" s="70">
        <f t="shared" si="143"/>
        <v>0</v>
      </c>
      <c r="J140" s="70">
        <f t="shared" si="144"/>
        <v>0</v>
      </c>
      <c r="K140" s="71"/>
      <c r="Z140" s="70">
        <f t="shared" si="145"/>
        <v>0</v>
      </c>
      <c r="AB140" s="70">
        <f t="shared" si="146"/>
        <v>0</v>
      </c>
      <c r="AC140" s="70">
        <f t="shared" si="147"/>
        <v>0</v>
      </c>
      <c r="AD140" s="70">
        <f t="shared" si="148"/>
        <v>0</v>
      </c>
      <c r="AE140" s="70">
        <f t="shared" si="149"/>
        <v>0</v>
      </c>
      <c r="AF140" s="70">
        <f t="shared" si="150"/>
        <v>0</v>
      </c>
      <c r="AG140" s="70">
        <f t="shared" si="151"/>
        <v>0</v>
      </c>
      <c r="AH140" s="70">
        <f t="shared" si="152"/>
        <v>0</v>
      </c>
      <c r="AI140" s="55"/>
      <c r="AJ140" s="70">
        <f t="shared" si="153"/>
        <v>0</v>
      </c>
      <c r="AK140" s="70">
        <f t="shared" si="154"/>
        <v>0</v>
      </c>
      <c r="AL140" s="70">
        <f t="shared" si="155"/>
        <v>0</v>
      </c>
      <c r="AN140" s="70">
        <v>21</v>
      </c>
      <c r="AO140" s="70">
        <f t="shared" si="156"/>
        <v>0</v>
      </c>
      <c r="AP140" s="70">
        <f t="shared" si="157"/>
        <v>0</v>
      </c>
      <c r="AQ140" s="72" t="s">
        <v>94</v>
      </c>
      <c r="AV140" s="70">
        <f t="shared" si="158"/>
        <v>0</v>
      </c>
      <c r="AW140" s="70">
        <f t="shared" si="159"/>
        <v>0</v>
      </c>
      <c r="AX140" s="70">
        <f t="shared" si="160"/>
        <v>0</v>
      </c>
      <c r="AY140" s="72" t="s">
        <v>329</v>
      </c>
      <c r="AZ140" s="72" t="s">
        <v>330</v>
      </c>
      <c r="BA140" s="55" t="s">
        <v>101</v>
      </c>
      <c r="BC140" s="70">
        <f t="shared" si="161"/>
        <v>0</v>
      </c>
      <c r="BD140" s="70">
        <f t="shared" si="162"/>
        <v>0</v>
      </c>
      <c r="BE140" s="70">
        <v>0</v>
      </c>
      <c r="BF140" s="70">
        <f>140</f>
        <v>140</v>
      </c>
      <c r="BH140" s="70">
        <f t="shared" si="163"/>
        <v>0</v>
      </c>
      <c r="BI140" s="70">
        <f t="shared" si="164"/>
        <v>0</v>
      </c>
      <c r="BJ140" s="70">
        <f t="shared" si="165"/>
        <v>0</v>
      </c>
      <c r="BK140" s="70"/>
      <c r="BL140" s="70"/>
      <c r="BW140" s="70">
        <v>21</v>
      </c>
    </row>
    <row r="141" spans="1:75" ht="13.5" customHeight="1">
      <c r="A141" s="69" t="s">
        <v>485</v>
      </c>
      <c r="B141" s="10" t="s">
        <v>486</v>
      </c>
      <c r="C141" s="8" t="s">
        <v>487</v>
      </c>
      <c r="D141" s="8"/>
      <c r="E141" s="10" t="s">
        <v>350</v>
      </c>
      <c r="F141" s="70">
        <v>1</v>
      </c>
      <c r="G141" s="70">
        <v>0</v>
      </c>
      <c r="H141" s="70">
        <f t="shared" si="142"/>
        <v>0</v>
      </c>
      <c r="I141" s="70">
        <f t="shared" si="143"/>
        <v>0</v>
      </c>
      <c r="J141" s="70">
        <f t="shared" si="144"/>
        <v>0</v>
      </c>
      <c r="K141" s="71"/>
      <c r="Z141" s="70">
        <f t="shared" si="145"/>
        <v>0</v>
      </c>
      <c r="AB141" s="70">
        <f t="shared" si="146"/>
        <v>0</v>
      </c>
      <c r="AC141" s="70">
        <f t="shared" si="147"/>
        <v>0</v>
      </c>
      <c r="AD141" s="70">
        <f t="shared" si="148"/>
        <v>0</v>
      </c>
      <c r="AE141" s="70">
        <f t="shared" si="149"/>
        <v>0</v>
      </c>
      <c r="AF141" s="70">
        <f t="shared" si="150"/>
        <v>0</v>
      </c>
      <c r="AG141" s="70">
        <f t="shared" si="151"/>
        <v>0</v>
      </c>
      <c r="AH141" s="70">
        <f t="shared" si="152"/>
        <v>0</v>
      </c>
      <c r="AI141" s="55"/>
      <c r="AJ141" s="70">
        <f t="shared" si="153"/>
        <v>0</v>
      </c>
      <c r="AK141" s="70">
        <f t="shared" si="154"/>
        <v>0</v>
      </c>
      <c r="AL141" s="70">
        <f t="shared" si="155"/>
        <v>0</v>
      </c>
      <c r="AN141" s="70">
        <v>21</v>
      </c>
      <c r="AO141" s="70">
        <f t="shared" si="156"/>
        <v>0</v>
      </c>
      <c r="AP141" s="70">
        <f t="shared" si="157"/>
        <v>0</v>
      </c>
      <c r="AQ141" s="72" t="s">
        <v>94</v>
      </c>
      <c r="AV141" s="70">
        <f t="shared" si="158"/>
        <v>0</v>
      </c>
      <c r="AW141" s="70">
        <f t="shared" si="159"/>
        <v>0</v>
      </c>
      <c r="AX141" s="70">
        <f t="shared" si="160"/>
        <v>0</v>
      </c>
      <c r="AY141" s="72" t="s">
        <v>329</v>
      </c>
      <c r="AZ141" s="72" t="s">
        <v>330</v>
      </c>
      <c r="BA141" s="55" t="s">
        <v>101</v>
      </c>
      <c r="BC141" s="70">
        <f t="shared" si="161"/>
        <v>0</v>
      </c>
      <c r="BD141" s="70">
        <f t="shared" si="162"/>
        <v>0</v>
      </c>
      <c r="BE141" s="70">
        <v>0</v>
      </c>
      <c r="BF141" s="70">
        <f>141</f>
        <v>141</v>
      </c>
      <c r="BH141" s="70">
        <f t="shared" si="163"/>
        <v>0</v>
      </c>
      <c r="BI141" s="70">
        <f t="shared" si="164"/>
        <v>0</v>
      </c>
      <c r="BJ141" s="70">
        <f t="shared" si="165"/>
        <v>0</v>
      </c>
      <c r="BK141" s="70"/>
      <c r="BL141" s="70"/>
      <c r="BW141" s="70">
        <v>21</v>
      </c>
    </row>
    <row r="142" spans="1:75" ht="13.5" customHeight="1">
      <c r="A142" s="69" t="s">
        <v>488</v>
      </c>
      <c r="B142" s="10" t="s">
        <v>489</v>
      </c>
      <c r="C142" s="8" t="s">
        <v>490</v>
      </c>
      <c r="D142" s="8"/>
      <c r="E142" s="10" t="s">
        <v>350</v>
      </c>
      <c r="F142" s="70">
        <v>10</v>
      </c>
      <c r="G142" s="70">
        <v>0</v>
      </c>
      <c r="H142" s="70">
        <f t="shared" si="142"/>
        <v>0</v>
      </c>
      <c r="I142" s="70">
        <f t="shared" si="143"/>
        <v>0</v>
      </c>
      <c r="J142" s="70">
        <f t="shared" si="144"/>
        <v>0</v>
      </c>
      <c r="K142" s="71"/>
      <c r="Z142" s="70">
        <f t="shared" si="145"/>
        <v>0</v>
      </c>
      <c r="AB142" s="70">
        <f t="shared" si="146"/>
        <v>0</v>
      </c>
      <c r="AC142" s="70">
        <f t="shared" si="147"/>
        <v>0</v>
      </c>
      <c r="AD142" s="70">
        <f t="shared" si="148"/>
        <v>0</v>
      </c>
      <c r="AE142" s="70">
        <f t="shared" si="149"/>
        <v>0</v>
      </c>
      <c r="AF142" s="70">
        <f t="shared" si="150"/>
        <v>0</v>
      </c>
      <c r="AG142" s="70">
        <f t="shared" si="151"/>
        <v>0</v>
      </c>
      <c r="AH142" s="70">
        <f t="shared" si="152"/>
        <v>0</v>
      </c>
      <c r="AI142" s="55"/>
      <c r="AJ142" s="70">
        <f t="shared" si="153"/>
        <v>0</v>
      </c>
      <c r="AK142" s="70">
        <f t="shared" si="154"/>
        <v>0</v>
      </c>
      <c r="AL142" s="70">
        <f t="shared" si="155"/>
        <v>0</v>
      </c>
      <c r="AN142" s="70">
        <v>21</v>
      </c>
      <c r="AO142" s="70">
        <f t="shared" si="156"/>
        <v>0</v>
      </c>
      <c r="AP142" s="70">
        <f t="shared" si="157"/>
        <v>0</v>
      </c>
      <c r="AQ142" s="72" t="s">
        <v>94</v>
      </c>
      <c r="AV142" s="70">
        <f t="shared" si="158"/>
        <v>0</v>
      </c>
      <c r="AW142" s="70">
        <f t="shared" si="159"/>
        <v>0</v>
      </c>
      <c r="AX142" s="70">
        <f t="shared" si="160"/>
        <v>0</v>
      </c>
      <c r="AY142" s="72" t="s">
        <v>329</v>
      </c>
      <c r="AZ142" s="72" t="s">
        <v>330</v>
      </c>
      <c r="BA142" s="55" t="s">
        <v>101</v>
      </c>
      <c r="BC142" s="70">
        <f t="shared" si="161"/>
        <v>0</v>
      </c>
      <c r="BD142" s="70">
        <f t="shared" si="162"/>
        <v>0</v>
      </c>
      <c r="BE142" s="70">
        <v>0</v>
      </c>
      <c r="BF142" s="70">
        <f>142</f>
        <v>142</v>
      </c>
      <c r="BH142" s="70">
        <f t="shared" si="163"/>
        <v>0</v>
      </c>
      <c r="BI142" s="70">
        <f t="shared" si="164"/>
        <v>0</v>
      </c>
      <c r="BJ142" s="70">
        <f t="shared" si="165"/>
        <v>0</v>
      </c>
      <c r="BK142" s="70"/>
      <c r="BL142" s="70"/>
      <c r="BW142" s="70">
        <v>21</v>
      </c>
    </row>
    <row r="143" spans="1:75" ht="13.5" customHeight="1">
      <c r="A143" s="69" t="s">
        <v>491</v>
      </c>
      <c r="B143" s="10" t="s">
        <v>492</v>
      </c>
      <c r="C143" s="8" t="s">
        <v>493</v>
      </c>
      <c r="D143" s="8"/>
      <c r="E143" s="10" t="s">
        <v>350</v>
      </c>
      <c r="F143" s="70">
        <v>2</v>
      </c>
      <c r="G143" s="70">
        <v>0</v>
      </c>
      <c r="H143" s="70">
        <f t="shared" si="142"/>
        <v>0</v>
      </c>
      <c r="I143" s="70">
        <f t="shared" si="143"/>
        <v>0</v>
      </c>
      <c r="J143" s="70">
        <f t="shared" si="144"/>
        <v>0</v>
      </c>
      <c r="K143" s="71"/>
      <c r="Z143" s="70">
        <f t="shared" si="145"/>
        <v>0</v>
      </c>
      <c r="AB143" s="70">
        <f t="shared" si="146"/>
        <v>0</v>
      </c>
      <c r="AC143" s="70">
        <f t="shared" si="147"/>
        <v>0</v>
      </c>
      <c r="AD143" s="70">
        <f t="shared" si="148"/>
        <v>0</v>
      </c>
      <c r="AE143" s="70">
        <f t="shared" si="149"/>
        <v>0</v>
      </c>
      <c r="AF143" s="70">
        <f t="shared" si="150"/>
        <v>0</v>
      </c>
      <c r="AG143" s="70">
        <f t="shared" si="151"/>
        <v>0</v>
      </c>
      <c r="AH143" s="70">
        <f t="shared" si="152"/>
        <v>0</v>
      </c>
      <c r="AI143" s="55"/>
      <c r="AJ143" s="70">
        <f t="shared" si="153"/>
        <v>0</v>
      </c>
      <c r="AK143" s="70">
        <f t="shared" si="154"/>
        <v>0</v>
      </c>
      <c r="AL143" s="70">
        <f t="shared" si="155"/>
        <v>0</v>
      </c>
      <c r="AN143" s="70">
        <v>21</v>
      </c>
      <c r="AO143" s="70">
        <f t="shared" si="156"/>
        <v>0</v>
      </c>
      <c r="AP143" s="70">
        <f t="shared" si="157"/>
        <v>0</v>
      </c>
      <c r="AQ143" s="72" t="s">
        <v>94</v>
      </c>
      <c r="AV143" s="70">
        <f t="shared" si="158"/>
        <v>0</v>
      </c>
      <c r="AW143" s="70">
        <f t="shared" si="159"/>
        <v>0</v>
      </c>
      <c r="AX143" s="70">
        <f t="shared" si="160"/>
        <v>0</v>
      </c>
      <c r="AY143" s="72" t="s">
        <v>329</v>
      </c>
      <c r="AZ143" s="72" t="s">
        <v>330</v>
      </c>
      <c r="BA143" s="55" t="s">
        <v>101</v>
      </c>
      <c r="BC143" s="70">
        <f t="shared" si="161"/>
        <v>0</v>
      </c>
      <c r="BD143" s="70">
        <f t="shared" si="162"/>
        <v>0</v>
      </c>
      <c r="BE143" s="70">
        <v>0</v>
      </c>
      <c r="BF143" s="70">
        <f>143</f>
        <v>143</v>
      </c>
      <c r="BH143" s="70">
        <f t="shared" si="163"/>
        <v>0</v>
      </c>
      <c r="BI143" s="70">
        <f t="shared" si="164"/>
        <v>0</v>
      </c>
      <c r="BJ143" s="70">
        <f t="shared" si="165"/>
        <v>0</v>
      </c>
      <c r="BK143" s="70"/>
      <c r="BL143" s="70"/>
      <c r="BW143" s="70">
        <v>21</v>
      </c>
    </row>
    <row r="144" spans="1:75" ht="13.5" customHeight="1">
      <c r="A144" s="69" t="s">
        <v>494</v>
      </c>
      <c r="B144" s="10" t="s">
        <v>495</v>
      </c>
      <c r="C144" s="8" t="s">
        <v>496</v>
      </c>
      <c r="D144" s="8"/>
      <c r="E144" s="10" t="s">
        <v>350</v>
      </c>
      <c r="F144" s="70">
        <v>3</v>
      </c>
      <c r="G144" s="70">
        <v>0</v>
      </c>
      <c r="H144" s="70">
        <f t="shared" si="142"/>
        <v>0</v>
      </c>
      <c r="I144" s="70">
        <f t="shared" si="143"/>
        <v>0</v>
      </c>
      <c r="J144" s="70">
        <f t="shared" si="144"/>
        <v>0</v>
      </c>
      <c r="K144" s="71"/>
      <c r="Z144" s="70">
        <f t="shared" si="145"/>
        <v>0</v>
      </c>
      <c r="AB144" s="70">
        <f t="shared" si="146"/>
        <v>0</v>
      </c>
      <c r="AC144" s="70">
        <f t="shared" si="147"/>
        <v>0</v>
      </c>
      <c r="AD144" s="70">
        <f t="shared" si="148"/>
        <v>0</v>
      </c>
      <c r="AE144" s="70">
        <f t="shared" si="149"/>
        <v>0</v>
      </c>
      <c r="AF144" s="70">
        <f t="shared" si="150"/>
        <v>0</v>
      </c>
      <c r="AG144" s="70">
        <f t="shared" si="151"/>
        <v>0</v>
      </c>
      <c r="AH144" s="70">
        <f t="shared" si="152"/>
        <v>0</v>
      </c>
      <c r="AI144" s="55"/>
      <c r="AJ144" s="70">
        <f t="shared" si="153"/>
        <v>0</v>
      </c>
      <c r="AK144" s="70">
        <f t="shared" si="154"/>
        <v>0</v>
      </c>
      <c r="AL144" s="70">
        <f t="shared" si="155"/>
        <v>0</v>
      </c>
      <c r="AN144" s="70">
        <v>21</v>
      </c>
      <c r="AO144" s="70">
        <f t="shared" si="156"/>
        <v>0</v>
      </c>
      <c r="AP144" s="70">
        <f t="shared" si="157"/>
        <v>0</v>
      </c>
      <c r="AQ144" s="72" t="s">
        <v>94</v>
      </c>
      <c r="AV144" s="70">
        <f t="shared" si="158"/>
        <v>0</v>
      </c>
      <c r="AW144" s="70">
        <f t="shared" si="159"/>
        <v>0</v>
      </c>
      <c r="AX144" s="70">
        <f t="shared" si="160"/>
        <v>0</v>
      </c>
      <c r="AY144" s="72" t="s">
        <v>329</v>
      </c>
      <c r="AZ144" s="72" t="s">
        <v>330</v>
      </c>
      <c r="BA144" s="55" t="s">
        <v>101</v>
      </c>
      <c r="BC144" s="70">
        <f t="shared" si="161"/>
        <v>0</v>
      </c>
      <c r="BD144" s="70">
        <f t="shared" si="162"/>
        <v>0</v>
      </c>
      <c r="BE144" s="70">
        <v>0</v>
      </c>
      <c r="BF144" s="70">
        <f>144</f>
        <v>144</v>
      </c>
      <c r="BH144" s="70">
        <f t="shared" si="163"/>
        <v>0</v>
      </c>
      <c r="BI144" s="70">
        <f t="shared" si="164"/>
        <v>0</v>
      </c>
      <c r="BJ144" s="70">
        <f t="shared" si="165"/>
        <v>0</v>
      </c>
      <c r="BK144" s="70"/>
      <c r="BL144" s="70"/>
      <c r="BW144" s="70">
        <v>21</v>
      </c>
    </row>
    <row r="145" spans="1:75" ht="13.5" customHeight="1">
      <c r="A145" s="69" t="s">
        <v>497</v>
      </c>
      <c r="B145" s="10" t="s">
        <v>498</v>
      </c>
      <c r="C145" s="8" t="s">
        <v>499</v>
      </c>
      <c r="D145" s="8"/>
      <c r="E145" s="10" t="s">
        <v>350</v>
      </c>
      <c r="F145" s="70">
        <v>34</v>
      </c>
      <c r="G145" s="70">
        <v>0</v>
      </c>
      <c r="H145" s="70">
        <f t="shared" si="142"/>
        <v>0</v>
      </c>
      <c r="I145" s="70">
        <f t="shared" si="143"/>
        <v>0</v>
      </c>
      <c r="J145" s="70">
        <f t="shared" si="144"/>
        <v>0</v>
      </c>
      <c r="K145" s="71"/>
      <c r="Z145" s="70">
        <f t="shared" si="145"/>
        <v>0</v>
      </c>
      <c r="AB145" s="70">
        <f t="shared" si="146"/>
        <v>0</v>
      </c>
      <c r="AC145" s="70">
        <f t="shared" si="147"/>
        <v>0</v>
      </c>
      <c r="AD145" s="70">
        <f t="shared" si="148"/>
        <v>0</v>
      </c>
      <c r="AE145" s="70">
        <f t="shared" si="149"/>
        <v>0</v>
      </c>
      <c r="AF145" s="70">
        <f t="shared" si="150"/>
        <v>0</v>
      </c>
      <c r="AG145" s="70">
        <f t="shared" si="151"/>
        <v>0</v>
      </c>
      <c r="AH145" s="70">
        <f t="shared" si="152"/>
        <v>0</v>
      </c>
      <c r="AI145" s="55"/>
      <c r="AJ145" s="70">
        <f t="shared" si="153"/>
        <v>0</v>
      </c>
      <c r="AK145" s="70">
        <f t="shared" si="154"/>
        <v>0</v>
      </c>
      <c r="AL145" s="70">
        <f t="shared" si="155"/>
        <v>0</v>
      </c>
      <c r="AN145" s="70">
        <v>21</v>
      </c>
      <c r="AO145" s="70">
        <f t="shared" si="156"/>
        <v>0</v>
      </c>
      <c r="AP145" s="70">
        <f t="shared" si="157"/>
        <v>0</v>
      </c>
      <c r="AQ145" s="72" t="s">
        <v>94</v>
      </c>
      <c r="AV145" s="70">
        <f t="shared" si="158"/>
        <v>0</v>
      </c>
      <c r="AW145" s="70">
        <f t="shared" si="159"/>
        <v>0</v>
      </c>
      <c r="AX145" s="70">
        <f t="shared" si="160"/>
        <v>0</v>
      </c>
      <c r="AY145" s="72" t="s">
        <v>329</v>
      </c>
      <c r="AZ145" s="72" t="s">
        <v>330</v>
      </c>
      <c r="BA145" s="55" t="s">
        <v>101</v>
      </c>
      <c r="BC145" s="70">
        <f t="shared" si="161"/>
        <v>0</v>
      </c>
      <c r="BD145" s="70">
        <f t="shared" si="162"/>
        <v>0</v>
      </c>
      <c r="BE145" s="70">
        <v>0</v>
      </c>
      <c r="BF145" s="70">
        <f>145</f>
        <v>145</v>
      </c>
      <c r="BH145" s="70">
        <f t="shared" si="163"/>
        <v>0</v>
      </c>
      <c r="BI145" s="70">
        <f t="shared" si="164"/>
        <v>0</v>
      </c>
      <c r="BJ145" s="70">
        <f t="shared" si="165"/>
        <v>0</v>
      </c>
      <c r="BK145" s="70"/>
      <c r="BL145" s="70"/>
      <c r="BW145" s="70">
        <v>21</v>
      </c>
    </row>
    <row r="146" spans="1:75" ht="13.5" customHeight="1">
      <c r="A146" s="69" t="s">
        <v>500</v>
      </c>
      <c r="B146" s="10" t="s">
        <v>501</v>
      </c>
      <c r="C146" s="8" t="s">
        <v>502</v>
      </c>
      <c r="D146" s="8"/>
      <c r="E146" s="10" t="s">
        <v>350</v>
      </c>
      <c r="F146" s="70">
        <v>1</v>
      </c>
      <c r="G146" s="70">
        <v>0</v>
      </c>
      <c r="H146" s="70">
        <f t="shared" si="142"/>
        <v>0</v>
      </c>
      <c r="I146" s="70">
        <f t="shared" si="143"/>
        <v>0</v>
      </c>
      <c r="J146" s="70">
        <f t="shared" si="144"/>
        <v>0</v>
      </c>
      <c r="K146" s="71"/>
      <c r="Z146" s="70">
        <f t="shared" si="145"/>
        <v>0</v>
      </c>
      <c r="AB146" s="70">
        <f t="shared" si="146"/>
        <v>0</v>
      </c>
      <c r="AC146" s="70">
        <f t="shared" si="147"/>
        <v>0</v>
      </c>
      <c r="AD146" s="70">
        <f t="shared" si="148"/>
        <v>0</v>
      </c>
      <c r="AE146" s="70">
        <f t="shared" si="149"/>
        <v>0</v>
      </c>
      <c r="AF146" s="70">
        <f t="shared" si="150"/>
        <v>0</v>
      </c>
      <c r="AG146" s="70">
        <f t="shared" si="151"/>
        <v>0</v>
      </c>
      <c r="AH146" s="70">
        <f t="shared" si="152"/>
        <v>0</v>
      </c>
      <c r="AI146" s="55"/>
      <c r="AJ146" s="70">
        <f t="shared" si="153"/>
        <v>0</v>
      </c>
      <c r="AK146" s="70">
        <f t="shared" si="154"/>
        <v>0</v>
      </c>
      <c r="AL146" s="70">
        <f t="shared" si="155"/>
        <v>0</v>
      </c>
      <c r="AN146" s="70">
        <v>21</v>
      </c>
      <c r="AO146" s="70">
        <f t="shared" si="156"/>
        <v>0</v>
      </c>
      <c r="AP146" s="70">
        <f t="shared" si="157"/>
        <v>0</v>
      </c>
      <c r="AQ146" s="72" t="s">
        <v>94</v>
      </c>
      <c r="AV146" s="70">
        <f t="shared" si="158"/>
        <v>0</v>
      </c>
      <c r="AW146" s="70">
        <f t="shared" si="159"/>
        <v>0</v>
      </c>
      <c r="AX146" s="70">
        <f t="shared" si="160"/>
        <v>0</v>
      </c>
      <c r="AY146" s="72" t="s">
        <v>329</v>
      </c>
      <c r="AZ146" s="72" t="s">
        <v>330</v>
      </c>
      <c r="BA146" s="55" t="s">
        <v>101</v>
      </c>
      <c r="BC146" s="70">
        <f t="shared" si="161"/>
        <v>0</v>
      </c>
      <c r="BD146" s="70">
        <f t="shared" si="162"/>
        <v>0</v>
      </c>
      <c r="BE146" s="70">
        <v>0</v>
      </c>
      <c r="BF146" s="70">
        <f>146</f>
        <v>146</v>
      </c>
      <c r="BH146" s="70">
        <f t="shared" si="163"/>
        <v>0</v>
      </c>
      <c r="BI146" s="70">
        <f t="shared" si="164"/>
        <v>0</v>
      </c>
      <c r="BJ146" s="70">
        <f t="shared" si="165"/>
        <v>0</v>
      </c>
      <c r="BK146" s="70"/>
      <c r="BL146" s="70"/>
      <c r="BW146" s="70">
        <v>21</v>
      </c>
    </row>
    <row r="147" spans="1:75" ht="13.5" customHeight="1">
      <c r="A147" s="69" t="s">
        <v>503</v>
      </c>
      <c r="B147" s="10" t="s">
        <v>504</v>
      </c>
      <c r="C147" s="8" t="s">
        <v>505</v>
      </c>
      <c r="D147" s="8"/>
      <c r="E147" s="10" t="s">
        <v>350</v>
      </c>
      <c r="F147" s="70">
        <v>1</v>
      </c>
      <c r="G147" s="70">
        <v>0</v>
      </c>
      <c r="H147" s="70">
        <f t="shared" si="142"/>
        <v>0</v>
      </c>
      <c r="I147" s="70">
        <f t="shared" si="143"/>
        <v>0</v>
      </c>
      <c r="J147" s="70">
        <f t="shared" si="144"/>
        <v>0</v>
      </c>
      <c r="K147" s="71"/>
      <c r="Z147" s="70">
        <f t="shared" si="145"/>
        <v>0</v>
      </c>
      <c r="AB147" s="70">
        <f t="shared" si="146"/>
        <v>0</v>
      </c>
      <c r="AC147" s="70">
        <f t="shared" si="147"/>
        <v>0</v>
      </c>
      <c r="AD147" s="70">
        <f t="shared" si="148"/>
        <v>0</v>
      </c>
      <c r="AE147" s="70">
        <f t="shared" si="149"/>
        <v>0</v>
      </c>
      <c r="AF147" s="70">
        <f t="shared" si="150"/>
        <v>0</v>
      </c>
      <c r="AG147" s="70">
        <f t="shared" si="151"/>
        <v>0</v>
      </c>
      <c r="AH147" s="70">
        <f t="shared" si="152"/>
        <v>0</v>
      </c>
      <c r="AI147" s="55"/>
      <c r="AJ147" s="70">
        <f t="shared" si="153"/>
        <v>0</v>
      </c>
      <c r="AK147" s="70">
        <f t="shared" si="154"/>
        <v>0</v>
      </c>
      <c r="AL147" s="70">
        <f t="shared" si="155"/>
        <v>0</v>
      </c>
      <c r="AN147" s="70">
        <v>21</v>
      </c>
      <c r="AO147" s="70">
        <f t="shared" si="156"/>
        <v>0</v>
      </c>
      <c r="AP147" s="70">
        <f t="shared" si="157"/>
        <v>0</v>
      </c>
      <c r="AQ147" s="72" t="s">
        <v>94</v>
      </c>
      <c r="AV147" s="70">
        <f t="shared" si="158"/>
        <v>0</v>
      </c>
      <c r="AW147" s="70">
        <f t="shared" si="159"/>
        <v>0</v>
      </c>
      <c r="AX147" s="70">
        <f t="shared" si="160"/>
        <v>0</v>
      </c>
      <c r="AY147" s="72" t="s">
        <v>329</v>
      </c>
      <c r="AZ147" s="72" t="s">
        <v>330</v>
      </c>
      <c r="BA147" s="55" t="s">
        <v>101</v>
      </c>
      <c r="BC147" s="70">
        <f t="shared" si="161"/>
        <v>0</v>
      </c>
      <c r="BD147" s="70">
        <f t="shared" si="162"/>
        <v>0</v>
      </c>
      <c r="BE147" s="70">
        <v>0</v>
      </c>
      <c r="BF147" s="70">
        <f>147</f>
        <v>147</v>
      </c>
      <c r="BH147" s="70">
        <f t="shared" si="163"/>
        <v>0</v>
      </c>
      <c r="BI147" s="70">
        <f t="shared" si="164"/>
        <v>0</v>
      </c>
      <c r="BJ147" s="70">
        <f t="shared" si="165"/>
        <v>0</v>
      </c>
      <c r="BK147" s="70"/>
      <c r="BL147" s="70"/>
      <c r="BW147" s="70">
        <v>21</v>
      </c>
    </row>
    <row r="148" spans="1:75" ht="13.5" customHeight="1">
      <c r="A148" s="69" t="s">
        <v>506</v>
      </c>
      <c r="B148" s="10" t="s">
        <v>507</v>
      </c>
      <c r="C148" s="8" t="s">
        <v>508</v>
      </c>
      <c r="D148" s="8"/>
      <c r="E148" s="10" t="s">
        <v>350</v>
      </c>
      <c r="F148" s="70">
        <v>1</v>
      </c>
      <c r="G148" s="70">
        <v>0</v>
      </c>
      <c r="H148" s="70">
        <f t="shared" si="142"/>
        <v>0</v>
      </c>
      <c r="I148" s="70">
        <f t="shared" si="143"/>
        <v>0</v>
      </c>
      <c r="J148" s="70">
        <f t="shared" si="144"/>
        <v>0</v>
      </c>
      <c r="K148" s="71"/>
      <c r="Z148" s="70">
        <f t="shared" si="145"/>
        <v>0</v>
      </c>
      <c r="AB148" s="70">
        <f t="shared" si="146"/>
        <v>0</v>
      </c>
      <c r="AC148" s="70">
        <f t="shared" si="147"/>
        <v>0</v>
      </c>
      <c r="AD148" s="70">
        <f t="shared" si="148"/>
        <v>0</v>
      </c>
      <c r="AE148" s="70">
        <f t="shared" si="149"/>
        <v>0</v>
      </c>
      <c r="AF148" s="70">
        <f t="shared" si="150"/>
        <v>0</v>
      </c>
      <c r="AG148" s="70">
        <f t="shared" si="151"/>
        <v>0</v>
      </c>
      <c r="AH148" s="70">
        <f t="shared" si="152"/>
        <v>0</v>
      </c>
      <c r="AI148" s="55"/>
      <c r="AJ148" s="70">
        <f t="shared" si="153"/>
        <v>0</v>
      </c>
      <c r="AK148" s="70">
        <f t="shared" si="154"/>
        <v>0</v>
      </c>
      <c r="AL148" s="70">
        <f t="shared" si="155"/>
        <v>0</v>
      </c>
      <c r="AN148" s="70">
        <v>21</v>
      </c>
      <c r="AO148" s="70">
        <f t="shared" si="156"/>
        <v>0</v>
      </c>
      <c r="AP148" s="70">
        <f t="shared" si="157"/>
        <v>0</v>
      </c>
      <c r="AQ148" s="72" t="s">
        <v>94</v>
      </c>
      <c r="AV148" s="70">
        <f t="shared" si="158"/>
        <v>0</v>
      </c>
      <c r="AW148" s="70">
        <f t="shared" si="159"/>
        <v>0</v>
      </c>
      <c r="AX148" s="70">
        <f t="shared" si="160"/>
        <v>0</v>
      </c>
      <c r="AY148" s="72" t="s">
        <v>329</v>
      </c>
      <c r="AZ148" s="72" t="s">
        <v>330</v>
      </c>
      <c r="BA148" s="55" t="s">
        <v>101</v>
      </c>
      <c r="BC148" s="70">
        <f t="shared" si="161"/>
        <v>0</v>
      </c>
      <c r="BD148" s="70">
        <f t="shared" si="162"/>
        <v>0</v>
      </c>
      <c r="BE148" s="70">
        <v>0</v>
      </c>
      <c r="BF148" s="70">
        <f>148</f>
        <v>148</v>
      </c>
      <c r="BH148" s="70">
        <f t="shared" si="163"/>
        <v>0</v>
      </c>
      <c r="BI148" s="70">
        <f t="shared" si="164"/>
        <v>0</v>
      </c>
      <c r="BJ148" s="70">
        <f t="shared" si="165"/>
        <v>0</v>
      </c>
      <c r="BK148" s="70"/>
      <c r="BL148" s="70"/>
      <c r="BW148" s="70">
        <v>21</v>
      </c>
    </row>
    <row r="149" spans="1:75" ht="13.5" customHeight="1">
      <c r="A149" s="69" t="s">
        <v>509</v>
      </c>
      <c r="B149" s="10" t="s">
        <v>510</v>
      </c>
      <c r="C149" s="8" t="s">
        <v>511</v>
      </c>
      <c r="D149" s="8"/>
      <c r="E149" s="10" t="s">
        <v>350</v>
      </c>
      <c r="F149" s="70">
        <v>6</v>
      </c>
      <c r="G149" s="70">
        <v>0</v>
      </c>
      <c r="H149" s="70">
        <f t="shared" si="142"/>
        <v>0</v>
      </c>
      <c r="I149" s="70">
        <f t="shared" si="143"/>
        <v>0</v>
      </c>
      <c r="J149" s="70">
        <f t="shared" si="144"/>
        <v>0</v>
      </c>
      <c r="K149" s="71"/>
      <c r="Z149" s="70">
        <f t="shared" si="145"/>
        <v>0</v>
      </c>
      <c r="AB149" s="70">
        <f t="shared" si="146"/>
        <v>0</v>
      </c>
      <c r="AC149" s="70">
        <f t="shared" si="147"/>
        <v>0</v>
      </c>
      <c r="AD149" s="70">
        <f t="shared" si="148"/>
        <v>0</v>
      </c>
      <c r="AE149" s="70">
        <f t="shared" si="149"/>
        <v>0</v>
      </c>
      <c r="AF149" s="70">
        <f t="shared" si="150"/>
        <v>0</v>
      </c>
      <c r="AG149" s="70">
        <f t="shared" si="151"/>
        <v>0</v>
      </c>
      <c r="AH149" s="70">
        <f t="shared" si="152"/>
        <v>0</v>
      </c>
      <c r="AI149" s="55"/>
      <c r="AJ149" s="70">
        <f t="shared" si="153"/>
        <v>0</v>
      </c>
      <c r="AK149" s="70">
        <f t="shared" si="154"/>
        <v>0</v>
      </c>
      <c r="AL149" s="70">
        <f t="shared" si="155"/>
        <v>0</v>
      </c>
      <c r="AN149" s="70">
        <v>21</v>
      </c>
      <c r="AO149" s="70">
        <f t="shared" si="156"/>
        <v>0</v>
      </c>
      <c r="AP149" s="70">
        <f t="shared" si="157"/>
        <v>0</v>
      </c>
      <c r="AQ149" s="72" t="s">
        <v>94</v>
      </c>
      <c r="AV149" s="70">
        <f t="shared" si="158"/>
        <v>0</v>
      </c>
      <c r="AW149" s="70">
        <f t="shared" si="159"/>
        <v>0</v>
      </c>
      <c r="AX149" s="70">
        <f t="shared" si="160"/>
        <v>0</v>
      </c>
      <c r="AY149" s="72" t="s">
        <v>329</v>
      </c>
      <c r="AZ149" s="72" t="s">
        <v>330</v>
      </c>
      <c r="BA149" s="55" t="s">
        <v>101</v>
      </c>
      <c r="BC149" s="70">
        <f t="shared" si="161"/>
        <v>0</v>
      </c>
      <c r="BD149" s="70">
        <f t="shared" si="162"/>
        <v>0</v>
      </c>
      <c r="BE149" s="70">
        <v>0</v>
      </c>
      <c r="BF149" s="70">
        <f>149</f>
        <v>149</v>
      </c>
      <c r="BH149" s="70">
        <f t="shared" si="163"/>
        <v>0</v>
      </c>
      <c r="BI149" s="70">
        <f t="shared" si="164"/>
        <v>0</v>
      </c>
      <c r="BJ149" s="70">
        <f t="shared" si="165"/>
        <v>0</v>
      </c>
      <c r="BK149" s="70"/>
      <c r="BL149" s="70"/>
      <c r="BW149" s="70">
        <v>21</v>
      </c>
    </row>
    <row r="150" spans="1:75" ht="13.5" customHeight="1">
      <c r="A150" s="69" t="s">
        <v>512</v>
      </c>
      <c r="B150" s="10" t="s">
        <v>513</v>
      </c>
      <c r="C150" s="8" t="s">
        <v>514</v>
      </c>
      <c r="D150" s="8"/>
      <c r="E150" s="10" t="s">
        <v>350</v>
      </c>
      <c r="F150" s="70">
        <v>3</v>
      </c>
      <c r="G150" s="70">
        <v>0</v>
      </c>
      <c r="H150" s="70">
        <f t="shared" si="142"/>
        <v>0</v>
      </c>
      <c r="I150" s="70">
        <f t="shared" si="143"/>
        <v>0</v>
      </c>
      <c r="J150" s="70">
        <f t="shared" si="144"/>
        <v>0</v>
      </c>
      <c r="K150" s="71"/>
      <c r="Z150" s="70">
        <f t="shared" si="145"/>
        <v>0</v>
      </c>
      <c r="AB150" s="70">
        <f t="shared" si="146"/>
        <v>0</v>
      </c>
      <c r="AC150" s="70">
        <f t="shared" si="147"/>
        <v>0</v>
      </c>
      <c r="AD150" s="70">
        <f t="shared" si="148"/>
        <v>0</v>
      </c>
      <c r="AE150" s="70">
        <f t="shared" si="149"/>
        <v>0</v>
      </c>
      <c r="AF150" s="70">
        <f t="shared" si="150"/>
        <v>0</v>
      </c>
      <c r="AG150" s="70">
        <f t="shared" si="151"/>
        <v>0</v>
      </c>
      <c r="AH150" s="70">
        <f t="shared" si="152"/>
        <v>0</v>
      </c>
      <c r="AI150" s="55"/>
      <c r="AJ150" s="70">
        <f t="shared" si="153"/>
        <v>0</v>
      </c>
      <c r="AK150" s="70">
        <f t="shared" si="154"/>
        <v>0</v>
      </c>
      <c r="AL150" s="70">
        <f t="shared" si="155"/>
        <v>0</v>
      </c>
      <c r="AN150" s="70">
        <v>21</v>
      </c>
      <c r="AO150" s="70">
        <f t="shared" si="156"/>
        <v>0</v>
      </c>
      <c r="AP150" s="70">
        <f t="shared" si="157"/>
        <v>0</v>
      </c>
      <c r="AQ150" s="72" t="s">
        <v>94</v>
      </c>
      <c r="AV150" s="70">
        <f t="shared" si="158"/>
        <v>0</v>
      </c>
      <c r="AW150" s="70">
        <f t="shared" si="159"/>
        <v>0</v>
      </c>
      <c r="AX150" s="70">
        <f t="shared" si="160"/>
        <v>0</v>
      </c>
      <c r="AY150" s="72" t="s">
        <v>329</v>
      </c>
      <c r="AZ150" s="72" t="s">
        <v>330</v>
      </c>
      <c r="BA150" s="55" t="s">
        <v>101</v>
      </c>
      <c r="BC150" s="70">
        <f t="shared" si="161"/>
        <v>0</v>
      </c>
      <c r="BD150" s="70">
        <f t="shared" si="162"/>
        <v>0</v>
      </c>
      <c r="BE150" s="70">
        <v>0</v>
      </c>
      <c r="BF150" s="70">
        <f>150</f>
        <v>150</v>
      </c>
      <c r="BH150" s="70">
        <f t="shared" si="163"/>
        <v>0</v>
      </c>
      <c r="BI150" s="70">
        <f t="shared" si="164"/>
        <v>0</v>
      </c>
      <c r="BJ150" s="70">
        <f t="shared" si="165"/>
        <v>0</v>
      </c>
      <c r="BK150" s="70"/>
      <c r="BL150" s="70"/>
      <c r="BW150" s="70">
        <v>21</v>
      </c>
    </row>
    <row r="151" spans="1:75" ht="13.5" customHeight="1">
      <c r="A151" s="69" t="s">
        <v>515</v>
      </c>
      <c r="B151" s="10" t="s">
        <v>513</v>
      </c>
      <c r="C151" s="8" t="s">
        <v>516</v>
      </c>
      <c r="D151" s="8"/>
      <c r="E151" s="10" t="s">
        <v>350</v>
      </c>
      <c r="F151" s="70">
        <v>4</v>
      </c>
      <c r="G151" s="70">
        <v>0</v>
      </c>
      <c r="H151" s="70">
        <f t="shared" si="142"/>
        <v>0</v>
      </c>
      <c r="I151" s="70">
        <f t="shared" si="143"/>
        <v>0</v>
      </c>
      <c r="J151" s="70">
        <f t="shared" si="144"/>
        <v>0</v>
      </c>
      <c r="K151" s="71"/>
      <c r="Z151" s="70">
        <f t="shared" si="145"/>
        <v>0</v>
      </c>
      <c r="AB151" s="70">
        <f t="shared" si="146"/>
        <v>0</v>
      </c>
      <c r="AC151" s="70">
        <f t="shared" si="147"/>
        <v>0</v>
      </c>
      <c r="AD151" s="70">
        <f t="shared" si="148"/>
        <v>0</v>
      </c>
      <c r="AE151" s="70">
        <f t="shared" si="149"/>
        <v>0</v>
      </c>
      <c r="AF151" s="70">
        <f t="shared" si="150"/>
        <v>0</v>
      </c>
      <c r="AG151" s="70">
        <f t="shared" si="151"/>
        <v>0</v>
      </c>
      <c r="AH151" s="70">
        <f t="shared" si="152"/>
        <v>0</v>
      </c>
      <c r="AI151" s="55"/>
      <c r="AJ151" s="70">
        <f t="shared" si="153"/>
        <v>0</v>
      </c>
      <c r="AK151" s="70">
        <f t="shared" si="154"/>
        <v>0</v>
      </c>
      <c r="AL151" s="70">
        <f t="shared" si="155"/>
        <v>0</v>
      </c>
      <c r="AN151" s="70">
        <v>21</v>
      </c>
      <c r="AO151" s="70">
        <f t="shared" si="156"/>
        <v>0</v>
      </c>
      <c r="AP151" s="70">
        <f t="shared" si="157"/>
        <v>0</v>
      </c>
      <c r="AQ151" s="72" t="s">
        <v>94</v>
      </c>
      <c r="AV151" s="70">
        <f t="shared" si="158"/>
        <v>0</v>
      </c>
      <c r="AW151" s="70">
        <f t="shared" si="159"/>
        <v>0</v>
      </c>
      <c r="AX151" s="70">
        <f t="shared" si="160"/>
        <v>0</v>
      </c>
      <c r="AY151" s="72" t="s">
        <v>329</v>
      </c>
      <c r="AZ151" s="72" t="s">
        <v>330</v>
      </c>
      <c r="BA151" s="55" t="s">
        <v>101</v>
      </c>
      <c r="BC151" s="70">
        <f t="shared" si="161"/>
        <v>0</v>
      </c>
      <c r="BD151" s="70">
        <f t="shared" si="162"/>
        <v>0</v>
      </c>
      <c r="BE151" s="70">
        <v>0</v>
      </c>
      <c r="BF151" s="70">
        <f>151</f>
        <v>151</v>
      </c>
      <c r="BH151" s="70">
        <f t="shared" si="163"/>
        <v>0</v>
      </c>
      <c r="BI151" s="70">
        <f t="shared" si="164"/>
        <v>0</v>
      </c>
      <c r="BJ151" s="70">
        <f t="shared" si="165"/>
        <v>0</v>
      </c>
      <c r="BK151" s="70"/>
      <c r="BL151" s="70"/>
      <c r="BW151" s="70">
        <v>21</v>
      </c>
    </row>
    <row r="152" spans="1:75" ht="27" customHeight="1">
      <c r="A152" s="69" t="s">
        <v>517</v>
      </c>
      <c r="B152" s="10" t="s">
        <v>513</v>
      </c>
      <c r="C152" s="8" t="s">
        <v>518</v>
      </c>
      <c r="D152" s="8"/>
      <c r="E152" s="10" t="s">
        <v>350</v>
      </c>
      <c r="F152" s="70">
        <v>15</v>
      </c>
      <c r="G152" s="70">
        <v>0</v>
      </c>
      <c r="H152" s="70">
        <f t="shared" si="142"/>
        <v>0</v>
      </c>
      <c r="I152" s="70">
        <f t="shared" si="143"/>
        <v>0</v>
      </c>
      <c r="J152" s="70">
        <f t="shared" si="144"/>
        <v>0</v>
      </c>
      <c r="K152" s="71"/>
      <c r="Z152" s="70">
        <f t="shared" si="145"/>
        <v>0</v>
      </c>
      <c r="AB152" s="70">
        <f t="shared" si="146"/>
        <v>0</v>
      </c>
      <c r="AC152" s="70">
        <f t="shared" si="147"/>
        <v>0</v>
      </c>
      <c r="AD152" s="70">
        <f t="shared" si="148"/>
        <v>0</v>
      </c>
      <c r="AE152" s="70">
        <f t="shared" si="149"/>
        <v>0</v>
      </c>
      <c r="AF152" s="70">
        <f t="shared" si="150"/>
        <v>0</v>
      </c>
      <c r="AG152" s="70">
        <f t="shared" si="151"/>
        <v>0</v>
      </c>
      <c r="AH152" s="70">
        <f t="shared" si="152"/>
        <v>0</v>
      </c>
      <c r="AI152" s="55"/>
      <c r="AJ152" s="70">
        <f t="shared" si="153"/>
        <v>0</v>
      </c>
      <c r="AK152" s="70">
        <f t="shared" si="154"/>
        <v>0</v>
      </c>
      <c r="AL152" s="70">
        <f t="shared" si="155"/>
        <v>0</v>
      </c>
      <c r="AN152" s="70">
        <v>21</v>
      </c>
      <c r="AO152" s="70">
        <f t="shared" si="156"/>
        <v>0</v>
      </c>
      <c r="AP152" s="70">
        <f t="shared" si="157"/>
        <v>0</v>
      </c>
      <c r="AQ152" s="72" t="s">
        <v>94</v>
      </c>
      <c r="AV152" s="70">
        <f t="shared" si="158"/>
        <v>0</v>
      </c>
      <c r="AW152" s="70">
        <f t="shared" si="159"/>
        <v>0</v>
      </c>
      <c r="AX152" s="70">
        <f t="shared" si="160"/>
        <v>0</v>
      </c>
      <c r="AY152" s="72" t="s">
        <v>329</v>
      </c>
      <c r="AZ152" s="72" t="s">
        <v>330</v>
      </c>
      <c r="BA152" s="55" t="s">
        <v>101</v>
      </c>
      <c r="BC152" s="70">
        <f t="shared" si="161"/>
        <v>0</v>
      </c>
      <c r="BD152" s="70">
        <f t="shared" si="162"/>
        <v>0</v>
      </c>
      <c r="BE152" s="70">
        <v>0</v>
      </c>
      <c r="BF152" s="70">
        <f>152</f>
        <v>152</v>
      </c>
      <c r="BH152" s="70">
        <f t="shared" si="163"/>
        <v>0</v>
      </c>
      <c r="BI152" s="70">
        <f t="shared" si="164"/>
        <v>0</v>
      </c>
      <c r="BJ152" s="70">
        <f t="shared" si="165"/>
        <v>0</v>
      </c>
      <c r="BK152" s="70"/>
      <c r="BL152" s="70"/>
      <c r="BW152" s="70">
        <v>21</v>
      </c>
    </row>
    <row r="153" spans="1:75" ht="27" customHeight="1">
      <c r="A153" s="69" t="s">
        <v>519</v>
      </c>
      <c r="B153" s="10" t="s">
        <v>513</v>
      </c>
      <c r="C153" s="8" t="s">
        <v>520</v>
      </c>
      <c r="D153" s="8"/>
      <c r="E153" s="10" t="s">
        <v>350</v>
      </c>
      <c r="F153" s="70">
        <v>2</v>
      </c>
      <c r="G153" s="70">
        <v>0</v>
      </c>
      <c r="H153" s="70">
        <f t="shared" si="142"/>
        <v>0</v>
      </c>
      <c r="I153" s="70">
        <f t="shared" si="143"/>
        <v>0</v>
      </c>
      <c r="J153" s="70">
        <f t="shared" si="144"/>
        <v>0</v>
      </c>
      <c r="K153" s="71"/>
      <c r="Z153" s="70">
        <f t="shared" si="145"/>
        <v>0</v>
      </c>
      <c r="AB153" s="70">
        <f t="shared" si="146"/>
        <v>0</v>
      </c>
      <c r="AC153" s="70">
        <f t="shared" si="147"/>
        <v>0</v>
      </c>
      <c r="AD153" s="70">
        <f t="shared" si="148"/>
        <v>0</v>
      </c>
      <c r="AE153" s="70">
        <f t="shared" si="149"/>
        <v>0</v>
      </c>
      <c r="AF153" s="70">
        <f t="shared" si="150"/>
        <v>0</v>
      </c>
      <c r="AG153" s="70">
        <f t="shared" si="151"/>
        <v>0</v>
      </c>
      <c r="AH153" s="70">
        <f t="shared" si="152"/>
        <v>0</v>
      </c>
      <c r="AI153" s="55"/>
      <c r="AJ153" s="70">
        <f t="shared" si="153"/>
        <v>0</v>
      </c>
      <c r="AK153" s="70">
        <f t="shared" si="154"/>
        <v>0</v>
      </c>
      <c r="AL153" s="70">
        <f t="shared" si="155"/>
        <v>0</v>
      </c>
      <c r="AN153" s="70">
        <v>21</v>
      </c>
      <c r="AO153" s="70">
        <f t="shared" si="156"/>
        <v>0</v>
      </c>
      <c r="AP153" s="70">
        <f t="shared" si="157"/>
        <v>0</v>
      </c>
      <c r="AQ153" s="72" t="s">
        <v>94</v>
      </c>
      <c r="AV153" s="70">
        <f t="shared" si="158"/>
        <v>0</v>
      </c>
      <c r="AW153" s="70">
        <f t="shared" si="159"/>
        <v>0</v>
      </c>
      <c r="AX153" s="70">
        <f t="shared" si="160"/>
        <v>0</v>
      </c>
      <c r="AY153" s="72" t="s">
        <v>329</v>
      </c>
      <c r="AZ153" s="72" t="s">
        <v>330</v>
      </c>
      <c r="BA153" s="55" t="s">
        <v>101</v>
      </c>
      <c r="BC153" s="70">
        <f t="shared" si="161"/>
        <v>0</v>
      </c>
      <c r="BD153" s="70">
        <f t="shared" si="162"/>
        <v>0</v>
      </c>
      <c r="BE153" s="70">
        <v>0</v>
      </c>
      <c r="BF153" s="70">
        <f>153</f>
        <v>153</v>
      </c>
      <c r="BH153" s="70">
        <f t="shared" si="163"/>
        <v>0</v>
      </c>
      <c r="BI153" s="70">
        <f t="shared" si="164"/>
        <v>0</v>
      </c>
      <c r="BJ153" s="70">
        <f t="shared" si="165"/>
        <v>0</v>
      </c>
      <c r="BK153" s="70"/>
      <c r="BL153" s="70"/>
      <c r="BW153" s="70">
        <v>21</v>
      </c>
    </row>
    <row r="154" spans="1:75" ht="27" customHeight="1">
      <c r="A154" s="69" t="s">
        <v>521</v>
      </c>
      <c r="B154" s="10" t="s">
        <v>513</v>
      </c>
      <c r="C154" s="8" t="s">
        <v>522</v>
      </c>
      <c r="D154" s="8"/>
      <c r="E154" s="10" t="s">
        <v>350</v>
      </c>
      <c r="F154" s="70">
        <v>4</v>
      </c>
      <c r="G154" s="70">
        <v>0</v>
      </c>
      <c r="H154" s="70">
        <f t="shared" si="142"/>
        <v>0</v>
      </c>
      <c r="I154" s="70">
        <f t="shared" si="143"/>
        <v>0</v>
      </c>
      <c r="J154" s="70">
        <f t="shared" si="144"/>
        <v>0</v>
      </c>
      <c r="K154" s="71"/>
      <c r="Z154" s="70">
        <f t="shared" si="145"/>
        <v>0</v>
      </c>
      <c r="AB154" s="70">
        <f t="shared" si="146"/>
        <v>0</v>
      </c>
      <c r="AC154" s="70">
        <f t="shared" si="147"/>
        <v>0</v>
      </c>
      <c r="AD154" s="70">
        <f t="shared" si="148"/>
        <v>0</v>
      </c>
      <c r="AE154" s="70">
        <f t="shared" si="149"/>
        <v>0</v>
      </c>
      <c r="AF154" s="70">
        <f t="shared" si="150"/>
        <v>0</v>
      </c>
      <c r="AG154" s="70">
        <f t="shared" si="151"/>
        <v>0</v>
      </c>
      <c r="AH154" s="70">
        <f t="shared" si="152"/>
        <v>0</v>
      </c>
      <c r="AI154" s="55"/>
      <c r="AJ154" s="70">
        <f t="shared" si="153"/>
        <v>0</v>
      </c>
      <c r="AK154" s="70">
        <f t="shared" si="154"/>
        <v>0</v>
      </c>
      <c r="AL154" s="70">
        <f t="shared" si="155"/>
        <v>0</v>
      </c>
      <c r="AN154" s="70">
        <v>21</v>
      </c>
      <c r="AO154" s="70">
        <f t="shared" si="156"/>
        <v>0</v>
      </c>
      <c r="AP154" s="70">
        <f t="shared" si="157"/>
        <v>0</v>
      </c>
      <c r="AQ154" s="72" t="s">
        <v>94</v>
      </c>
      <c r="AV154" s="70">
        <f t="shared" si="158"/>
        <v>0</v>
      </c>
      <c r="AW154" s="70">
        <f t="shared" si="159"/>
        <v>0</v>
      </c>
      <c r="AX154" s="70">
        <f t="shared" si="160"/>
        <v>0</v>
      </c>
      <c r="AY154" s="72" t="s">
        <v>329</v>
      </c>
      <c r="AZ154" s="72" t="s">
        <v>330</v>
      </c>
      <c r="BA154" s="55" t="s">
        <v>101</v>
      </c>
      <c r="BC154" s="70">
        <f t="shared" si="161"/>
        <v>0</v>
      </c>
      <c r="BD154" s="70">
        <f t="shared" si="162"/>
        <v>0</v>
      </c>
      <c r="BE154" s="70">
        <v>0</v>
      </c>
      <c r="BF154" s="70">
        <f>154</f>
        <v>154</v>
      </c>
      <c r="BH154" s="70">
        <f t="shared" si="163"/>
        <v>0</v>
      </c>
      <c r="BI154" s="70">
        <f t="shared" si="164"/>
        <v>0</v>
      </c>
      <c r="BJ154" s="70">
        <f t="shared" si="165"/>
        <v>0</v>
      </c>
      <c r="BK154" s="70"/>
      <c r="BL154" s="70"/>
      <c r="BW154" s="70">
        <v>21</v>
      </c>
    </row>
    <row r="155" spans="1:75" ht="13.5" customHeight="1">
      <c r="A155" s="69" t="s">
        <v>523</v>
      </c>
      <c r="B155" s="10" t="s">
        <v>513</v>
      </c>
      <c r="C155" s="8" t="s">
        <v>524</v>
      </c>
      <c r="D155" s="8"/>
      <c r="E155" s="10" t="s">
        <v>350</v>
      </c>
      <c r="F155" s="70">
        <v>7</v>
      </c>
      <c r="G155" s="70">
        <v>0</v>
      </c>
      <c r="H155" s="70">
        <f t="shared" si="142"/>
        <v>0</v>
      </c>
      <c r="I155" s="70">
        <f t="shared" si="143"/>
        <v>0</v>
      </c>
      <c r="J155" s="70">
        <f t="shared" si="144"/>
        <v>0</v>
      </c>
      <c r="K155" s="71"/>
      <c r="Z155" s="70">
        <f t="shared" si="145"/>
        <v>0</v>
      </c>
      <c r="AB155" s="70">
        <f t="shared" si="146"/>
        <v>0</v>
      </c>
      <c r="AC155" s="70">
        <f t="shared" si="147"/>
        <v>0</v>
      </c>
      <c r="AD155" s="70">
        <f t="shared" si="148"/>
        <v>0</v>
      </c>
      <c r="AE155" s="70">
        <f t="shared" si="149"/>
        <v>0</v>
      </c>
      <c r="AF155" s="70">
        <f t="shared" si="150"/>
        <v>0</v>
      </c>
      <c r="AG155" s="70">
        <f t="shared" si="151"/>
        <v>0</v>
      </c>
      <c r="AH155" s="70">
        <f t="shared" si="152"/>
        <v>0</v>
      </c>
      <c r="AI155" s="55"/>
      <c r="AJ155" s="70">
        <f t="shared" si="153"/>
        <v>0</v>
      </c>
      <c r="AK155" s="70">
        <f t="shared" si="154"/>
        <v>0</v>
      </c>
      <c r="AL155" s="70">
        <f t="shared" si="155"/>
        <v>0</v>
      </c>
      <c r="AN155" s="70">
        <v>21</v>
      </c>
      <c r="AO155" s="70">
        <f t="shared" si="156"/>
        <v>0</v>
      </c>
      <c r="AP155" s="70">
        <f t="shared" si="157"/>
        <v>0</v>
      </c>
      <c r="AQ155" s="72" t="s">
        <v>94</v>
      </c>
      <c r="AV155" s="70">
        <f t="shared" si="158"/>
        <v>0</v>
      </c>
      <c r="AW155" s="70">
        <f t="shared" si="159"/>
        <v>0</v>
      </c>
      <c r="AX155" s="70">
        <f t="shared" si="160"/>
        <v>0</v>
      </c>
      <c r="AY155" s="72" t="s">
        <v>329</v>
      </c>
      <c r="AZ155" s="72" t="s">
        <v>330</v>
      </c>
      <c r="BA155" s="55" t="s">
        <v>101</v>
      </c>
      <c r="BC155" s="70">
        <f t="shared" si="161"/>
        <v>0</v>
      </c>
      <c r="BD155" s="70">
        <f t="shared" si="162"/>
        <v>0</v>
      </c>
      <c r="BE155" s="70">
        <v>0</v>
      </c>
      <c r="BF155" s="70">
        <f>155</f>
        <v>155</v>
      </c>
      <c r="BH155" s="70">
        <f t="shared" si="163"/>
        <v>0</v>
      </c>
      <c r="BI155" s="70">
        <f t="shared" si="164"/>
        <v>0</v>
      </c>
      <c r="BJ155" s="70">
        <f t="shared" si="165"/>
        <v>0</v>
      </c>
      <c r="BK155" s="70"/>
      <c r="BL155" s="70"/>
      <c r="BW155" s="70">
        <v>21</v>
      </c>
    </row>
    <row r="156" spans="1:75" ht="13.5" customHeight="1">
      <c r="A156" s="69" t="s">
        <v>525</v>
      </c>
      <c r="B156" s="10" t="s">
        <v>513</v>
      </c>
      <c r="C156" s="8" t="s">
        <v>526</v>
      </c>
      <c r="D156" s="8"/>
      <c r="E156" s="10" t="s">
        <v>350</v>
      </c>
      <c r="F156" s="70">
        <v>3</v>
      </c>
      <c r="G156" s="70">
        <v>0</v>
      </c>
      <c r="H156" s="70">
        <f t="shared" si="142"/>
        <v>0</v>
      </c>
      <c r="I156" s="70">
        <f t="shared" si="143"/>
        <v>0</v>
      </c>
      <c r="J156" s="70">
        <f t="shared" si="144"/>
        <v>0</v>
      </c>
      <c r="K156" s="71"/>
      <c r="Z156" s="70">
        <f t="shared" si="145"/>
        <v>0</v>
      </c>
      <c r="AB156" s="70">
        <f t="shared" si="146"/>
        <v>0</v>
      </c>
      <c r="AC156" s="70">
        <f t="shared" si="147"/>
        <v>0</v>
      </c>
      <c r="AD156" s="70">
        <f t="shared" si="148"/>
        <v>0</v>
      </c>
      <c r="AE156" s="70">
        <f t="shared" si="149"/>
        <v>0</v>
      </c>
      <c r="AF156" s="70">
        <f t="shared" si="150"/>
        <v>0</v>
      </c>
      <c r="AG156" s="70">
        <f t="shared" si="151"/>
        <v>0</v>
      </c>
      <c r="AH156" s="70">
        <f t="shared" si="152"/>
        <v>0</v>
      </c>
      <c r="AI156" s="55"/>
      <c r="AJ156" s="70">
        <f t="shared" si="153"/>
        <v>0</v>
      </c>
      <c r="AK156" s="70">
        <f t="shared" si="154"/>
        <v>0</v>
      </c>
      <c r="AL156" s="70">
        <f t="shared" si="155"/>
        <v>0</v>
      </c>
      <c r="AN156" s="70">
        <v>21</v>
      </c>
      <c r="AO156" s="70">
        <f t="shared" si="156"/>
        <v>0</v>
      </c>
      <c r="AP156" s="70">
        <f t="shared" si="157"/>
        <v>0</v>
      </c>
      <c r="AQ156" s="72" t="s">
        <v>94</v>
      </c>
      <c r="AV156" s="70">
        <f t="shared" si="158"/>
        <v>0</v>
      </c>
      <c r="AW156" s="70">
        <f t="shared" si="159"/>
        <v>0</v>
      </c>
      <c r="AX156" s="70">
        <f t="shared" si="160"/>
        <v>0</v>
      </c>
      <c r="AY156" s="72" t="s">
        <v>329</v>
      </c>
      <c r="AZ156" s="72" t="s">
        <v>330</v>
      </c>
      <c r="BA156" s="55" t="s">
        <v>101</v>
      </c>
      <c r="BC156" s="70">
        <f t="shared" si="161"/>
        <v>0</v>
      </c>
      <c r="BD156" s="70">
        <f t="shared" si="162"/>
        <v>0</v>
      </c>
      <c r="BE156" s="70">
        <v>0</v>
      </c>
      <c r="BF156" s="70">
        <f>156</f>
        <v>156</v>
      </c>
      <c r="BH156" s="70">
        <f t="shared" si="163"/>
        <v>0</v>
      </c>
      <c r="BI156" s="70">
        <f t="shared" si="164"/>
        <v>0</v>
      </c>
      <c r="BJ156" s="70">
        <f t="shared" si="165"/>
        <v>0</v>
      </c>
      <c r="BK156" s="70"/>
      <c r="BL156" s="70"/>
      <c r="BW156" s="70">
        <v>21</v>
      </c>
    </row>
    <row r="157" spans="1:75" ht="27" customHeight="1">
      <c r="A157" s="69" t="s">
        <v>527</v>
      </c>
      <c r="B157" s="10" t="s">
        <v>513</v>
      </c>
      <c r="C157" s="8" t="s">
        <v>528</v>
      </c>
      <c r="D157" s="8"/>
      <c r="E157" s="10" t="s">
        <v>350</v>
      </c>
      <c r="F157" s="70">
        <v>7</v>
      </c>
      <c r="G157" s="70">
        <v>0</v>
      </c>
      <c r="H157" s="70">
        <f t="shared" si="142"/>
        <v>0</v>
      </c>
      <c r="I157" s="70">
        <f t="shared" si="143"/>
        <v>0</v>
      </c>
      <c r="J157" s="70">
        <f t="shared" si="144"/>
        <v>0</v>
      </c>
      <c r="K157" s="71"/>
      <c r="Z157" s="70">
        <f t="shared" si="145"/>
        <v>0</v>
      </c>
      <c r="AB157" s="70">
        <f t="shared" si="146"/>
        <v>0</v>
      </c>
      <c r="AC157" s="70">
        <f t="shared" si="147"/>
        <v>0</v>
      </c>
      <c r="AD157" s="70">
        <f t="shared" si="148"/>
        <v>0</v>
      </c>
      <c r="AE157" s="70">
        <f t="shared" si="149"/>
        <v>0</v>
      </c>
      <c r="AF157" s="70">
        <f t="shared" si="150"/>
        <v>0</v>
      </c>
      <c r="AG157" s="70">
        <f t="shared" si="151"/>
        <v>0</v>
      </c>
      <c r="AH157" s="70">
        <f t="shared" si="152"/>
        <v>0</v>
      </c>
      <c r="AI157" s="55"/>
      <c r="AJ157" s="70">
        <f t="shared" si="153"/>
        <v>0</v>
      </c>
      <c r="AK157" s="70">
        <f t="shared" si="154"/>
        <v>0</v>
      </c>
      <c r="AL157" s="70">
        <f t="shared" si="155"/>
        <v>0</v>
      </c>
      <c r="AN157" s="70">
        <v>21</v>
      </c>
      <c r="AO157" s="70">
        <f t="shared" si="156"/>
        <v>0</v>
      </c>
      <c r="AP157" s="70">
        <f t="shared" si="157"/>
        <v>0</v>
      </c>
      <c r="AQ157" s="72" t="s">
        <v>94</v>
      </c>
      <c r="AV157" s="70">
        <f t="shared" si="158"/>
        <v>0</v>
      </c>
      <c r="AW157" s="70">
        <f t="shared" si="159"/>
        <v>0</v>
      </c>
      <c r="AX157" s="70">
        <f t="shared" si="160"/>
        <v>0</v>
      </c>
      <c r="AY157" s="72" t="s">
        <v>329</v>
      </c>
      <c r="AZ157" s="72" t="s">
        <v>330</v>
      </c>
      <c r="BA157" s="55" t="s">
        <v>101</v>
      </c>
      <c r="BC157" s="70">
        <f t="shared" si="161"/>
        <v>0</v>
      </c>
      <c r="BD157" s="70">
        <f t="shared" si="162"/>
        <v>0</v>
      </c>
      <c r="BE157" s="70">
        <v>0</v>
      </c>
      <c r="BF157" s="70">
        <f>157</f>
        <v>157</v>
      </c>
      <c r="BH157" s="70">
        <f t="shared" si="163"/>
        <v>0</v>
      </c>
      <c r="BI157" s="70">
        <f t="shared" si="164"/>
        <v>0</v>
      </c>
      <c r="BJ157" s="70">
        <f t="shared" si="165"/>
        <v>0</v>
      </c>
      <c r="BK157" s="70"/>
      <c r="BL157" s="70"/>
      <c r="BW157" s="70">
        <v>21</v>
      </c>
    </row>
    <row r="158" spans="1:75" ht="27" customHeight="1">
      <c r="A158" s="69" t="s">
        <v>529</v>
      </c>
      <c r="B158" s="10" t="s">
        <v>513</v>
      </c>
      <c r="C158" s="8" t="s">
        <v>530</v>
      </c>
      <c r="D158" s="8"/>
      <c r="E158" s="10" t="s">
        <v>350</v>
      </c>
      <c r="F158" s="70">
        <v>8</v>
      </c>
      <c r="G158" s="70">
        <v>0</v>
      </c>
      <c r="H158" s="70">
        <f t="shared" si="142"/>
        <v>0</v>
      </c>
      <c r="I158" s="70">
        <f t="shared" si="143"/>
        <v>0</v>
      </c>
      <c r="J158" s="70">
        <f t="shared" si="144"/>
        <v>0</v>
      </c>
      <c r="K158" s="71"/>
      <c r="Z158" s="70">
        <f t="shared" si="145"/>
        <v>0</v>
      </c>
      <c r="AB158" s="70">
        <f t="shared" si="146"/>
        <v>0</v>
      </c>
      <c r="AC158" s="70">
        <f t="shared" si="147"/>
        <v>0</v>
      </c>
      <c r="AD158" s="70">
        <f t="shared" si="148"/>
        <v>0</v>
      </c>
      <c r="AE158" s="70">
        <f t="shared" si="149"/>
        <v>0</v>
      </c>
      <c r="AF158" s="70">
        <f t="shared" si="150"/>
        <v>0</v>
      </c>
      <c r="AG158" s="70">
        <f t="shared" si="151"/>
        <v>0</v>
      </c>
      <c r="AH158" s="70">
        <f t="shared" si="152"/>
        <v>0</v>
      </c>
      <c r="AI158" s="55"/>
      <c r="AJ158" s="70">
        <f t="shared" si="153"/>
        <v>0</v>
      </c>
      <c r="AK158" s="70">
        <f t="shared" si="154"/>
        <v>0</v>
      </c>
      <c r="AL158" s="70">
        <f t="shared" si="155"/>
        <v>0</v>
      </c>
      <c r="AN158" s="70">
        <v>21</v>
      </c>
      <c r="AO158" s="70">
        <f t="shared" si="156"/>
        <v>0</v>
      </c>
      <c r="AP158" s="70">
        <f t="shared" si="157"/>
        <v>0</v>
      </c>
      <c r="AQ158" s="72" t="s">
        <v>94</v>
      </c>
      <c r="AV158" s="70">
        <f t="shared" si="158"/>
        <v>0</v>
      </c>
      <c r="AW158" s="70">
        <f t="shared" si="159"/>
        <v>0</v>
      </c>
      <c r="AX158" s="70">
        <f t="shared" si="160"/>
        <v>0</v>
      </c>
      <c r="AY158" s="72" t="s">
        <v>329</v>
      </c>
      <c r="AZ158" s="72" t="s">
        <v>330</v>
      </c>
      <c r="BA158" s="55" t="s">
        <v>101</v>
      </c>
      <c r="BC158" s="70">
        <f t="shared" si="161"/>
        <v>0</v>
      </c>
      <c r="BD158" s="70">
        <f t="shared" si="162"/>
        <v>0</v>
      </c>
      <c r="BE158" s="70">
        <v>0</v>
      </c>
      <c r="BF158" s="70">
        <f>158</f>
        <v>158</v>
      </c>
      <c r="BH158" s="70">
        <f t="shared" si="163"/>
        <v>0</v>
      </c>
      <c r="BI158" s="70">
        <f t="shared" si="164"/>
        <v>0</v>
      </c>
      <c r="BJ158" s="70">
        <f t="shared" si="165"/>
        <v>0</v>
      </c>
      <c r="BK158" s="70"/>
      <c r="BL158" s="70"/>
      <c r="BW158" s="70">
        <v>21</v>
      </c>
    </row>
    <row r="159" spans="1:75" ht="27" customHeight="1">
      <c r="A159" s="69" t="s">
        <v>531</v>
      </c>
      <c r="B159" s="10" t="s">
        <v>513</v>
      </c>
      <c r="C159" s="8" t="s">
        <v>532</v>
      </c>
      <c r="D159" s="8"/>
      <c r="E159" s="10" t="s">
        <v>350</v>
      </c>
      <c r="F159" s="70">
        <v>2</v>
      </c>
      <c r="G159" s="70">
        <v>0</v>
      </c>
      <c r="H159" s="70">
        <f t="shared" si="142"/>
        <v>0</v>
      </c>
      <c r="I159" s="70">
        <f t="shared" si="143"/>
        <v>0</v>
      </c>
      <c r="J159" s="70">
        <f t="shared" si="144"/>
        <v>0</v>
      </c>
      <c r="K159" s="71"/>
      <c r="Z159" s="70">
        <f t="shared" si="145"/>
        <v>0</v>
      </c>
      <c r="AB159" s="70">
        <f t="shared" si="146"/>
        <v>0</v>
      </c>
      <c r="AC159" s="70">
        <f t="shared" si="147"/>
        <v>0</v>
      </c>
      <c r="AD159" s="70">
        <f t="shared" si="148"/>
        <v>0</v>
      </c>
      <c r="AE159" s="70">
        <f t="shared" si="149"/>
        <v>0</v>
      </c>
      <c r="AF159" s="70">
        <f t="shared" si="150"/>
        <v>0</v>
      </c>
      <c r="AG159" s="70">
        <f t="shared" si="151"/>
        <v>0</v>
      </c>
      <c r="AH159" s="70">
        <f t="shared" si="152"/>
        <v>0</v>
      </c>
      <c r="AI159" s="55"/>
      <c r="AJ159" s="70">
        <f t="shared" si="153"/>
        <v>0</v>
      </c>
      <c r="AK159" s="70">
        <f t="shared" si="154"/>
        <v>0</v>
      </c>
      <c r="AL159" s="70">
        <f t="shared" si="155"/>
        <v>0</v>
      </c>
      <c r="AN159" s="70">
        <v>21</v>
      </c>
      <c r="AO159" s="70">
        <f t="shared" si="156"/>
        <v>0</v>
      </c>
      <c r="AP159" s="70">
        <f t="shared" si="157"/>
        <v>0</v>
      </c>
      <c r="AQ159" s="72" t="s">
        <v>94</v>
      </c>
      <c r="AV159" s="70">
        <f t="shared" si="158"/>
        <v>0</v>
      </c>
      <c r="AW159" s="70">
        <f t="shared" si="159"/>
        <v>0</v>
      </c>
      <c r="AX159" s="70">
        <f t="shared" si="160"/>
        <v>0</v>
      </c>
      <c r="AY159" s="72" t="s">
        <v>329</v>
      </c>
      <c r="AZ159" s="72" t="s">
        <v>330</v>
      </c>
      <c r="BA159" s="55" t="s">
        <v>101</v>
      </c>
      <c r="BC159" s="70">
        <f t="shared" si="161"/>
        <v>0</v>
      </c>
      <c r="BD159" s="70">
        <f t="shared" si="162"/>
        <v>0</v>
      </c>
      <c r="BE159" s="70">
        <v>0</v>
      </c>
      <c r="BF159" s="70">
        <f>159</f>
        <v>159</v>
      </c>
      <c r="BH159" s="70">
        <f t="shared" si="163"/>
        <v>0</v>
      </c>
      <c r="BI159" s="70">
        <f t="shared" si="164"/>
        <v>0</v>
      </c>
      <c r="BJ159" s="70">
        <f t="shared" si="165"/>
        <v>0</v>
      </c>
      <c r="BK159" s="70"/>
      <c r="BL159" s="70"/>
      <c r="BW159" s="70">
        <v>21</v>
      </c>
    </row>
    <row r="160" spans="1:75" ht="13.5" customHeight="1">
      <c r="A160" s="69" t="s">
        <v>533</v>
      </c>
      <c r="B160" s="10" t="s">
        <v>534</v>
      </c>
      <c r="C160" s="8" t="s">
        <v>535</v>
      </c>
      <c r="D160" s="8"/>
      <c r="E160" s="10" t="s">
        <v>350</v>
      </c>
      <c r="F160" s="70">
        <v>1</v>
      </c>
      <c r="G160" s="70">
        <v>0</v>
      </c>
      <c r="H160" s="70">
        <f t="shared" si="142"/>
        <v>0</v>
      </c>
      <c r="I160" s="70">
        <f t="shared" si="143"/>
        <v>0</v>
      </c>
      <c r="J160" s="70">
        <f t="shared" si="144"/>
        <v>0</v>
      </c>
      <c r="K160" s="71"/>
      <c r="Z160" s="70">
        <f t="shared" si="145"/>
        <v>0</v>
      </c>
      <c r="AB160" s="70">
        <f t="shared" si="146"/>
        <v>0</v>
      </c>
      <c r="AC160" s="70">
        <f t="shared" si="147"/>
        <v>0</v>
      </c>
      <c r="AD160" s="70">
        <f t="shared" si="148"/>
        <v>0</v>
      </c>
      <c r="AE160" s="70">
        <f t="shared" si="149"/>
        <v>0</v>
      </c>
      <c r="AF160" s="70">
        <f t="shared" si="150"/>
        <v>0</v>
      </c>
      <c r="AG160" s="70">
        <f t="shared" si="151"/>
        <v>0</v>
      </c>
      <c r="AH160" s="70">
        <f t="shared" si="152"/>
        <v>0</v>
      </c>
      <c r="AI160" s="55"/>
      <c r="AJ160" s="70">
        <f t="shared" si="153"/>
        <v>0</v>
      </c>
      <c r="AK160" s="70">
        <f t="shared" si="154"/>
        <v>0</v>
      </c>
      <c r="AL160" s="70">
        <f t="shared" si="155"/>
        <v>0</v>
      </c>
      <c r="AN160" s="70">
        <v>21</v>
      </c>
      <c r="AO160" s="70">
        <f t="shared" si="156"/>
        <v>0</v>
      </c>
      <c r="AP160" s="70">
        <f t="shared" si="157"/>
        <v>0</v>
      </c>
      <c r="AQ160" s="72" t="s">
        <v>94</v>
      </c>
      <c r="AV160" s="70">
        <f t="shared" si="158"/>
        <v>0</v>
      </c>
      <c r="AW160" s="70">
        <f t="shared" si="159"/>
        <v>0</v>
      </c>
      <c r="AX160" s="70">
        <f t="shared" si="160"/>
        <v>0</v>
      </c>
      <c r="AY160" s="72" t="s">
        <v>329</v>
      </c>
      <c r="AZ160" s="72" t="s">
        <v>330</v>
      </c>
      <c r="BA160" s="55" t="s">
        <v>101</v>
      </c>
      <c r="BC160" s="70">
        <f t="shared" si="161"/>
        <v>0</v>
      </c>
      <c r="BD160" s="70">
        <f t="shared" si="162"/>
        <v>0</v>
      </c>
      <c r="BE160" s="70">
        <v>0</v>
      </c>
      <c r="BF160" s="70">
        <f>160</f>
        <v>160</v>
      </c>
      <c r="BH160" s="70">
        <f t="shared" si="163"/>
        <v>0</v>
      </c>
      <c r="BI160" s="70">
        <f t="shared" si="164"/>
        <v>0</v>
      </c>
      <c r="BJ160" s="70">
        <f t="shared" si="165"/>
        <v>0</v>
      </c>
      <c r="BK160" s="70"/>
      <c r="BL160" s="70"/>
      <c r="BW160" s="70">
        <v>21</v>
      </c>
    </row>
    <row r="161" spans="1:75" ht="13.5" customHeight="1">
      <c r="A161" s="69" t="s">
        <v>536</v>
      </c>
      <c r="B161" s="10" t="s">
        <v>537</v>
      </c>
      <c r="C161" s="8" t="s">
        <v>538</v>
      </c>
      <c r="D161" s="8"/>
      <c r="E161" s="10" t="s">
        <v>133</v>
      </c>
      <c r="F161" s="70">
        <v>50</v>
      </c>
      <c r="G161" s="70">
        <v>0</v>
      </c>
      <c r="H161" s="70">
        <f t="shared" si="142"/>
        <v>0</v>
      </c>
      <c r="I161" s="70">
        <f t="shared" si="143"/>
        <v>0</v>
      </c>
      <c r="J161" s="70">
        <f t="shared" si="144"/>
        <v>0</v>
      </c>
      <c r="K161" s="71" t="s">
        <v>111</v>
      </c>
      <c r="Z161" s="70">
        <f t="shared" si="145"/>
        <v>0</v>
      </c>
      <c r="AB161" s="70">
        <f t="shared" si="146"/>
        <v>0</v>
      </c>
      <c r="AC161" s="70">
        <f t="shared" si="147"/>
        <v>0</v>
      </c>
      <c r="AD161" s="70">
        <f t="shared" si="148"/>
        <v>0</v>
      </c>
      <c r="AE161" s="70">
        <f t="shared" si="149"/>
        <v>0</v>
      </c>
      <c r="AF161" s="70">
        <f t="shared" si="150"/>
        <v>0</v>
      </c>
      <c r="AG161" s="70">
        <f t="shared" si="151"/>
        <v>0</v>
      </c>
      <c r="AH161" s="70">
        <f t="shared" si="152"/>
        <v>0</v>
      </c>
      <c r="AI161" s="55"/>
      <c r="AJ161" s="70">
        <f t="shared" si="153"/>
        <v>0</v>
      </c>
      <c r="AK161" s="70">
        <f t="shared" si="154"/>
        <v>0</v>
      </c>
      <c r="AL161" s="70">
        <f t="shared" si="155"/>
        <v>0</v>
      </c>
      <c r="AN161" s="70">
        <v>21</v>
      </c>
      <c r="AO161" s="70">
        <f t="shared" si="156"/>
        <v>0</v>
      </c>
      <c r="AP161" s="70">
        <f t="shared" si="157"/>
        <v>0</v>
      </c>
      <c r="AQ161" s="72" t="s">
        <v>94</v>
      </c>
      <c r="AV161" s="70">
        <f t="shared" si="158"/>
        <v>0</v>
      </c>
      <c r="AW161" s="70">
        <f t="shared" si="159"/>
        <v>0</v>
      </c>
      <c r="AX161" s="70">
        <f t="shared" si="160"/>
        <v>0</v>
      </c>
      <c r="AY161" s="72" t="s">
        <v>329</v>
      </c>
      <c r="AZ161" s="72" t="s">
        <v>330</v>
      </c>
      <c r="BA161" s="55" t="s">
        <v>101</v>
      </c>
      <c r="BC161" s="70">
        <f t="shared" si="161"/>
        <v>0</v>
      </c>
      <c r="BD161" s="70">
        <f t="shared" si="162"/>
        <v>0</v>
      </c>
      <c r="BE161" s="70">
        <v>0</v>
      </c>
      <c r="BF161" s="70">
        <f>161</f>
        <v>161</v>
      </c>
      <c r="BH161" s="70">
        <f t="shared" si="163"/>
        <v>0</v>
      </c>
      <c r="BI161" s="70">
        <f t="shared" si="164"/>
        <v>0</v>
      </c>
      <c r="BJ161" s="70">
        <f t="shared" si="165"/>
        <v>0</v>
      </c>
      <c r="BK161" s="70"/>
      <c r="BL161" s="70"/>
      <c r="BW161" s="70">
        <v>21</v>
      </c>
    </row>
    <row r="162" spans="1:75" ht="13.5" customHeight="1">
      <c r="A162" s="69" t="s">
        <v>539</v>
      </c>
      <c r="B162" s="10" t="s">
        <v>540</v>
      </c>
      <c r="C162" s="8" t="s">
        <v>541</v>
      </c>
      <c r="D162" s="8"/>
      <c r="E162" s="10" t="s">
        <v>133</v>
      </c>
      <c r="F162" s="70">
        <v>50</v>
      </c>
      <c r="G162" s="70">
        <v>0</v>
      </c>
      <c r="H162" s="70">
        <f t="shared" si="142"/>
        <v>0</v>
      </c>
      <c r="I162" s="70">
        <f t="shared" si="143"/>
        <v>0</v>
      </c>
      <c r="J162" s="70">
        <f t="shared" si="144"/>
        <v>0</v>
      </c>
      <c r="K162" s="71" t="s">
        <v>111</v>
      </c>
      <c r="Z162" s="70">
        <f t="shared" si="145"/>
        <v>0</v>
      </c>
      <c r="AB162" s="70">
        <f t="shared" si="146"/>
        <v>0</v>
      </c>
      <c r="AC162" s="70">
        <f t="shared" si="147"/>
        <v>0</v>
      </c>
      <c r="AD162" s="70">
        <f t="shared" si="148"/>
        <v>0</v>
      </c>
      <c r="AE162" s="70">
        <f t="shared" si="149"/>
        <v>0</v>
      </c>
      <c r="AF162" s="70">
        <f t="shared" si="150"/>
        <v>0</v>
      </c>
      <c r="AG162" s="70">
        <f t="shared" si="151"/>
        <v>0</v>
      </c>
      <c r="AH162" s="70">
        <f t="shared" si="152"/>
        <v>0</v>
      </c>
      <c r="AI162" s="55"/>
      <c r="AJ162" s="70">
        <f t="shared" si="153"/>
        <v>0</v>
      </c>
      <c r="AK162" s="70">
        <f t="shared" si="154"/>
        <v>0</v>
      </c>
      <c r="AL162" s="70">
        <f t="shared" si="155"/>
        <v>0</v>
      </c>
      <c r="AN162" s="70">
        <v>21</v>
      </c>
      <c r="AO162" s="70">
        <f t="shared" si="156"/>
        <v>0</v>
      </c>
      <c r="AP162" s="70">
        <f t="shared" si="157"/>
        <v>0</v>
      </c>
      <c r="AQ162" s="72" t="s">
        <v>94</v>
      </c>
      <c r="AV162" s="70">
        <f t="shared" si="158"/>
        <v>0</v>
      </c>
      <c r="AW162" s="70">
        <f t="shared" si="159"/>
        <v>0</v>
      </c>
      <c r="AX162" s="70">
        <f t="shared" si="160"/>
        <v>0</v>
      </c>
      <c r="AY162" s="72" t="s">
        <v>329</v>
      </c>
      <c r="AZ162" s="72" t="s">
        <v>330</v>
      </c>
      <c r="BA162" s="55" t="s">
        <v>101</v>
      </c>
      <c r="BC162" s="70">
        <f t="shared" si="161"/>
        <v>0</v>
      </c>
      <c r="BD162" s="70">
        <f t="shared" si="162"/>
        <v>0</v>
      </c>
      <c r="BE162" s="70">
        <v>0</v>
      </c>
      <c r="BF162" s="70">
        <f>162</f>
        <v>162</v>
      </c>
      <c r="BH162" s="70">
        <f t="shared" si="163"/>
        <v>0</v>
      </c>
      <c r="BI162" s="70">
        <f t="shared" si="164"/>
        <v>0</v>
      </c>
      <c r="BJ162" s="70">
        <f t="shared" si="165"/>
        <v>0</v>
      </c>
      <c r="BK162" s="70"/>
      <c r="BL162" s="70"/>
      <c r="BW162" s="70">
        <v>21</v>
      </c>
    </row>
    <row r="163" spans="1:75" ht="13.5" customHeight="1">
      <c r="A163" s="69" t="s">
        <v>542</v>
      </c>
      <c r="B163" s="10" t="s">
        <v>543</v>
      </c>
      <c r="C163" s="8" t="s">
        <v>544</v>
      </c>
      <c r="D163" s="8"/>
      <c r="E163" s="10" t="s">
        <v>133</v>
      </c>
      <c r="F163" s="70">
        <v>100</v>
      </c>
      <c r="G163" s="70">
        <v>0</v>
      </c>
      <c r="H163" s="70">
        <f t="shared" si="142"/>
        <v>0</v>
      </c>
      <c r="I163" s="70">
        <f t="shared" si="143"/>
        <v>0</v>
      </c>
      <c r="J163" s="70">
        <f t="shared" si="144"/>
        <v>0</v>
      </c>
      <c r="K163" s="71" t="s">
        <v>111</v>
      </c>
      <c r="Z163" s="70">
        <f t="shared" si="145"/>
        <v>0</v>
      </c>
      <c r="AB163" s="70">
        <f t="shared" si="146"/>
        <v>0</v>
      </c>
      <c r="AC163" s="70">
        <f t="shared" si="147"/>
        <v>0</v>
      </c>
      <c r="AD163" s="70">
        <f t="shared" si="148"/>
        <v>0</v>
      </c>
      <c r="AE163" s="70">
        <f t="shared" si="149"/>
        <v>0</v>
      </c>
      <c r="AF163" s="70">
        <f t="shared" si="150"/>
        <v>0</v>
      </c>
      <c r="AG163" s="70">
        <f t="shared" si="151"/>
        <v>0</v>
      </c>
      <c r="AH163" s="70">
        <f t="shared" si="152"/>
        <v>0</v>
      </c>
      <c r="AI163" s="55"/>
      <c r="AJ163" s="70">
        <f t="shared" si="153"/>
        <v>0</v>
      </c>
      <c r="AK163" s="70">
        <f t="shared" si="154"/>
        <v>0</v>
      </c>
      <c r="AL163" s="70">
        <f t="shared" si="155"/>
        <v>0</v>
      </c>
      <c r="AN163" s="70">
        <v>21</v>
      </c>
      <c r="AO163" s="70">
        <f t="shared" si="156"/>
        <v>0</v>
      </c>
      <c r="AP163" s="70">
        <f t="shared" si="157"/>
        <v>0</v>
      </c>
      <c r="AQ163" s="72" t="s">
        <v>94</v>
      </c>
      <c r="AV163" s="70">
        <f t="shared" si="158"/>
        <v>0</v>
      </c>
      <c r="AW163" s="70">
        <f t="shared" si="159"/>
        <v>0</v>
      </c>
      <c r="AX163" s="70">
        <f t="shared" si="160"/>
        <v>0</v>
      </c>
      <c r="AY163" s="72" t="s">
        <v>329</v>
      </c>
      <c r="AZ163" s="72" t="s">
        <v>330</v>
      </c>
      <c r="BA163" s="55" t="s">
        <v>101</v>
      </c>
      <c r="BC163" s="70">
        <f t="shared" si="161"/>
        <v>0</v>
      </c>
      <c r="BD163" s="70">
        <f t="shared" si="162"/>
        <v>0</v>
      </c>
      <c r="BE163" s="70">
        <v>0</v>
      </c>
      <c r="BF163" s="70">
        <f>163</f>
        <v>163</v>
      </c>
      <c r="BH163" s="70">
        <f t="shared" si="163"/>
        <v>0</v>
      </c>
      <c r="BI163" s="70">
        <f t="shared" si="164"/>
        <v>0</v>
      </c>
      <c r="BJ163" s="70">
        <f t="shared" si="165"/>
        <v>0</v>
      </c>
      <c r="BK163" s="70"/>
      <c r="BL163" s="70"/>
      <c r="BW163" s="70">
        <v>21</v>
      </c>
    </row>
    <row r="164" spans="1:75" ht="13.5" customHeight="1">
      <c r="A164" s="69" t="s">
        <v>545</v>
      </c>
      <c r="B164" s="10" t="s">
        <v>546</v>
      </c>
      <c r="C164" s="8" t="s">
        <v>547</v>
      </c>
      <c r="D164" s="8"/>
      <c r="E164" s="10" t="s">
        <v>133</v>
      </c>
      <c r="F164" s="70">
        <v>20</v>
      </c>
      <c r="G164" s="70">
        <v>0</v>
      </c>
      <c r="H164" s="70">
        <f t="shared" si="142"/>
        <v>0</v>
      </c>
      <c r="I164" s="70">
        <f t="shared" si="143"/>
        <v>0</v>
      </c>
      <c r="J164" s="70">
        <f t="shared" si="144"/>
        <v>0</v>
      </c>
      <c r="K164" s="71" t="s">
        <v>111</v>
      </c>
      <c r="Z164" s="70">
        <f t="shared" si="145"/>
        <v>0</v>
      </c>
      <c r="AB164" s="70">
        <f t="shared" si="146"/>
        <v>0</v>
      </c>
      <c r="AC164" s="70">
        <f t="shared" si="147"/>
        <v>0</v>
      </c>
      <c r="AD164" s="70">
        <f t="shared" si="148"/>
        <v>0</v>
      </c>
      <c r="AE164" s="70">
        <f t="shared" si="149"/>
        <v>0</v>
      </c>
      <c r="AF164" s="70">
        <f t="shared" si="150"/>
        <v>0</v>
      </c>
      <c r="AG164" s="70">
        <f t="shared" si="151"/>
        <v>0</v>
      </c>
      <c r="AH164" s="70">
        <f t="shared" si="152"/>
        <v>0</v>
      </c>
      <c r="AI164" s="55"/>
      <c r="AJ164" s="70">
        <f t="shared" si="153"/>
        <v>0</v>
      </c>
      <c r="AK164" s="70">
        <f t="shared" si="154"/>
        <v>0</v>
      </c>
      <c r="AL164" s="70">
        <f t="shared" si="155"/>
        <v>0</v>
      </c>
      <c r="AN164" s="70">
        <v>21</v>
      </c>
      <c r="AO164" s="70">
        <f t="shared" si="156"/>
        <v>0</v>
      </c>
      <c r="AP164" s="70">
        <f t="shared" si="157"/>
        <v>0</v>
      </c>
      <c r="AQ164" s="72" t="s">
        <v>94</v>
      </c>
      <c r="AV164" s="70">
        <f t="shared" si="158"/>
        <v>0</v>
      </c>
      <c r="AW164" s="70">
        <f t="shared" si="159"/>
        <v>0</v>
      </c>
      <c r="AX164" s="70">
        <f t="shared" si="160"/>
        <v>0</v>
      </c>
      <c r="AY164" s="72" t="s">
        <v>329</v>
      </c>
      <c r="AZ164" s="72" t="s">
        <v>330</v>
      </c>
      <c r="BA164" s="55" t="s">
        <v>101</v>
      </c>
      <c r="BC164" s="70">
        <f t="shared" si="161"/>
        <v>0</v>
      </c>
      <c r="BD164" s="70">
        <f t="shared" si="162"/>
        <v>0</v>
      </c>
      <c r="BE164" s="70">
        <v>0</v>
      </c>
      <c r="BF164" s="70">
        <f>164</f>
        <v>164</v>
      </c>
      <c r="BH164" s="70">
        <f t="shared" si="163"/>
        <v>0</v>
      </c>
      <c r="BI164" s="70">
        <f t="shared" si="164"/>
        <v>0</v>
      </c>
      <c r="BJ164" s="70">
        <f t="shared" si="165"/>
        <v>0</v>
      </c>
      <c r="BK164" s="70"/>
      <c r="BL164" s="70"/>
      <c r="BW164" s="70">
        <v>21</v>
      </c>
    </row>
    <row r="165" spans="1:75" ht="13.5" customHeight="1">
      <c r="A165" s="69" t="s">
        <v>548</v>
      </c>
      <c r="B165" s="10" t="s">
        <v>549</v>
      </c>
      <c r="C165" s="8" t="s">
        <v>550</v>
      </c>
      <c r="D165" s="8"/>
      <c r="E165" s="10" t="s">
        <v>133</v>
      </c>
      <c r="F165" s="70">
        <v>10</v>
      </c>
      <c r="G165" s="70">
        <v>0</v>
      </c>
      <c r="H165" s="70">
        <f t="shared" si="142"/>
        <v>0</v>
      </c>
      <c r="I165" s="70">
        <f t="shared" si="143"/>
        <v>0</v>
      </c>
      <c r="J165" s="70">
        <f t="shared" si="144"/>
        <v>0</v>
      </c>
      <c r="K165" s="71" t="s">
        <v>111</v>
      </c>
      <c r="Z165" s="70">
        <f t="shared" si="145"/>
        <v>0</v>
      </c>
      <c r="AB165" s="70">
        <f t="shared" si="146"/>
        <v>0</v>
      </c>
      <c r="AC165" s="70">
        <f t="shared" si="147"/>
        <v>0</v>
      </c>
      <c r="AD165" s="70">
        <f t="shared" si="148"/>
        <v>0</v>
      </c>
      <c r="AE165" s="70">
        <f t="shared" si="149"/>
        <v>0</v>
      </c>
      <c r="AF165" s="70">
        <f t="shared" si="150"/>
        <v>0</v>
      </c>
      <c r="AG165" s="70">
        <f t="shared" si="151"/>
        <v>0</v>
      </c>
      <c r="AH165" s="70">
        <f t="shared" si="152"/>
        <v>0</v>
      </c>
      <c r="AI165" s="55"/>
      <c r="AJ165" s="70">
        <f t="shared" si="153"/>
        <v>0</v>
      </c>
      <c r="AK165" s="70">
        <f t="shared" si="154"/>
        <v>0</v>
      </c>
      <c r="AL165" s="70">
        <f t="shared" si="155"/>
        <v>0</v>
      </c>
      <c r="AN165" s="70">
        <v>21</v>
      </c>
      <c r="AO165" s="70">
        <f t="shared" si="156"/>
        <v>0</v>
      </c>
      <c r="AP165" s="70">
        <f t="shared" si="157"/>
        <v>0</v>
      </c>
      <c r="AQ165" s="72" t="s">
        <v>94</v>
      </c>
      <c r="AV165" s="70">
        <f t="shared" si="158"/>
        <v>0</v>
      </c>
      <c r="AW165" s="70">
        <f t="shared" si="159"/>
        <v>0</v>
      </c>
      <c r="AX165" s="70">
        <f t="shared" si="160"/>
        <v>0</v>
      </c>
      <c r="AY165" s="72" t="s">
        <v>329</v>
      </c>
      <c r="AZ165" s="72" t="s">
        <v>330</v>
      </c>
      <c r="BA165" s="55" t="s">
        <v>101</v>
      </c>
      <c r="BC165" s="70">
        <f t="shared" si="161"/>
        <v>0</v>
      </c>
      <c r="BD165" s="70">
        <f t="shared" si="162"/>
        <v>0</v>
      </c>
      <c r="BE165" s="70">
        <v>0</v>
      </c>
      <c r="BF165" s="70">
        <f>165</f>
        <v>165</v>
      </c>
      <c r="BH165" s="70">
        <f t="shared" si="163"/>
        <v>0</v>
      </c>
      <c r="BI165" s="70">
        <f t="shared" si="164"/>
        <v>0</v>
      </c>
      <c r="BJ165" s="70">
        <f t="shared" si="165"/>
        <v>0</v>
      </c>
      <c r="BK165" s="70"/>
      <c r="BL165" s="70"/>
      <c r="BW165" s="70">
        <v>21</v>
      </c>
    </row>
    <row r="166" spans="1:75" ht="13.5" customHeight="1">
      <c r="A166" s="69" t="s">
        <v>551</v>
      </c>
      <c r="B166" s="10" t="s">
        <v>552</v>
      </c>
      <c r="C166" s="8" t="s">
        <v>553</v>
      </c>
      <c r="D166" s="8"/>
      <c r="E166" s="10" t="s">
        <v>142</v>
      </c>
      <c r="F166" s="70">
        <v>29</v>
      </c>
      <c r="G166" s="70">
        <v>0</v>
      </c>
      <c r="H166" s="70">
        <f t="shared" si="142"/>
        <v>0</v>
      </c>
      <c r="I166" s="70">
        <f t="shared" si="143"/>
        <v>0</v>
      </c>
      <c r="J166" s="70">
        <f t="shared" si="144"/>
        <v>0</v>
      </c>
      <c r="K166" s="71" t="s">
        <v>111</v>
      </c>
      <c r="Z166" s="70">
        <f t="shared" si="145"/>
        <v>0</v>
      </c>
      <c r="AB166" s="70">
        <f t="shared" si="146"/>
        <v>0</v>
      </c>
      <c r="AC166" s="70">
        <f t="shared" si="147"/>
        <v>0</v>
      </c>
      <c r="AD166" s="70">
        <f t="shared" si="148"/>
        <v>0</v>
      </c>
      <c r="AE166" s="70">
        <f t="shared" si="149"/>
        <v>0</v>
      </c>
      <c r="AF166" s="70">
        <f t="shared" si="150"/>
        <v>0</v>
      </c>
      <c r="AG166" s="70">
        <f t="shared" si="151"/>
        <v>0</v>
      </c>
      <c r="AH166" s="70">
        <f t="shared" si="152"/>
        <v>0</v>
      </c>
      <c r="AI166" s="55"/>
      <c r="AJ166" s="70">
        <f t="shared" si="153"/>
        <v>0</v>
      </c>
      <c r="AK166" s="70">
        <f t="shared" si="154"/>
        <v>0</v>
      </c>
      <c r="AL166" s="70">
        <f t="shared" si="155"/>
        <v>0</v>
      </c>
      <c r="AN166" s="70">
        <v>21</v>
      </c>
      <c r="AO166" s="70">
        <f t="shared" si="156"/>
        <v>0</v>
      </c>
      <c r="AP166" s="70">
        <f t="shared" si="157"/>
        <v>0</v>
      </c>
      <c r="AQ166" s="72" t="s">
        <v>94</v>
      </c>
      <c r="AV166" s="70">
        <f t="shared" si="158"/>
        <v>0</v>
      </c>
      <c r="AW166" s="70">
        <f t="shared" si="159"/>
        <v>0</v>
      </c>
      <c r="AX166" s="70">
        <f t="shared" si="160"/>
        <v>0</v>
      </c>
      <c r="AY166" s="72" t="s">
        <v>329</v>
      </c>
      <c r="AZ166" s="72" t="s">
        <v>330</v>
      </c>
      <c r="BA166" s="55" t="s">
        <v>101</v>
      </c>
      <c r="BC166" s="70">
        <f t="shared" si="161"/>
        <v>0</v>
      </c>
      <c r="BD166" s="70">
        <f t="shared" si="162"/>
        <v>0</v>
      </c>
      <c r="BE166" s="70">
        <v>0</v>
      </c>
      <c r="BF166" s="70">
        <f>166</f>
        <v>166</v>
      </c>
      <c r="BH166" s="70">
        <f t="shared" si="163"/>
        <v>0</v>
      </c>
      <c r="BI166" s="70">
        <f t="shared" si="164"/>
        <v>0</v>
      </c>
      <c r="BJ166" s="70">
        <f t="shared" si="165"/>
        <v>0</v>
      </c>
      <c r="BK166" s="70"/>
      <c r="BL166" s="70"/>
      <c r="BW166" s="70">
        <v>21</v>
      </c>
    </row>
    <row r="167" spans="1:75" ht="13.5" customHeight="1">
      <c r="A167" s="69" t="s">
        <v>554</v>
      </c>
      <c r="B167" s="10" t="s">
        <v>555</v>
      </c>
      <c r="C167" s="8" t="s">
        <v>556</v>
      </c>
      <c r="D167" s="8"/>
      <c r="E167" s="10" t="s">
        <v>142</v>
      </c>
      <c r="F167" s="70">
        <v>91</v>
      </c>
      <c r="G167" s="70">
        <v>0</v>
      </c>
      <c r="H167" s="70">
        <f t="shared" si="142"/>
        <v>0</v>
      </c>
      <c r="I167" s="70">
        <f t="shared" si="143"/>
        <v>0</v>
      </c>
      <c r="J167" s="70">
        <f t="shared" si="144"/>
        <v>0</v>
      </c>
      <c r="K167" s="71" t="s">
        <v>111</v>
      </c>
      <c r="Z167" s="70">
        <f t="shared" si="145"/>
        <v>0</v>
      </c>
      <c r="AB167" s="70">
        <f t="shared" si="146"/>
        <v>0</v>
      </c>
      <c r="AC167" s="70">
        <f t="shared" si="147"/>
        <v>0</v>
      </c>
      <c r="AD167" s="70">
        <f t="shared" si="148"/>
        <v>0</v>
      </c>
      <c r="AE167" s="70">
        <f t="shared" si="149"/>
        <v>0</v>
      </c>
      <c r="AF167" s="70">
        <f t="shared" si="150"/>
        <v>0</v>
      </c>
      <c r="AG167" s="70">
        <f t="shared" si="151"/>
        <v>0</v>
      </c>
      <c r="AH167" s="70">
        <f t="shared" si="152"/>
        <v>0</v>
      </c>
      <c r="AI167" s="55"/>
      <c r="AJ167" s="70">
        <f t="shared" si="153"/>
        <v>0</v>
      </c>
      <c r="AK167" s="70">
        <f t="shared" si="154"/>
        <v>0</v>
      </c>
      <c r="AL167" s="70">
        <f t="shared" si="155"/>
        <v>0</v>
      </c>
      <c r="AN167" s="70">
        <v>21</v>
      </c>
      <c r="AO167" s="70">
        <f t="shared" si="156"/>
        <v>0</v>
      </c>
      <c r="AP167" s="70">
        <f t="shared" si="157"/>
        <v>0</v>
      </c>
      <c r="AQ167" s="72" t="s">
        <v>94</v>
      </c>
      <c r="AV167" s="70">
        <f t="shared" si="158"/>
        <v>0</v>
      </c>
      <c r="AW167" s="70">
        <f t="shared" si="159"/>
        <v>0</v>
      </c>
      <c r="AX167" s="70">
        <f t="shared" si="160"/>
        <v>0</v>
      </c>
      <c r="AY167" s="72" t="s">
        <v>329</v>
      </c>
      <c r="AZ167" s="72" t="s">
        <v>330</v>
      </c>
      <c r="BA167" s="55" t="s">
        <v>101</v>
      </c>
      <c r="BC167" s="70">
        <f t="shared" si="161"/>
        <v>0</v>
      </c>
      <c r="BD167" s="70">
        <f t="shared" si="162"/>
        <v>0</v>
      </c>
      <c r="BE167" s="70">
        <v>0</v>
      </c>
      <c r="BF167" s="70">
        <f>167</f>
        <v>167</v>
      </c>
      <c r="BH167" s="70">
        <f t="shared" si="163"/>
        <v>0</v>
      </c>
      <c r="BI167" s="70">
        <f t="shared" si="164"/>
        <v>0</v>
      </c>
      <c r="BJ167" s="70">
        <f t="shared" si="165"/>
        <v>0</v>
      </c>
      <c r="BK167" s="70"/>
      <c r="BL167" s="70"/>
      <c r="BW167" s="70">
        <v>21</v>
      </c>
    </row>
    <row r="168" spans="1:75" ht="13.5" customHeight="1">
      <c r="A168" s="69" t="s">
        <v>557</v>
      </c>
      <c r="B168" s="10" t="s">
        <v>558</v>
      </c>
      <c r="C168" s="8" t="s">
        <v>559</v>
      </c>
      <c r="D168" s="8"/>
      <c r="E168" s="10" t="s">
        <v>142</v>
      </c>
      <c r="F168" s="70">
        <v>50</v>
      </c>
      <c r="G168" s="70">
        <v>0</v>
      </c>
      <c r="H168" s="70">
        <f t="shared" si="142"/>
        <v>0</v>
      </c>
      <c r="I168" s="70">
        <f t="shared" si="143"/>
        <v>0</v>
      </c>
      <c r="J168" s="70">
        <f t="shared" si="144"/>
        <v>0</v>
      </c>
      <c r="K168" s="71" t="s">
        <v>111</v>
      </c>
      <c r="Z168" s="70">
        <f t="shared" si="145"/>
        <v>0</v>
      </c>
      <c r="AB168" s="70">
        <f t="shared" si="146"/>
        <v>0</v>
      </c>
      <c r="AC168" s="70">
        <f t="shared" si="147"/>
        <v>0</v>
      </c>
      <c r="AD168" s="70">
        <f t="shared" si="148"/>
        <v>0</v>
      </c>
      <c r="AE168" s="70">
        <f t="shared" si="149"/>
        <v>0</v>
      </c>
      <c r="AF168" s="70">
        <f t="shared" si="150"/>
        <v>0</v>
      </c>
      <c r="AG168" s="70">
        <f t="shared" si="151"/>
        <v>0</v>
      </c>
      <c r="AH168" s="70">
        <f t="shared" si="152"/>
        <v>0</v>
      </c>
      <c r="AI168" s="55"/>
      <c r="AJ168" s="70">
        <f t="shared" si="153"/>
        <v>0</v>
      </c>
      <c r="AK168" s="70">
        <f t="shared" si="154"/>
        <v>0</v>
      </c>
      <c r="AL168" s="70">
        <f t="shared" si="155"/>
        <v>0</v>
      </c>
      <c r="AN168" s="70">
        <v>21</v>
      </c>
      <c r="AO168" s="70">
        <f t="shared" si="156"/>
        <v>0</v>
      </c>
      <c r="AP168" s="70">
        <f t="shared" si="157"/>
        <v>0</v>
      </c>
      <c r="AQ168" s="72" t="s">
        <v>94</v>
      </c>
      <c r="AV168" s="70">
        <f t="shared" si="158"/>
        <v>0</v>
      </c>
      <c r="AW168" s="70">
        <f t="shared" si="159"/>
        <v>0</v>
      </c>
      <c r="AX168" s="70">
        <f t="shared" si="160"/>
        <v>0</v>
      </c>
      <c r="AY168" s="72" t="s">
        <v>329</v>
      </c>
      <c r="AZ168" s="72" t="s">
        <v>330</v>
      </c>
      <c r="BA168" s="55" t="s">
        <v>101</v>
      </c>
      <c r="BC168" s="70">
        <f t="shared" si="161"/>
        <v>0</v>
      </c>
      <c r="BD168" s="70">
        <f t="shared" si="162"/>
        <v>0</v>
      </c>
      <c r="BE168" s="70">
        <v>0</v>
      </c>
      <c r="BF168" s="70">
        <f>168</f>
        <v>168</v>
      </c>
      <c r="BH168" s="70">
        <f t="shared" si="163"/>
        <v>0</v>
      </c>
      <c r="BI168" s="70">
        <f t="shared" si="164"/>
        <v>0</v>
      </c>
      <c r="BJ168" s="70">
        <f t="shared" si="165"/>
        <v>0</v>
      </c>
      <c r="BK168" s="70"/>
      <c r="BL168" s="70"/>
      <c r="BW168" s="70">
        <v>21</v>
      </c>
    </row>
    <row r="169" spans="1:75" ht="13.5" customHeight="1">
      <c r="A169" s="69" t="s">
        <v>560</v>
      </c>
      <c r="B169" s="10" t="s">
        <v>561</v>
      </c>
      <c r="C169" s="8" t="s">
        <v>562</v>
      </c>
      <c r="D169" s="8"/>
      <c r="E169" s="10" t="s">
        <v>142</v>
      </c>
      <c r="F169" s="70">
        <v>100</v>
      </c>
      <c r="G169" s="70">
        <v>0</v>
      </c>
      <c r="H169" s="70">
        <f t="shared" si="142"/>
        <v>0</v>
      </c>
      <c r="I169" s="70">
        <f t="shared" si="143"/>
        <v>0</v>
      </c>
      <c r="J169" s="70">
        <f t="shared" si="144"/>
        <v>0</v>
      </c>
      <c r="K169" s="71" t="s">
        <v>111</v>
      </c>
      <c r="Z169" s="70">
        <f t="shared" si="145"/>
        <v>0</v>
      </c>
      <c r="AB169" s="70">
        <f t="shared" si="146"/>
        <v>0</v>
      </c>
      <c r="AC169" s="70">
        <f t="shared" si="147"/>
        <v>0</v>
      </c>
      <c r="AD169" s="70">
        <f t="shared" si="148"/>
        <v>0</v>
      </c>
      <c r="AE169" s="70">
        <f t="shared" si="149"/>
        <v>0</v>
      </c>
      <c r="AF169" s="70">
        <f t="shared" si="150"/>
        <v>0</v>
      </c>
      <c r="AG169" s="70">
        <f t="shared" si="151"/>
        <v>0</v>
      </c>
      <c r="AH169" s="70">
        <f t="shared" si="152"/>
        <v>0</v>
      </c>
      <c r="AI169" s="55"/>
      <c r="AJ169" s="70">
        <f t="shared" si="153"/>
        <v>0</v>
      </c>
      <c r="AK169" s="70">
        <f t="shared" si="154"/>
        <v>0</v>
      </c>
      <c r="AL169" s="70">
        <f t="shared" si="155"/>
        <v>0</v>
      </c>
      <c r="AN169" s="70">
        <v>21</v>
      </c>
      <c r="AO169" s="70">
        <f t="shared" si="156"/>
        <v>0</v>
      </c>
      <c r="AP169" s="70">
        <f t="shared" si="157"/>
        <v>0</v>
      </c>
      <c r="AQ169" s="72" t="s">
        <v>94</v>
      </c>
      <c r="AV169" s="70">
        <f t="shared" si="158"/>
        <v>0</v>
      </c>
      <c r="AW169" s="70">
        <f t="shared" si="159"/>
        <v>0</v>
      </c>
      <c r="AX169" s="70">
        <f t="shared" si="160"/>
        <v>0</v>
      </c>
      <c r="AY169" s="72" t="s">
        <v>329</v>
      </c>
      <c r="AZ169" s="72" t="s">
        <v>330</v>
      </c>
      <c r="BA169" s="55" t="s">
        <v>101</v>
      </c>
      <c r="BC169" s="70">
        <f t="shared" si="161"/>
        <v>0</v>
      </c>
      <c r="BD169" s="70">
        <f t="shared" si="162"/>
        <v>0</v>
      </c>
      <c r="BE169" s="70">
        <v>0</v>
      </c>
      <c r="BF169" s="70">
        <f>169</f>
        <v>169</v>
      </c>
      <c r="BH169" s="70">
        <f t="shared" si="163"/>
        <v>0</v>
      </c>
      <c r="BI169" s="70">
        <f t="shared" si="164"/>
        <v>0</v>
      </c>
      <c r="BJ169" s="70">
        <f t="shared" si="165"/>
        <v>0</v>
      </c>
      <c r="BK169" s="70"/>
      <c r="BL169" s="70"/>
      <c r="BW169" s="70">
        <v>21</v>
      </c>
    </row>
    <row r="170" spans="1:75" ht="13.5" customHeight="1">
      <c r="A170" s="69" t="s">
        <v>563</v>
      </c>
      <c r="B170" s="10" t="s">
        <v>564</v>
      </c>
      <c r="C170" s="8" t="s">
        <v>565</v>
      </c>
      <c r="D170" s="8"/>
      <c r="E170" s="10" t="s">
        <v>99</v>
      </c>
      <c r="F170" s="70">
        <v>1</v>
      </c>
      <c r="G170" s="70">
        <v>0</v>
      </c>
      <c r="H170" s="70">
        <f t="shared" si="142"/>
        <v>0</v>
      </c>
      <c r="I170" s="70">
        <f t="shared" si="143"/>
        <v>0</v>
      </c>
      <c r="J170" s="70">
        <f t="shared" si="144"/>
        <v>0</v>
      </c>
      <c r="K170" s="71"/>
      <c r="Z170" s="70">
        <f t="shared" si="145"/>
        <v>0</v>
      </c>
      <c r="AB170" s="70">
        <f t="shared" si="146"/>
        <v>0</v>
      </c>
      <c r="AC170" s="70">
        <f t="shared" si="147"/>
        <v>0</v>
      </c>
      <c r="AD170" s="70">
        <f t="shared" si="148"/>
        <v>0</v>
      </c>
      <c r="AE170" s="70">
        <f t="shared" si="149"/>
        <v>0</v>
      </c>
      <c r="AF170" s="70">
        <f t="shared" si="150"/>
        <v>0</v>
      </c>
      <c r="AG170" s="70">
        <f t="shared" si="151"/>
        <v>0</v>
      </c>
      <c r="AH170" s="70">
        <f t="shared" si="152"/>
        <v>0</v>
      </c>
      <c r="AI170" s="55"/>
      <c r="AJ170" s="70">
        <f t="shared" si="153"/>
        <v>0</v>
      </c>
      <c r="AK170" s="70">
        <f t="shared" si="154"/>
        <v>0</v>
      </c>
      <c r="AL170" s="70">
        <f t="shared" si="155"/>
        <v>0</v>
      </c>
      <c r="AN170" s="70">
        <v>21</v>
      </c>
      <c r="AO170" s="70">
        <f t="shared" si="156"/>
        <v>0</v>
      </c>
      <c r="AP170" s="70">
        <f t="shared" si="157"/>
        <v>0</v>
      </c>
      <c r="AQ170" s="72" t="s">
        <v>94</v>
      </c>
      <c r="AV170" s="70">
        <f t="shared" si="158"/>
        <v>0</v>
      </c>
      <c r="AW170" s="70">
        <f t="shared" si="159"/>
        <v>0</v>
      </c>
      <c r="AX170" s="70">
        <f t="shared" si="160"/>
        <v>0</v>
      </c>
      <c r="AY170" s="72" t="s">
        <v>329</v>
      </c>
      <c r="AZ170" s="72" t="s">
        <v>330</v>
      </c>
      <c r="BA170" s="55" t="s">
        <v>101</v>
      </c>
      <c r="BC170" s="70">
        <f t="shared" si="161"/>
        <v>0</v>
      </c>
      <c r="BD170" s="70">
        <f t="shared" si="162"/>
        <v>0</v>
      </c>
      <c r="BE170" s="70">
        <v>0</v>
      </c>
      <c r="BF170" s="70">
        <f>170</f>
        <v>170</v>
      </c>
      <c r="BH170" s="70">
        <f t="shared" si="163"/>
        <v>0</v>
      </c>
      <c r="BI170" s="70">
        <f t="shared" si="164"/>
        <v>0</v>
      </c>
      <c r="BJ170" s="70">
        <f t="shared" si="165"/>
        <v>0</v>
      </c>
      <c r="BK170" s="70"/>
      <c r="BL170" s="70"/>
      <c r="BW170" s="70">
        <v>21</v>
      </c>
    </row>
    <row r="171" spans="1:75" ht="13.5" customHeight="1">
      <c r="A171" s="69" t="s">
        <v>566</v>
      </c>
      <c r="B171" s="10" t="s">
        <v>335</v>
      </c>
      <c r="C171" s="8" t="s">
        <v>336</v>
      </c>
      <c r="D171" s="8"/>
      <c r="E171" s="10" t="s">
        <v>133</v>
      </c>
      <c r="F171" s="70">
        <v>60</v>
      </c>
      <c r="G171" s="70">
        <v>0</v>
      </c>
      <c r="H171" s="70">
        <f t="shared" si="142"/>
        <v>0</v>
      </c>
      <c r="I171" s="70">
        <f t="shared" si="143"/>
        <v>0</v>
      </c>
      <c r="J171" s="70">
        <f t="shared" si="144"/>
        <v>0</v>
      </c>
      <c r="K171" s="71" t="s">
        <v>111</v>
      </c>
      <c r="Z171" s="70">
        <f t="shared" si="145"/>
        <v>0</v>
      </c>
      <c r="AB171" s="70">
        <f t="shared" si="146"/>
        <v>0</v>
      </c>
      <c r="AC171" s="70">
        <f t="shared" si="147"/>
        <v>0</v>
      </c>
      <c r="AD171" s="70">
        <f t="shared" si="148"/>
        <v>0</v>
      </c>
      <c r="AE171" s="70">
        <f t="shared" si="149"/>
        <v>0</v>
      </c>
      <c r="AF171" s="70">
        <f t="shared" si="150"/>
        <v>0</v>
      </c>
      <c r="AG171" s="70">
        <f t="shared" si="151"/>
        <v>0</v>
      </c>
      <c r="AH171" s="70">
        <f t="shared" si="152"/>
        <v>0</v>
      </c>
      <c r="AI171" s="55"/>
      <c r="AJ171" s="70">
        <f t="shared" si="153"/>
        <v>0</v>
      </c>
      <c r="AK171" s="70">
        <f t="shared" si="154"/>
        <v>0</v>
      </c>
      <c r="AL171" s="70">
        <f t="shared" si="155"/>
        <v>0</v>
      </c>
      <c r="AN171" s="70">
        <v>21</v>
      </c>
      <c r="AO171" s="70">
        <f t="shared" si="156"/>
        <v>0</v>
      </c>
      <c r="AP171" s="70">
        <f t="shared" si="157"/>
        <v>0</v>
      </c>
      <c r="AQ171" s="72" t="s">
        <v>94</v>
      </c>
      <c r="AV171" s="70">
        <f t="shared" si="158"/>
        <v>0</v>
      </c>
      <c r="AW171" s="70">
        <f t="shared" si="159"/>
        <v>0</v>
      </c>
      <c r="AX171" s="70">
        <f t="shared" si="160"/>
        <v>0</v>
      </c>
      <c r="AY171" s="72" t="s">
        <v>329</v>
      </c>
      <c r="AZ171" s="72" t="s">
        <v>330</v>
      </c>
      <c r="BA171" s="55" t="s">
        <v>101</v>
      </c>
      <c r="BC171" s="70">
        <f t="shared" si="161"/>
        <v>0</v>
      </c>
      <c r="BD171" s="70">
        <f t="shared" si="162"/>
        <v>0</v>
      </c>
      <c r="BE171" s="70">
        <v>0</v>
      </c>
      <c r="BF171" s="70">
        <f>171</f>
        <v>171</v>
      </c>
      <c r="BH171" s="70">
        <f t="shared" si="163"/>
        <v>0</v>
      </c>
      <c r="BI171" s="70">
        <f t="shared" si="164"/>
        <v>0</v>
      </c>
      <c r="BJ171" s="70">
        <f t="shared" si="165"/>
        <v>0</v>
      </c>
      <c r="BK171" s="70"/>
      <c r="BL171" s="70"/>
      <c r="BW171" s="70">
        <v>21</v>
      </c>
    </row>
    <row r="172" spans="1:75" ht="13.5" customHeight="1">
      <c r="A172" s="69" t="s">
        <v>567</v>
      </c>
      <c r="B172" s="10" t="s">
        <v>338</v>
      </c>
      <c r="C172" s="8" t="s">
        <v>339</v>
      </c>
      <c r="D172" s="8"/>
      <c r="E172" s="10" t="s">
        <v>133</v>
      </c>
      <c r="F172" s="70">
        <v>50</v>
      </c>
      <c r="G172" s="70">
        <v>0</v>
      </c>
      <c r="H172" s="70">
        <f t="shared" si="142"/>
        <v>0</v>
      </c>
      <c r="I172" s="70">
        <f t="shared" si="143"/>
        <v>0</v>
      </c>
      <c r="J172" s="70">
        <f t="shared" si="144"/>
        <v>0</v>
      </c>
      <c r="K172" s="71" t="s">
        <v>111</v>
      </c>
      <c r="Z172" s="70">
        <f t="shared" si="145"/>
        <v>0</v>
      </c>
      <c r="AB172" s="70">
        <f t="shared" si="146"/>
        <v>0</v>
      </c>
      <c r="AC172" s="70">
        <f t="shared" si="147"/>
        <v>0</v>
      </c>
      <c r="AD172" s="70">
        <f t="shared" si="148"/>
        <v>0</v>
      </c>
      <c r="AE172" s="70">
        <f t="shared" si="149"/>
        <v>0</v>
      </c>
      <c r="AF172" s="70">
        <f t="shared" si="150"/>
        <v>0</v>
      </c>
      <c r="AG172" s="70">
        <f t="shared" si="151"/>
        <v>0</v>
      </c>
      <c r="AH172" s="70">
        <f t="shared" si="152"/>
        <v>0</v>
      </c>
      <c r="AI172" s="55"/>
      <c r="AJ172" s="70">
        <f t="shared" si="153"/>
        <v>0</v>
      </c>
      <c r="AK172" s="70">
        <f t="shared" si="154"/>
        <v>0</v>
      </c>
      <c r="AL172" s="70">
        <f t="shared" si="155"/>
        <v>0</v>
      </c>
      <c r="AN172" s="70">
        <v>21</v>
      </c>
      <c r="AO172" s="70">
        <f t="shared" si="156"/>
        <v>0</v>
      </c>
      <c r="AP172" s="70">
        <f t="shared" si="157"/>
        <v>0</v>
      </c>
      <c r="AQ172" s="72" t="s">
        <v>94</v>
      </c>
      <c r="AV172" s="70">
        <f t="shared" si="158"/>
        <v>0</v>
      </c>
      <c r="AW172" s="70">
        <f t="shared" si="159"/>
        <v>0</v>
      </c>
      <c r="AX172" s="70">
        <f t="shared" si="160"/>
        <v>0</v>
      </c>
      <c r="AY172" s="72" t="s">
        <v>329</v>
      </c>
      <c r="AZ172" s="72" t="s">
        <v>330</v>
      </c>
      <c r="BA172" s="55" t="s">
        <v>101</v>
      </c>
      <c r="BC172" s="70">
        <f t="shared" si="161"/>
        <v>0</v>
      </c>
      <c r="BD172" s="70">
        <f t="shared" si="162"/>
        <v>0</v>
      </c>
      <c r="BE172" s="70">
        <v>0</v>
      </c>
      <c r="BF172" s="70">
        <f>172</f>
        <v>172</v>
      </c>
      <c r="BH172" s="70">
        <f t="shared" si="163"/>
        <v>0</v>
      </c>
      <c r="BI172" s="70">
        <f t="shared" si="164"/>
        <v>0</v>
      </c>
      <c r="BJ172" s="70">
        <f t="shared" si="165"/>
        <v>0</v>
      </c>
      <c r="BK172" s="70"/>
      <c r="BL172" s="70"/>
      <c r="BW172" s="70">
        <v>21</v>
      </c>
    </row>
    <row r="173" spans="1:75" ht="13.5" customHeight="1">
      <c r="A173" s="73" t="s">
        <v>568</v>
      </c>
      <c r="B173" s="14" t="s">
        <v>341</v>
      </c>
      <c r="C173" s="13" t="s">
        <v>342</v>
      </c>
      <c r="D173" s="13"/>
      <c r="E173" s="14" t="s">
        <v>133</v>
      </c>
      <c r="F173" s="74">
        <v>100</v>
      </c>
      <c r="G173" s="74">
        <v>0</v>
      </c>
      <c r="H173" s="74">
        <f t="shared" si="142"/>
        <v>0</v>
      </c>
      <c r="I173" s="74">
        <f t="shared" si="143"/>
        <v>0</v>
      </c>
      <c r="J173" s="74">
        <f t="shared" si="144"/>
        <v>0</v>
      </c>
      <c r="K173" s="75" t="s">
        <v>111</v>
      </c>
      <c r="Z173" s="70">
        <f t="shared" si="145"/>
        <v>0</v>
      </c>
      <c r="AB173" s="70">
        <f t="shared" si="146"/>
        <v>0</v>
      </c>
      <c r="AC173" s="70">
        <f t="shared" si="147"/>
        <v>0</v>
      </c>
      <c r="AD173" s="70">
        <f t="shared" si="148"/>
        <v>0</v>
      </c>
      <c r="AE173" s="70">
        <f t="shared" si="149"/>
        <v>0</v>
      </c>
      <c r="AF173" s="70">
        <f t="shared" si="150"/>
        <v>0</v>
      </c>
      <c r="AG173" s="70">
        <f t="shared" si="151"/>
        <v>0</v>
      </c>
      <c r="AH173" s="70">
        <f t="shared" si="152"/>
        <v>0</v>
      </c>
      <c r="AI173" s="55"/>
      <c r="AJ173" s="70">
        <f t="shared" si="153"/>
        <v>0</v>
      </c>
      <c r="AK173" s="70">
        <f t="shared" si="154"/>
        <v>0</v>
      </c>
      <c r="AL173" s="70">
        <f t="shared" si="155"/>
        <v>0</v>
      </c>
      <c r="AN173" s="70">
        <v>21</v>
      </c>
      <c r="AO173" s="70">
        <f t="shared" si="156"/>
        <v>0</v>
      </c>
      <c r="AP173" s="70">
        <f t="shared" si="157"/>
        <v>0</v>
      </c>
      <c r="AQ173" s="72" t="s">
        <v>94</v>
      </c>
      <c r="AV173" s="70">
        <f t="shared" si="158"/>
        <v>0</v>
      </c>
      <c r="AW173" s="70">
        <f t="shared" si="159"/>
        <v>0</v>
      </c>
      <c r="AX173" s="70">
        <f t="shared" si="160"/>
        <v>0</v>
      </c>
      <c r="AY173" s="72" t="s">
        <v>329</v>
      </c>
      <c r="AZ173" s="72" t="s">
        <v>330</v>
      </c>
      <c r="BA173" s="55" t="s">
        <v>101</v>
      </c>
      <c r="BC173" s="70">
        <f t="shared" si="161"/>
        <v>0</v>
      </c>
      <c r="BD173" s="70">
        <f t="shared" si="162"/>
        <v>0</v>
      </c>
      <c r="BE173" s="70">
        <v>0</v>
      </c>
      <c r="BF173" s="70">
        <f>173</f>
        <v>173</v>
      </c>
      <c r="BH173" s="70">
        <f t="shared" si="163"/>
        <v>0</v>
      </c>
      <c r="BI173" s="70">
        <f t="shared" si="164"/>
        <v>0</v>
      </c>
      <c r="BJ173" s="70">
        <f t="shared" si="165"/>
        <v>0</v>
      </c>
      <c r="BK173" s="70"/>
      <c r="BL173" s="70"/>
      <c r="BW173" s="70">
        <v>21</v>
      </c>
    </row>
    <row r="174" spans="8:10" ht="15" customHeight="1">
      <c r="H174" s="76" t="s">
        <v>569</v>
      </c>
      <c r="I174" s="76"/>
      <c r="J174" s="77">
        <f>J12+J15+J19+J22+J27+J81+J87</f>
        <v>0</v>
      </c>
    </row>
    <row r="175" ht="15" customHeight="1">
      <c r="A175" s="45" t="s">
        <v>55</v>
      </c>
    </row>
    <row r="176" spans="1:11" ht="12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</sheetData>
  <sheetProtection selectLockedCells="1" selectUnlockedCells="1"/>
  <mergeCells count="192">
    <mergeCell ref="A1:K1"/>
    <mergeCell ref="A2:B3"/>
    <mergeCell ref="C2:D3"/>
    <mergeCell ref="E2:F3"/>
    <mergeCell ref="G2:G3"/>
    <mergeCell ref="H2:H3"/>
    <mergeCell ref="I2:K3"/>
    <mergeCell ref="A4:B5"/>
    <mergeCell ref="C4:D5"/>
    <mergeCell ref="E4:F5"/>
    <mergeCell ref="G4:G5"/>
    <mergeCell ref="H4:H5"/>
    <mergeCell ref="I4:K5"/>
    <mergeCell ref="A6:B7"/>
    <mergeCell ref="C6:D7"/>
    <mergeCell ref="E6:F7"/>
    <mergeCell ref="G6:G7"/>
    <mergeCell ref="H6:H7"/>
    <mergeCell ref="I6:K7"/>
    <mergeCell ref="A8:B9"/>
    <mergeCell ref="C8:D9"/>
    <mergeCell ref="E8:F9"/>
    <mergeCell ref="G8:G9"/>
    <mergeCell ref="H8:H9"/>
    <mergeCell ref="I8:K9"/>
    <mergeCell ref="C10:D10"/>
    <mergeCell ref="H10:J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H174:I174"/>
    <mergeCell ref="A176:K176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OutlineSymbols="0" workbookViewId="0" topLeftCell="A1">
      <selection activeCell="A36" sqref="A36"/>
    </sheetView>
  </sheetViews>
  <sheetFormatPr defaultColWidth="16" defaultRowHeight="15" customHeight="1"/>
  <cols>
    <col min="1" max="1" width="12.796875" style="1" customWidth="1"/>
    <col min="2" max="2" width="18" style="1" customWidth="1"/>
    <col min="3" max="3" width="32" style="1" customWidth="1"/>
    <col min="4" max="4" width="14" style="1" customWidth="1"/>
    <col min="5" max="5" width="19.59765625" style="1" customWidth="1"/>
    <col min="6" max="6" width="32" style="1" customWidth="1"/>
    <col min="7" max="7" width="12.796875" style="1" customWidth="1"/>
    <col min="8" max="8" width="24" style="1" customWidth="1"/>
    <col min="9" max="9" width="32" style="1" customWidth="1"/>
    <col min="10" max="16384" width="17" style="0" customWidth="1"/>
  </cols>
  <sheetData>
    <row r="1" spans="1:9" ht="54.75" customHeight="1">
      <c r="A1" s="2" t="s">
        <v>570</v>
      </c>
      <c r="B1" s="2"/>
      <c r="C1" s="2"/>
      <c r="D1" s="2"/>
      <c r="E1" s="2"/>
      <c r="F1" s="2"/>
      <c r="G1" s="2"/>
      <c r="H1" s="2"/>
      <c r="I1" s="2"/>
    </row>
    <row r="2" spans="1:9" ht="15" customHeight="1">
      <c r="A2" s="3" t="s">
        <v>1</v>
      </c>
      <c r="B2" s="3"/>
      <c r="C2" s="4">
        <f>'Stavební rozpočet'!C2</f>
        <v>0</v>
      </c>
      <c r="D2" s="4"/>
      <c r="E2" s="5" t="s">
        <v>2</v>
      </c>
      <c r="F2" s="5">
        <f>'Stavební rozpočet'!I2</f>
        <v>0</v>
      </c>
      <c r="G2" s="5"/>
      <c r="H2" s="5" t="s">
        <v>3</v>
      </c>
      <c r="I2" s="6"/>
    </row>
    <row r="3" spans="1:9" ht="15" customHeight="1">
      <c r="A3" s="3"/>
      <c r="B3" s="3"/>
      <c r="C3" s="4"/>
      <c r="D3" s="4"/>
      <c r="E3" s="5"/>
      <c r="F3" s="5"/>
      <c r="G3" s="5"/>
      <c r="H3" s="5"/>
      <c r="I3" s="6"/>
    </row>
    <row r="4" spans="1:9" ht="15" customHeight="1">
      <c r="A4" s="7" t="s">
        <v>4</v>
      </c>
      <c r="B4" s="7"/>
      <c r="C4" s="8">
        <f>'Stavební rozpočet'!C4</f>
        <v>0</v>
      </c>
      <c r="D4" s="8"/>
      <c r="E4" s="8" t="s">
        <v>5</v>
      </c>
      <c r="F4" s="8">
        <f>'Stavební rozpočet'!I4</f>
        <v>0</v>
      </c>
      <c r="G4" s="8"/>
      <c r="H4" s="8" t="s">
        <v>3</v>
      </c>
      <c r="I4" s="9"/>
    </row>
    <row r="5" spans="1:9" ht="15" customHeight="1">
      <c r="A5" s="7"/>
      <c r="B5" s="7"/>
      <c r="C5" s="8"/>
      <c r="D5" s="8"/>
      <c r="E5" s="8"/>
      <c r="F5" s="8"/>
      <c r="G5" s="8"/>
      <c r="H5" s="8"/>
      <c r="I5" s="9"/>
    </row>
    <row r="6" spans="1:9" ht="15" customHeight="1">
      <c r="A6" s="7" t="s">
        <v>6</v>
      </c>
      <c r="B6" s="7"/>
      <c r="C6" s="8">
        <f>'Stavební rozpočet'!C6</f>
        <v>0</v>
      </c>
      <c r="D6" s="8"/>
      <c r="E6" s="8" t="s">
        <v>7</v>
      </c>
      <c r="F6" s="8">
        <f>'Stavební rozpočet'!I6</f>
        <v>0</v>
      </c>
      <c r="G6" s="8"/>
      <c r="H6" s="8" t="s">
        <v>3</v>
      </c>
      <c r="I6" s="9"/>
    </row>
    <row r="7" spans="1:9" ht="15" customHeight="1">
      <c r="A7" s="7"/>
      <c r="B7" s="7"/>
      <c r="C7" s="8"/>
      <c r="D7" s="8"/>
      <c r="E7" s="8"/>
      <c r="F7" s="8"/>
      <c r="G7" s="8"/>
      <c r="H7" s="8"/>
      <c r="I7" s="9"/>
    </row>
    <row r="8" spans="1:9" ht="15" customHeight="1">
      <c r="A8" s="7" t="s">
        <v>8</v>
      </c>
      <c r="B8" s="7"/>
      <c r="C8" s="8">
        <f>'Stavební rozpočet'!G4</f>
        <v>0</v>
      </c>
      <c r="D8" s="8"/>
      <c r="E8" s="8" t="s">
        <v>9</v>
      </c>
      <c r="F8" s="8">
        <f>'Stavební rozpočet'!G6</f>
        <v>0</v>
      </c>
      <c r="G8" s="8"/>
      <c r="H8" s="10" t="s">
        <v>10</v>
      </c>
      <c r="I8" s="11">
        <v>155</v>
      </c>
    </row>
    <row r="9" spans="1:9" ht="15" customHeight="1">
      <c r="A9" s="7"/>
      <c r="B9" s="7"/>
      <c r="C9" s="8"/>
      <c r="D9" s="8"/>
      <c r="E9" s="8"/>
      <c r="F9" s="8"/>
      <c r="G9" s="8"/>
      <c r="H9" s="10"/>
      <c r="I9" s="11"/>
    </row>
    <row r="10" spans="1:9" ht="15" customHeight="1">
      <c r="A10" s="12" t="s">
        <v>11</v>
      </c>
      <c r="B10" s="12"/>
      <c r="C10" s="13">
        <f>'Stavební rozpočet'!C8</f>
        <v>0</v>
      </c>
      <c r="D10" s="13"/>
      <c r="E10" s="13" t="s">
        <v>12</v>
      </c>
      <c r="F10" s="13">
        <f>'Stavební rozpočet'!I8</f>
        <v>0</v>
      </c>
      <c r="G10" s="13"/>
      <c r="H10" s="14" t="s">
        <v>13</v>
      </c>
      <c r="I10" s="15">
        <f>'Stavební rozpočet'!G8</f>
        <v>0</v>
      </c>
    </row>
    <row r="11" spans="1:9" ht="15" customHeight="1">
      <c r="A11" s="12"/>
      <c r="B11" s="12"/>
      <c r="C11" s="13"/>
      <c r="D11" s="13"/>
      <c r="E11" s="13"/>
      <c r="F11" s="13"/>
      <c r="G11" s="13"/>
      <c r="H11" s="14"/>
      <c r="I11" s="15"/>
    </row>
    <row r="13" spans="1:5" ht="15.75" customHeight="1">
      <c r="A13" s="78" t="s">
        <v>571</v>
      </c>
      <c r="B13" s="78"/>
      <c r="C13" s="78"/>
      <c r="D13" s="78"/>
      <c r="E13" s="78"/>
    </row>
    <row r="14" spans="1:9" ht="15" customHeight="1">
      <c r="A14" s="79" t="s">
        <v>572</v>
      </c>
      <c r="B14" s="79"/>
      <c r="C14" s="79"/>
      <c r="D14" s="79"/>
      <c r="E14" s="79"/>
      <c r="F14" s="80" t="s">
        <v>573</v>
      </c>
      <c r="G14" s="80" t="s">
        <v>574</v>
      </c>
      <c r="H14" s="80" t="s">
        <v>575</v>
      </c>
      <c r="I14" s="80" t="s">
        <v>573</v>
      </c>
    </row>
    <row r="15" spans="1:9" ht="15" customHeight="1">
      <c r="A15" s="81" t="s">
        <v>23</v>
      </c>
      <c r="B15" s="81"/>
      <c r="C15" s="81"/>
      <c r="D15" s="81"/>
      <c r="E15" s="81"/>
      <c r="F15" s="82"/>
      <c r="G15" s="83">
        <v>1</v>
      </c>
      <c r="H15" s="83">
        <f>'Krycí list rozpočtu'!C22</f>
        <v>0</v>
      </c>
      <c r="I15" s="83">
        <f aca="true" t="shared" si="0" ref="I15:I17">ROUND((G15/100)*H15,2)</f>
        <v>0</v>
      </c>
    </row>
    <row r="16" spans="1:9" ht="15" customHeight="1">
      <c r="A16" s="81" t="s">
        <v>26</v>
      </c>
      <c r="B16" s="81"/>
      <c r="C16" s="81"/>
      <c r="D16" s="81"/>
      <c r="E16" s="81"/>
      <c r="F16" s="82"/>
      <c r="G16" s="83">
        <v>5</v>
      </c>
      <c r="H16" s="83">
        <f>'Krycí list rozpočtu'!C22</f>
        <v>0</v>
      </c>
      <c r="I16" s="83">
        <f t="shared" si="0"/>
        <v>0</v>
      </c>
    </row>
    <row r="17" spans="1:9" ht="15" customHeight="1">
      <c r="A17" s="84" t="s">
        <v>29</v>
      </c>
      <c r="B17" s="84"/>
      <c r="C17" s="84"/>
      <c r="D17" s="84"/>
      <c r="E17" s="84"/>
      <c r="F17" s="9"/>
      <c r="G17" s="85">
        <v>1.5</v>
      </c>
      <c r="H17" s="85">
        <f>'Krycí list rozpočtu'!C22</f>
        <v>0</v>
      </c>
      <c r="I17" s="85">
        <f t="shared" si="0"/>
        <v>0</v>
      </c>
    </row>
    <row r="18" spans="1:9" ht="15" customHeight="1">
      <c r="A18" s="86" t="s">
        <v>576</v>
      </c>
      <c r="B18" s="86"/>
      <c r="C18" s="86"/>
      <c r="D18" s="86"/>
      <c r="E18" s="86"/>
      <c r="F18" s="87"/>
      <c r="G18" s="88"/>
      <c r="H18" s="88"/>
      <c r="I18" s="89">
        <f>SUM(I15:I17)</f>
        <v>0</v>
      </c>
    </row>
    <row r="20" spans="1:9" ht="15" customHeight="1">
      <c r="A20" s="79" t="s">
        <v>20</v>
      </c>
      <c r="B20" s="79"/>
      <c r="C20" s="79"/>
      <c r="D20" s="79"/>
      <c r="E20" s="79"/>
      <c r="F20" s="80" t="s">
        <v>573</v>
      </c>
      <c r="G20" s="80" t="s">
        <v>574</v>
      </c>
      <c r="H20" s="80" t="s">
        <v>575</v>
      </c>
      <c r="I20" s="80" t="s">
        <v>573</v>
      </c>
    </row>
    <row r="21" spans="1:9" ht="15" customHeight="1">
      <c r="A21" s="81" t="s">
        <v>24</v>
      </c>
      <c r="B21" s="81"/>
      <c r="C21" s="81"/>
      <c r="D21" s="81"/>
      <c r="E21" s="81"/>
      <c r="F21" s="82"/>
      <c r="G21" s="83">
        <v>2</v>
      </c>
      <c r="H21" s="83">
        <f>'Krycí list rozpočtu'!C22</f>
        <v>0</v>
      </c>
      <c r="I21" s="83">
        <f>ROUND((G21/100)*H21,2)</f>
        <v>0</v>
      </c>
    </row>
    <row r="22" spans="1:9" ht="15" customHeight="1">
      <c r="A22" s="81" t="s">
        <v>27</v>
      </c>
      <c r="B22" s="81"/>
      <c r="C22" s="81"/>
      <c r="D22" s="81"/>
      <c r="E22" s="81"/>
      <c r="F22" s="83">
        <v>0</v>
      </c>
      <c r="G22" s="82"/>
      <c r="H22" s="82"/>
      <c r="I22" s="83">
        <f aca="true" t="shared" si="1" ref="I22:I26">F22</f>
        <v>0</v>
      </c>
    </row>
    <row r="23" spans="1:9" ht="15" customHeight="1">
      <c r="A23" s="81" t="s">
        <v>30</v>
      </c>
      <c r="B23" s="81"/>
      <c r="C23" s="81"/>
      <c r="D23" s="81"/>
      <c r="E23" s="81"/>
      <c r="F23" s="83">
        <v>0</v>
      </c>
      <c r="G23" s="82"/>
      <c r="H23" s="82"/>
      <c r="I23" s="83">
        <f t="shared" si="1"/>
        <v>0</v>
      </c>
    </row>
    <row r="24" spans="1:9" ht="15" customHeight="1">
      <c r="A24" s="81" t="s">
        <v>31</v>
      </c>
      <c r="B24" s="81"/>
      <c r="C24" s="81"/>
      <c r="D24" s="81"/>
      <c r="E24" s="81"/>
      <c r="F24" s="83">
        <v>0</v>
      </c>
      <c r="G24" s="82"/>
      <c r="H24" s="82"/>
      <c r="I24" s="83">
        <f t="shared" si="1"/>
        <v>0</v>
      </c>
    </row>
    <row r="25" spans="1:9" ht="15" customHeight="1">
      <c r="A25" s="81" t="s">
        <v>33</v>
      </c>
      <c r="B25" s="81"/>
      <c r="C25" s="81"/>
      <c r="D25" s="81"/>
      <c r="E25" s="81"/>
      <c r="F25" s="83">
        <v>0</v>
      </c>
      <c r="G25" s="82"/>
      <c r="H25" s="82"/>
      <c r="I25" s="83">
        <f t="shared" si="1"/>
        <v>0</v>
      </c>
    </row>
    <row r="26" spans="1:9" ht="15" customHeight="1">
      <c r="A26" s="84" t="s">
        <v>34</v>
      </c>
      <c r="B26" s="84"/>
      <c r="C26" s="84"/>
      <c r="D26" s="84"/>
      <c r="E26" s="84"/>
      <c r="F26" s="85">
        <v>0</v>
      </c>
      <c r="G26" s="9"/>
      <c r="H26" s="9"/>
      <c r="I26" s="85">
        <f t="shared" si="1"/>
        <v>0</v>
      </c>
    </row>
    <row r="27" spans="1:9" ht="15" customHeight="1">
      <c r="A27" s="86" t="s">
        <v>577</v>
      </c>
      <c r="B27" s="86"/>
      <c r="C27" s="86"/>
      <c r="D27" s="86"/>
      <c r="E27" s="86"/>
      <c r="F27" s="87"/>
      <c r="G27" s="88"/>
      <c r="H27" s="88"/>
      <c r="I27" s="89">
        <f>SUM(I21:I26)</f>
        <v>0</v>
      </c>
    </row>
    <row r="29" spans="1:9" ht="15.75" customHeight="1">
      <c r="A29" s="90" t="s">
        <v>578</v>
      </c>
      <c r="B29" s="90"/>
      <c r="C29" s="90"/>
      <c r="D29" s="90"/>
      <c r="E29" s="90"/>
      <c r="F29" s="91">
        <f>I18+I27</f>
        <v>0</v>
      </c>
      <c r="G29" s="91"/>
      <c r="H29" s="91"/>
      <c r="I29" s="91"/>
    </row>
    <row r="33" spans="1:5" ht="15.75" customHeight="1">
      <c r="A33" s="78" t="s">
        <v>579</v>
      </c>
      <c r="B33" s="78"/>
      <c r="C33" s="78"/>
      <c r="D33" s="78"/>
      <c r="E33" s="78"/>
    </row>
    <row r="34" spans="1:9" ht="15" customHeight="1">
      <c r="A34" s="79" t="s">
        <v>580</v>
      </c>
      <c r="B34" s="79"/>
      <c r="C34" s="79"/>
      <c r="D34" s="79"/>
      <c r="E34" s="79"/>
      <c r="F34" s="80" t="s">
        <v>573</v>
      </c>
      <c r="G34" s="80" t="s">
        <v>574</v>
      </c>
      <c r="H34" s="80" t="s">
        <v>575</v>
      </c>
      <c r="I34" s="80" t="s">
        <v>573</v>
      </c>
    </row>
    <row r="35" spans="1:9" ht="15" customHeight="1">
      <c r="A35" s="84"/>
      <c r="B35" s="84"/>
      <c r="C35" s="84"/>
      <c r="D35" s="84"/>
      <c r="E35" s="84"/>
      <c r="F35" s="85">
        <v>0</v>
      </c>
      <c r="G35" s="9"/>
      <c r="H35" s="9"/>
      <c r="I35" s="85">
        <f>F35</f>
        <v>0</v>
      </c>
    </row>
    <row r="36" spans="1:9" ht="15" customHeight="1">
      <c r="A36" s="86" t="s">
        <v>581</v>
      </c>
      <c r="B36" s="86"/>
      <c r="C36" s="86"/>
      <c r="D36" s="86"/>
      <c r="E36" s="86"/>
      <c r="F36" s="87"/>
      <c r="G36" s="88"/>
      <c r="H36" s="88"/>
      <c r="I36" s="89">
        <f>SUM(I35:I35)</f>
        <v>0</v>
      </c>
    </row>
  </sheetData>
  <sheetProtection selectLockedCells="1" selectUnlockedCells="1"/>
  <mergeCells count="51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3:E13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25:E25"/>
    <mergeCell ref="A26:E26"/>
    <mergeCell ref="A27:E27"/>
    <mergeCell ref="A29:E29"/>
    <mergeCell ref="F29:I29"/>
    <mergeCell ref="A33:E33"/>
    <mergeCell ref="A34:E34"/>
    <mergeCell ref="A35:E35"/>
    <mergeCell ref="A36:E36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/>
  <dcterms:created xsi:type="dcterms:W3CDTF">2021-06-10T20:06:38Z</dcterms:created>
  <dcterms:modified xsi:type="dcterms:W3CDTF">2024-03-14T07:42:05Z</dcterms:modified>
  <cp:category/>
  <cp:version/>
  <cp:contentType/>
  <cp:contentStatus/>
  <cp:revision>1</cp:revision>
</cp:coreProperties>
</file>