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<sst xmlns="http://schemas.openxmlformats.org/spreadsheetml/2006/main" count="678" uniqueCount="274">
  <si>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</si>
  <si>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</si>
  <si>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</si>
  <si>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</si>
  <si>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</si>
  <si>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</si>
  <si>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</si>
  <si>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</si>
  <si>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</si>
  <si>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</si>
  <si>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</si>
  <si>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</si>
  <si>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</si>
  <si>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</si>
  <si>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</si>
  <si>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</si>
  <si>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</si>
  <si>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</si>
  <si>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</si>
  <si>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</si>
  <si>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</si>
  <si>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</si>
  <si>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</si>
  <si>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</si>
  <si>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</si>
  <si>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</si>
  <si>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</si>
  <si>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</si>
  <si>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</si>
  <si>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</si>
  <si>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</si>
  <si>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</si>
  <si>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</si>
  <si>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</si>
  <si>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</si>
  <si>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</si>
  <si>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</si>
  <si>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</si>
  <si>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</si>
  <si>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</si>
  <si>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</si>
  <si>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</si>
  <si>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</si>
  <si>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</si>
  <si>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</si>
  <si>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</si>
  <si>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</si>
  <si>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</si>
  <si>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</si>
  <si>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Poznámka:</t>
  </si>
  <si>
    <t>Kód</t>
  </si>
  <si>
    <t>113107610R00</t>
  </si>
  <si>
    <t>113201011RAC</t>
  </si>
  <si>
    <t>113201014RAC</t>
  </si>
  <si>
    <t>112100103RA0</t>
  </si>
  <si>
    <t>122101102T00</t>
  </si>
  <si>
    <t>162701105R00</t>
  </si>
  <si>
    <t>162701101R00</t>
  </si>
  <si>
    <t>174100010RA0</t>
  </si>
  <si>
    <t>181006111R00</t>
  </si>
  <si>
    <t>181201102R00</t>
  </si>
  <si>
    <t>45</t>
  </si>
  <si>
    <t>451577877R00</t>
  </si>
  <si>
    <t>583320401</t>
  </si>
  <si>
    <t>56</t>
  </si>
  <si>
    <t>564851111R00</t>
  </si>
  <si>
    <t>564861111R00</t>
  </si>
  <si>
    <t>59</t>
  </si>
  <si>
    <t>596215021T00</t>
  </si>
  <si>
    <t>59245020</t>
  </si>
  <si>
    <t>59245040</t>
  </si>
  <si>
    <t>596215041T00</t>
  </si>
  <si>
    <t>711</t>
  </si>
  <si>
    <t>711132311T00</t>
  </si>
  <si>
    <t>28323136</t>
  </si>
  <si>
    <t>91</t>
  </si>
  <si>
    <t>914001125R00</t>
  </si>
  <si>
    <t>40445200</t>
  </si>
  <si>
    <t>40445039.A</t>
  </si>
  <si>
    <t>40445047.A</t>
  </si>
  <si>
    <t>914501111R00</t>
  </si>
  <si>
    <t>404459504</t>
  </si>
  <si>
    <t>916531111RT7</t>
  </si>
  <si>
    <t>59217337</t>
  </si>
  <si>
    <t>59217010</t>
  </si>
  <si>
    <t>919735112R00</t>
  </si>
  <si>
    <t>96</t>
  </si>
  <si>
    <t>966006131R00</t>
  </si>
  <si>
    <t>H22</t>
  </si>
  <si>
    <t>998225111R00</t>
  </si>
  <si>
    <t>S</t>
  </si>
  <si>
    <t>979087212R00</t>
  </si>
  <si>
    <t>979082213R00</t>
  </si>
  <si>
    <t>979990112R00</t>
  </si>
  <si>
    <t>03VRN</t>
  </si>
  <si>
    <t>030001VRN</t>
  </si>
  <si>
    <t>07VRN</t>
  </si>
  <si>
    <t>070001VRN</t>
  </si>
  <si>
    <t>Oprava chodníku ul. Karlova v úseku od komunikace Čsl. letců po nemocnici ve Varnsdorfu</t>
  </si>
  <si>
    <t>oprava chodníku</t>
  </si>
  <si>
    <t>ul. Karlova, Varnsdorf</t>
  </si>
  <si>
    <t>Zkrácený popis</t>
  </si>
  <si>
    <t>Rozměry</t>
  </si>
  <si>
    <t>Přípravné a přidružené práce</t>
  </si>
  <si>
    <t>Odstranění podkladu nad 50 m2,kam.drcené tl.10 cm</t>
  </si>
  <si>
    <t>Vytrhání obrubníků silničních</t>
  </si>
  <si>
    <t>Vytrhání obrubníků zahradních</t>
  </si>
  <si>
    <t>Odkopávky a prokopávky</t>
  </si>
  <si>
    <t>Odkopávky nezapažené v hor. 2 do 1000 m3</t>
  </si>
  <si>
    <t>Přemístění výkopku</t>
  </si>
  <si>
    <t>Vodorovné přemístění výkopku z hor.1-4 do 10000 m</t>
  </si>
  <si>
    <t>Vodorovné přemístění výkopku z hor.1-4 do 6000 m</t>
  </si>
  <si>
    <t>Konstrukce ze zemin</t>
  </si>
  <si>
    <t>Zásyp jam, rýh a šachet sypaninou</t>
  </si>
  <si>
    <t>Povrchové úpravy terénu</t>
  </si>
  <si>
    <t>Rozprostření zemin v rov./sklonu 1:5, tl. do 10 cm</t>
  </si>
  <si>
    <t>Úprava pláně v násypech v hor. 1-4, se zhutněním</t>
  </si>
  <si>
    <t>Podkladní a vedlejší konstrukce (kromě vozovek a železničního svršku)</t>
  </si>
  <si>
    <t>Podklad pod dlažbu komunik.ze štěrkopís.tl.do 10cm</t>
  </si>
  <si>
    <t>Kamenivo těžené 0/4</t>
  </si>
  <si>
    <t>Podkladní vrstvy komunikací, letišť a ploch</t>
  </si>
  <si>
    <t>Podklad ze štěrkodrti po zhutnění tloušťky 15 cm</t>
  </si>
  <si>
    <t>Podklad ze štěrkodrti po zhutnění tloušťky 20 cm</t>
  </si>
  <si>
    <t>Kryty pozemních komunikací, letišť a ploch dlážděných (předlažby)</t>
  </si>
  <si>
    <t>Kladení zámkové dlažby tl. 60 mm do drtě tl. 40 mm</t>
  </si>
  <si>
    <t>Dlažba zámková přírodní 200/100/60</t>
  </si>
  <si>
    <t>Dlažba zámková SLP s vodicí linií černá 200/200/60</t>
  </si>
  <si>
    <t>Kladení zámkové dlažby tl. 80 mm do drtě tl. 50 mm</t>
  </si>
  <si>
    <t>Dlažba zámková SLP s vodicí linií černá 196/161/80</t>
  </si>
  <si>
    <t>Dlažba zámková černá 200/100/80</t>
  </si>
  <si>
    <t>Izolace proti vodě</t>
  </si>
  <si>
    <t>Provedení izolace nopovou fólií , svisle, včetně uchycení</t>
  </si>
  <si>
    <t>Fólie nopová s výškou nopů 8 mm</t>
  </si>
  <si>
    <t>Doplňující konstrukce a práce na pozemních komunikacích a zpevněných plochách</t>
  </si>
  <si>
    <t>Osazení svislé dopr.značky na sloupek nebo konzolu</t>
  </si>
  <si>
    <t>Značka dopr.výstr. A1-A30 700mm,pozink.ref.tř.1</t>
  </si>
  <si>
    <t>Značka dopr inf IP 1a,b-3 500/500 fól 1, HIG10letá</t>
  </si>
  <si>
    <t>Značka dopr inf IP 8a-9 500/700 fól1, EG 7letá</t>
  </si>
  <si>
    <t>Montáž trub.nástavce na sloupek svislé dopr.značky</t>
  </si>
  <si>
    <t>Sloupek Fe pr.60 pozinkovaný, l= 3500 mm</t>
  </si>
  <si>
    <t>Osazení zahradního obrubníků do lože z C12/15 s opěrou</t>
  </si>
  <si>
    <t>Obrubník zahradní 500x50x250 mm</t>
  </si>
  <si>
    <t>Osazení silničního obrubníků do lože z C12/15</t>
  </si>
  <si>
    <t>Obrubník silniční betonový 150x250x1000 mm</t>
  </si>
  <si>
    <t>Osazení silničního nájezdového obrubníků do lože z C12/15</t>
  </si>
  <si>
    <t>Obrubník silniční nájezdový betonový 150x250x1000 mm</t>
  </si>
  <si>
    <t>Řezání stávajícího živičného krytu tl. 5 - 10 cm</t>
  </si>
  <si>
    <t>Bourání konstrukcí</t>
  </si>
  <si>
    <t>Odstranění doprav. značek se sloupky, uklínovanými</t>
  </si>
  <si>
    <t>Komunikace pozemní a letiště</t>
  </si>
  <si>
    <t>Přesun hmot, pozemní komunikace</t>
  </si>
  <si>
    <t>Přesuny sutí</t>
  </si>
  <si>
    <t>Nakládání suti na dopravní prostředky - komunikace</t>
  </si>
  <si>
    <t>Vodorovná doprava suti po suchu do 1 km</t>
  </si>
  <si>
    <t>Poplatek za uložení suti - obal. kamenivo, asfalt, skupina odpadu 170302</t>
  </si>
  <si>
    <t>VORN - Vedlejší a ostatní rozpočtové náklady</t>
  </si>
  <si>
    <t>Zařízení staveniště</t>
  </si>
  <si>
    <t>Provozní vlivy</t>
  </si>
  <si>
    <t>Doba výstavby:</t>
  </si>
  <si>
    <t>Začátek výstavby:</t>
  </si>
  <si>
    <t>Konec výstavby:</t>
  </si>
  <si>
    <t>Zpracováno dne:</t>
  </si>
  <si>
    <t>24.05.2023</t>
  </si>
  <si>
    <t>MJ</t>
  </si>
  <si>
    <t>m2</t>
  </si>
  <si>
    <t>m</t>
  </si>
  <si>
    <t>kus</t>
  </si>
  <si>
    <t>m3</t>
  </si>
  <si>
    <t>t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</si>
  <si>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</si>
  <si>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</si>
  <si>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</si>
  <si>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</si>
  <si>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</si>
  <si>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</si>
  <si>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</si>
  <si>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</si>
  <si>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</si>
  <si>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</si>
  <si>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</si>
  <si>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</si>
  <si>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</si>
  <si>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</si>
  <si>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</si>
  <si>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</si>
  <si>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</si>
  <si>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</si>
  <si>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</si>
  <si>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</si>
  <si>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</si>
  <si>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</si>
  <si>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</si>
  <si>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</si>
  <si>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</si>
  <si>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99</t>
  </si>
  <si>
    <t>11_</t>
  </si>
  <si>
    <t>12_</t>
  </si>
  <si>
    <t>16_</t>
  </si>
  <si>
    <t>17_</t>
  </si>
  <si>
    <t>18_</t>
  </si>
  <si>
    <t>45_</t>
  </si>
  <si>
    <t>56_</t>
  </si>
  <si>
    <t>59_</t>
  </si>
  <si>
    <t>711_</t>
  </si>
  <si>
    <t>91_</t>
  </si>
  <si>
    <t>96_</t>
  </si>
  <si>
    <t>H22_</t>
  </si>
  <si>
    <t>S_</t>
  </si>
  <si>
    <t>03VRN_</t>
  </si>
  <si>
    <t>07VRN_</t>
  </si>
  <si>
    <t>1_</t>
  </si>
  <si>
    <t>4_</t>
  </si>
  <si>
    <t>5_</t>
  </si>
  <si>
    <t>71_</t>
  </si>
  <si>
    <t>9_</t>
  </si>
  <si>
    <t> 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</si>
  <si>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</si>
  <si>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</si>
  <si>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</si>
  <si>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</si>
  <si>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</si>
  <si>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</si>
  <si>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</si>
  <si>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</si>
  <si>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</si>
  <si>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</si>
  <si>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</si>
  <si>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</si>
  <si>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</si>
  <si>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</si>
  <si>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F</t>
  </si>
  <si>
    <t>Výkaz výměr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</si>
  <si>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</si>
  <si>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</si>
  <si>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</si>
  <si>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</si>
  <si>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</si>
  <si>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</si>
  <si>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</si>
  <si>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</si>
  <si>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</si>
  <si>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</si>
  <si>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</si>
  <si>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</si>
  <si>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</si>
  <si>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</si>
  <si>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</si>
  <si>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</si>
  <si>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</si>
  <si>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</si>
  <si>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</si>
  <si>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</si>
  <si>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</si>
  <si>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</si>
  <si>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</si>
  <si>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</si>
  <si>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</si>
  <si>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</si>
  <si>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</si>
  <si>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</si>
  <si>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</si>
  <si>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</si>
  <si>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</si>
  <si>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</si>
  <si>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</si>
  <si>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</si>
  <si>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</si>
  <si>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</si>
  <si>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</si>
  <si>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</si>
  <si>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</si>
  <si>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</si>
  <si>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</si>
  <si>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Odstranění pařezů 20-50 cm,odklizení,úprava terénu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</si>
</sst>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8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8" xfId="0" applyNumberFormat="1" applyFont="1" applyFill="1" applyBorder="1" applyAlignment="1" applyProtection="1">
      <alignment horizontal="right" vertical="center"/>
      <protection/>
    </xf>
    <xf numFmtId="49" fontId="12" fillId="0" borderId="38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" fontId="11" fillId="34" borderId="43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1" fillId="34" borderId="42" xfId="0" applyNumberFormat="1" applyFont="1" applyFill="1" applyBorder="1" applyAlignment="1" applyProtection="1">
      <alignment horizontal="left" vertical="center"/>
      <protection/>
    </xf>
    <xf numFmtId="0" fontId="11" fillId="34" borderId="56" xfId="0" applyNumberFormat="1" applyFont="1" applyFill="1" applyBorder="1" applyAlignment="1" applyProtection="1">
      <alignment horizontal="left" vertical="center"/>
      <protection/>
    </xf>
    <xf numFmtId="49" fontId="12" fillId="0" borderId="57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58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2" sqref="A72:M72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59.57421875" style="0" customWidth="1"/>
    <col min="5" max="6" width="11.57421875" style="0" customWidth="1"/>
    <col min="7" max="7" width="6.710937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4" ht="12.75">
      <c r="A2" s="112" t="s">
        <v>1</v>
      </c>
      <c r="B2" s="113"/>
      <c r="C2" s="114" t="s">
        <v>98</v>
      </c>
      <c r="D2" s="83"/>
      <c r="E2" s="116" t="s">
        <v>158</v>
      </c>
      <c r="F2" s="113"/>
      <c r="G2" s="116" t="s">
        <v>6</v>
      </c>
      <c r="H2" s="113"/>
      <c r="I2" s="117" t="s">
        <v>171</v>
      </c>
      <c r="J2" s="116" t="s">
        <v>177</v>
      </c>
      <c r="K2" s="113"/>
      <c r="L2" s="113"/>
      <c r="M2" s="118"/>
      <c r="N2" s="36"/>
    </row>
    <row r="3" spans="1:14" ht="12.75">
      <c r="A3" s="109"/>
      <c r="B3" s="85"/>
      <c r="C3" s="115"/>
      <c r="D3" s="115"/>
      <c r="E3" s="85"/>
      <c r="F3" s="85"/>
      <c r="G3" s="85"/>
      <c r="H3" s="85"/>
      <c r="I3" s="85"/>
      <c r="J3" s="85"/>
      <c r="K3" s="85"/>
      <c r="L3" s="85"/>
      <c r="M3" s="107"/>
      <c r="N3" s="36"/>
    </row>
    <row r="4" spans="1:14" ht="12.75">
      <c r="A4" s="103" t="s">
        <v>2</v>
      </c>
      <c r="B4" s="85"/>
      <c r="C4" s="84" t="s">
        <v>99</v>
      </c>
      <c r="D4" s="85"/>
      <c r="E4" s="106" t="s">
        <v>159</v>
      </c>
      <c r="F4" s="85"/>
      <c r="G4" s="106" t="s">
        <v>6</v>
      </c>
      <c r="H4" s="85"/>
      <c r="I4" s="84" t="s">
        <v>172</v>
      </c>
      <c r="J4" s="106" t="s">
        <v>177</v>
      </c>
      <c r="K4" s="85"/>
      <c r="L4" s="85"/>
      <c r="M4" s="107"/>
      <c r="N4" s="36"/>
    </row>
    <row r="5" spans="1:14" ht="12.75">
      <c r="A5" s="109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107"/>
      <c r="N5" s="36"/>
    </row>
    <row r="6" spans="1:14" ht="12.75">
      <c r="A6" s="103" t="s">
        <v>3</v>
      </c>
      <c r="B6" s="85"/>
      <c r="C6" s="84" t="s">
        <v>100</v>
      </c>
      <c r="D6" s="85"/>
      <c r="E6" s="106" t="s">
        <v>160</v>
      </c>
      <c r="F6" s="85"/>
      <c r="G6" s="106" t="s">
        <v>6</v>
      </c>
      <c r="H6" s="85"/>
      <c r="I6" s="84" t="s">
        <v>173</v>
      </c>
      <c r="J6" s="106" t="s">
        <v>177</v>
      </c>
      <c r="K6" s="85"/>
      <c r="L6" s="85"/>
      <c r="M6" s="107"/>
      <c r="N6" s="36"/>
    </row>
    <row r="7" spans="1:14" ht="12.75">
      <c r="A7" s="10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107"/>
      <c r="N7" s="36"/>
    </row>
    <row r="8" spans="1:14" ht="12.75">
      <c r="A8" s="103" t="s">
        <v>4</v>
      </c>
      <c r="B8" s="85"/>
      <c r="C8" s="84" t="s">
        <v>6</v>
      </c>
      <c r="D8" s="85"/>
      <c r="E8" s="106" t="s">
        <v>161</v>
      </c>
      <c r="F8" s="85"/>
      <c r="G8" s="106" t="s">
        <v>162</v>
      </c>
      <c r="H8" s="85"/>
      <c r="I8" s="84" t="s">
        <v>174</v>
      </c>
      <c r="J8" s="106" t="s">
        <v>177</v>
      </c>
      <c r="K8" s="85"/>
      <c r="L8" s="85"/>
      <c r="M8" s="107"/>
      <c r="N8" s="36"/>
    </row>
    <row r="9" spans="1:14" ht="12.7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8"/>
      <c r="N9" s="36"/>
    </row>
    <row r="10" spans="1:64" ht="12.75">
      <c r="A10" s="1" t="s">
        <v>5</v>
      </c>
      <c r="B10" s="10" t="s">
        <v>50</v>
      </c>
      <c r="C10" s="92" t="s">
        <v>101</v>
      </c>
      <c r="D10" s="93"/>
      <c r="E10" s="93"/>
      <c r="F10" s="94"/>
      <c r="G10" s="10" t="s">
        <v>163</v>
      </c>
      <c r="H10" s="20" t="s">
        <v>170</v>
      </c>
      <c r="I10" s="24" t="s">
        <v>175</v>
      </c>
      <c r="J10" s="95" t="s">
        <v>178</v>
      </c>
      <c r="K10" s="96"/>
      <c r="L10" s="97"/>
      <c r="M10" s="29" t="s">
        <v>183</v>
      </c>
      <c r="N10" s="37"/>
      <c r="BK10" s="38" t="s">
        <v>220</v>
      </c>
      <c r="BL10" s="43" t="s">
        <v>223</v>
      </c>
    </row>
    <row r="11" spans="1:62" ht="12.75">
      <c r="A11" s="2" t="s">
        <v>6</v>
      </c>
      <c r="B11" s="11" t="s">
        <v>6</v>
      </c>
      <c r="C11" s="98" t="s">
        <v>102</v>
      </c>
      <c r="D11" s="99"/>
      <c r="E11" s="99"/>
      <c r="F11" s="100"/>
      <c r="G11" s="11" t="s">
        <v>6</v>
      </c>
      <c r="H11" s="11" t="s">
        <v>6</v>
      </c>
      <c r="I11" s="25" t="s">
        <v>176</v>
      </c>
      <c r="J11" s="26" t="s">
        <v>179</v>
      </c>
      <c r="K11" s="27" t="s">
        <v>181</v>
      </c>
      <c r="L11" s="28" t="s">
        <v>182</v>
      </c>
      <c r="M11" s="30" t="s">
        <v>184</v>
      </c>
      <c r="N11" s="37"/>
      <c r="Z11" s="38" t="s">
        <v>185</v>
      </c>
      <c r="AA11" s="38" t="s">
        <v>186</v>
      </c>
      <c r="AB11" s="38" t="s">
        <v>187</v>
      </c>
      <c r="AC11" s="38" t="s">
        <v>188</v>
      </c>
      <c r="AD11" s="38" t="s">
        <v>189</v>
      </c>
      <c r="AE11" s="38" t="s">
        <v>190</v>
      </c>
      <c r="AF11" s="38" t="s">
        <v>191</v>
      </c>
      <c r="AG11" s="38" t="s">
        <v>192</v>
      </c>
      <c r="AH11" s="38" t="s">
        <v>193</v>
      </c>
      <c r="BH11" s="38" t="s">
        <v>217</v>
      </c>
      <c r="BI11" s="38" t="s">
        <v>218</v>
      </c>
      <c r="BJ11" s="38" t="s">
        <v>219</v>
      </c>
    </row>
    <row r="12" spans="1:47" ht="12.75">
      <c r="A12" s="3"/>
      <c r="B12" s="12" t="s">
        <v>17</v>
      </c>
      <c r="C12" s="101" t="s">
        <v>103</v>
      </c>
      <c r="D12" s="102"/>
      <c r="E12" s="102"/>
      <c r="F12" s="102"/>
      <c r="G12" s="18" t="s">
        <v>6</v>
      </c>
      <c r="H12" s="18" t="s">
        <v>6</v>
      </c>
      <c r="I12" s="18" t="s">
        <v>6</v>
      </c>
      <c r="J12" s="44">
        <f>SUM(J13:J16)</f>
        <v>0</v>
      </c>
      <c r="K12" s="44">
        <f>SUM(K13:K16)</f>
        <v>0</v>
      </c>
      <c r="L12" s="44">
        <f>SUM(L13:L16)</f>
        <v>0</v>
      </c>
      <c r="M12" s="31"/>
      <c r="N12" s="36"/>
      <c r="AI12" s="38"/>
      <c r="AS12" s="45">
        <f>SUM(AJ13:AJ16)</f>
        <v>0</v>
      </c>
      <c r="AT12" s="45">
        <f>SUM(AK13:AK16)</f>
        <v>0</v>
      </c>
      <c r="AU12" s="45">
        <f>SUM(AL13:AL16)</f>
        <v>0</v>
      </c>
    </row>
    <row r="13" spans="1:64" ht="12.75">
      <c r="A13" s="4" t="s">
        <v>7</v>
      </c>
      <c r="B13" s="13" t="s">
        <v>51</v>
      </c>
      <c r="C13" s="86" t="s">
        <v>104</v>
      </c>
      <c r="D13" s="87"/>
      <c r="E13" s="87"/>
      <c r="F13" s="87"/>
      <c r="G13" s="13" t="s">
        <v>164</v>
      </c>
      <c r="H13" s="21">
        <v>1184.25</v>
      </c>
      <c r="I13" s="21">
        <v>0</v>
      </c>
      <c r="J13" s="21">
        <f>H13*AO13</f>
        <v>0</v>
      </c>
      <c r="K13" s="21">
        <f>H13*AP13</f>
        <v>0</v>
      </c>
      <c r="L13" s="21">
        <f>H13*I13</f>
        <v>0</v>
      </c>
      <c r="M13" s="32"/>
      <c r="N13" s="36"/>
      <c r="Z13" s="39">
        <f>IF(AQ13="5",BJ13,0)</f>
        <v>0</v>
      </c>
      <c r="AB13" s="39">
        <f>IF(AQ13="1",BH13,0)</f>
        <v>0</v>
      </c>
      <c r="AC13" s="39">
        <f>IF(AQ13="1",BI13,0)</f>
        <v>0</v>
      </c>
      <c r="AD13" s="39">
        <f>IF(AQ13="7",BH13,0)</f>
        <v>0</v>
      </c>
      <c r="AE13" s="39">
        <f>IF(AQ13="7",BI13,0)</f>
        <v>0</v>
      </c>
      <c r="AF13" s="39">
        <f>IF(AQ13="2",BH13,0)</f>
        <v>0</v>
      </c>
      <c r="AG13" s="39">
        <f>IF(AQ13="2",BI13,0)</f>
        <v>0</v>
      </c>
      <c r="AH13" s="39">
        <f>IF(AQ13="0",BJ13,0)</f>
        <v>0</v>
      </c>
      <c r="AI13" s="38"/>
      <c r="AJ13" s="21">
        <f>IF(AN13=0,L13,0)</f>
        <v>0</v>
      </c>
      <c r="AK13" s="21">
        <f>IF(AN13=15,L13,0)</f>
        <v>0</v>
      </c>
      <c r="AL13" s="21">
        <f>IF(AN13=21,L13,0)</f>
        <v>0</v>
      </c>
      <c r="AN13" s="39">
        <v>21</v>
      </c>
      <c r="AO13" s="39">
        <f>I13*0</f>
        <v>0</v>
      </c>
      <c r="AP13" s="39">
        <f>I13*(1-0)</f>
        <v>0</v>
      </c>
      <c r="AQ13" s="40" t="s">
        <v>7</v>
      </c>
      <c r="AV13" s="39">
        <f>AW13+AX13</f>
        <v>0</v>
      </c>
      <c r="AW13" s="39">
        <f>H13*AO13</f>
        <v>0</v>
      </c>
      <c r="AX13" s="39">
        <f>H13*AP13</f>
        <v>0</v>
      </c>
      <c r="AY13" s="42" t="s">
        <v>195</v>
      </c>
      <c r="AZ13" s="42" t="s">
        <v>210</v>
      </c>
      <c r="BA13" s="38" t="s">
        <v>216</v>
      </c>
      <c r="BC13" s="39">
        <f>AW13+AX13</f>
        <v>0</v>
      </c>
      <c r="BD13" s="39">
        <f>I13/(100-BE13)*100</f>
        <v>0</v>
      </c>
      <c r="BE13" s="39">
        <v>0</v>
      </c>
      <c r="BF13" s="39">
        <f>13</f>
        <v>13</v>
      </c>
      <c r="BH13" s="21">
        <f>H13*AO13</f>
        <v>0</v>
      </c>
      <c r="BI13" s="21">
        <f>H13*AP13</f>
        <v>0</v>
      </c>
      <c r="BJ13" s="21">
        <f>H13*I13</f>
        <v>0</v>
      </c>
      <c r="BK13" s="21" t="s">
        <v>221</v>
      </c>
      <c r="BL13" s="39">
        <v>11</v>
      </c>
    </row>
    <row r="14" spans="1:64" ht="12.75">
      <c r="A14" s="4" t="s">
        <v>8</v>
      </c>
      <c r="B14" s="13" t="s">
        <v>52</v>
      </c>
      <c r="C14" s="86" t="s">
        <v>105</v>
      </c>
      <c r="D14" s="87"/>
      <c r="E14" s="87"/>
      <c r="F14" s="87"/>
      <c r="G14" s="13" t="s">
        <v>165</v>
      </c>
      <c r="H14" s="21">
        <v>789.5</v>
      </c>
      <c r="I14" s="21">
        <v>0</v>
      </c>
      <c r="J14" s="21">
        <f>H14*AO14</f>
        <v>0</v>
      </c>
      <c r="K14" s="21">
        <f>H14*AP14</f>
        <v>0</v>
      </c>
      <c r="L14" s="21">
        <f>H14*I14</f>
        <v>0</v>
      </c>
      <c r="M14" s="32"/>
      <c r="N14" s="36"/>
      <c r="Z14" s="39">
        <f>IF(AQ14="5",BJ14,0)</f>
        <v>0</v>
      </c>
      <c r="AB14" s="39">
        <f>IF(AQ14="1",BH14,0)</f>
        <v>0</v>
      </c>
      <c r="AC14" s="39">
        <f>IF(AQ14="1",BI14,0)</f>
        <v>0</v>
      </c>
      <c r="AD14" s="39">
        <f>IF(AQ14="7",BH14,0)</f>
        <v>0</v>
      </c>
      <c r="AE14" s="39">
        <f>IF(AQ14="7",BI14,0)</f>
        <v>0</v>
      </c>
      <c r="AF14" s="39">
        <f>IF(AQ14="2",BH14,0)</f>
        <v>0</v>
      </c>
      <c r="AG14" s="39">
        <f>IF(AQ14="2",BI14,0)</f>
        <v>0</v>
      </c>
      <c r="AH14" s="39">
        <f>IF(AQ14="0",BJ14,0)</f>
        <v>0</v>
      </c>
      <c r="AI14" s="38"/>
      <c r="AJ14" s="21">
        <f>IF(AN14=0,L14,0)</f>
        <v>0</v>
      </c>
      <c r="AK14" s="21">
        <f>IF(AN14=15,L14,0)</f>
        <v>0</v>
      </c>
      <c r="AL14" s="21">
        <f>IF(AN14=21,L14,0)</f>
        <v>0</v>
      </c>
      <c r="AN14" s="39">
        <v>21</v>
      </c>
      <c r="AO14" s="39">
        <f>I14*0</f>
        <v>0</v>
      </c>
      <c r="AP14" s="39">
        <f>I14*(1-0)</f>
        <v>0</v>
      </c>
      <c r="AQ14" s="40" t="s">
        <v>7</v>
      </c>
      <c r="AV14" s="39">
        <f>AW14+AX14</f>
        <v>0</v>
      </c>
      <c r="AW14" s="39">
        <f>H14*AO14</f>
        <v>0</v>
      </c>
      <c r="AX14" s="39">
        <f>H14*AP14</f>
        <v>0</v>
      </c>
      <c r="AY14" s="42" t="s">
        <v>195</v>
      </c>
      <c r="AZ14" s="42" t="s">
        <v>210</v>
      </c>
      <c r="BA14" s="38" t="s">
        <v>216</v>
      </c>
      <c r="BC14" s="39">
        <f>AW14+AX14</f>
        <v>0</v>
      </c>
      <c r="BD14" s="39">
        <f>I14/(100-BE14)*100</f>
        <v>0</v>
      </c>
      <c r="BE14" s="39">
        <v>0</v>
      </c>
      <c r="BF14" s="39">
        <f>14</f>
        <v>14</v>
      </c>
      <c r="BH14" s="21">
        <f>H14*AO14</f>
        <v>0</v>
      </c>
      <c r="BI14" s="21">
        <f>H14*AP14</f>
        <v>0</v>
      </c>
      <c r="BJ14" s="21">
        <f>H14*I14</f>
        <v>0</v>
      </c>
      <c r="BK14" s="21" t="s">
        <v>221</v>
      </c>
      <c r="BL14" s="39">
        <v>11</v>
      </c>
    </row>
    <row r="15" spans="1:64" ht="12.75">
      <c r="A15" s="4" t="s">
        <v>9</v>
      </c>
      <c r="B15" s="13" t="s">
        <v>53</v>
      </c>
      <c r="C15" s="86" t="s">
        <v>106</v>
      </c>
      <c r="D15" s="87"/>
      <c r="E15" s="87"/>
      <c r="F15" s="87"/>
      <c r="G15" s="13" t="s">
        <v>165</v>
      </c>
      <c r="H15" s="21">
        <v>400</v>
      </c>
      <c r="I15" s="21">
        <v>0</v>
      </c>
      <c r="J15" s="21">
        <f>H15*AO15</f>
        <v>0</v>
      </c>
      <c r="K15" s="21">
        <f>H15*AP15</f>
        <v>0</v>
      </c>
      <c r="L15" s="21">
        <f>H15*I15</f>
        <v>0</v>
      </c>
      <c r="M15" s="32"/>
      <c r="N15" s="36"/>
      <c r="Z15" s="39">
        <f>IF(AQ15="5",BJ15,0)</f>
        <v>0</v>
      </c>
      <c r="AB15" s="39">
        <f>IF(AQ15="1",BH15,0)</f>
        <v>0</v>
      </c>
      <c r="AC15" s="39">
        <f>IF(AQ15="1",BI15,0)</f>
        <v>0</v>
      </c>
      <c r="AD15" s="39">
        <f>IF(AQ15="7",BH15,0)</f>
        <v>0</v>
      </c>
      <c r="AE15" s="39">
        <f>IF(AQ15="7",BI15,0)</f>
        <v>0</v>
      </c>
      <c r="AF15" s="39">
        <f>IF(AQ15="2",BH15,0)</f>
        <v>0</v>
      </c>
      <c r="AG15" s="39">
        <f>IF(AQ15="2",BI15,0)</f>
        <v>0</v>
      </c>
      <c r="AH15" s="39">
        <f>IF(AQ15="0",BJ15,0)</f>
        <v>0</v>
      </c>
      <c r="AI15" s="38"/>
      <c r="AJ15" s="21">
        <f>IF(AN15=0,L15,0)</f>
        <v>0</v>
      </c>
      <c r="AK15" s="21">
        <f>IF(AN15=15,L15,0)</f>
        <v>0</v>
      </c>
      <c r="AL15" s="21">
        <f>IF(AN15=21,L15,0)</f>
        <v>0</v>
      </c>
      <c r="AN15" s="39">
        <v>21</v>
      </c>
      <c r="AO15" s="39">
        <f>I15*0</f>
        <v>0</v>
      </c>
      <c r="AP15" s="39">
        <f>I15*(1-0)</f>
        <v>0</v>
      </c>
      <c r="AQ15" s="40" t="s">
        <v>7</v>
      </c>
      <c r="AV15" s="39">
        <f>AW15+AX15</f>
        <v>0</v>
      </c>
      <c r="AW15" s="39">
        <f>H15*AO15</f>
        <v>0</v>
      </c>
      <c r="AX15" s="39">
        <f>H15*AP15</f>
        <v>0</v>
      </c>
      <c r="AY15" s="42" t="s">
        <v>195</v>
      </c>
      <c r="AZ15" s="42" t="s">
        <v>210</v>
      </c>
      <c r="BA15" s="38" t="s">
        <v>216</v>
      </c>
      <c r="BC15" s="39">
        <f>AW15+AX15</f>
        <v>0</v>
      </c>
      <c r="BD15" s="39">
        <f>I15/(100-BE15)*100</f>
        <v>0</v>
      </c>
      <c r="BE15" s="39">
        <v>0</v>
      </c>
      <c r="BF15" s="39">
        <f>15</f>
        <v>15</v>
      </c>
      <c r="BH15" s="21">
        <f>H15*AO15</f>
        <v>0</v>
      </c>
      <c r="BI15" s="21">
        <f>H15*AP15</f>
        <v>0</v>
      </c>
      <c r="BJ15" s="21">
        <f>H15*I15</f>
        <v>0</v>
      </c>
      <c r="BK15" s="21" t="s">
        <v>221</v>
      </c>
      <c r="BL15" s="39">
        <v>11</v>
      </c>
    </row>
    <row r="16" spans="1:64" ht="12.75">
      <c r="A16" s="4" t="s">
        <v>10</v>
      </c>
      <c r="B16" s="13" t="s">
        <v>54</v>
      </c>
      <c r="C16" s="86" t="s">
        <v>273</v>
      </c>
      <c r="D16" s="87"/>
      <c r="E16" s="87"/>
      <c r="F16" s="87"/>
      <c r="G16" s="13" t="s">
        <v>166</v>
      </c>
      <c r="H16" s="21">
        <v>8</v>
      </c>
      <c r="I16" s="21">
        <v>0</v>
      </c>
      <c r="J16" s="21">
        <f>H16*AO16</f>
        <v>0</v>
      </c>
      <c r="K16" s="21">
        <f>H16*AP16</f>
        <v>0</v>
      </c>
      <c r="L16" s="21">
        <f>H16*I16</f>
        <v>0</v>
      </c>
      <c r="M16" s="32"/>
      <c r="N16" s="36"/>
      <c r="Z16" s="39">
        <f>IF(AQ16="5",BJ16,0)</f>
        <v>0</v>
      </c>
      <c r="AB16" s="39">
        <f>IF(AQ16="1",BH16,0)</f>
        <v>0</v>
      </c>
      <c r="AC16" s="39">
        <f>IF(AQ16="1",BI16,0)</f>
        <v>0</v>
      </c>
      <c r="AD16" s="39">
        <f>IF(AQ16="7",BH16,0)</f>
        <v>0</v>
      </c>
      <c r="AE16" s="39">
        <f>IF(AQ16="7",BI16,0)</f>
        <v>0</v>
      </c>
      <c r="AF16" s="39">
        <f>IF(AQ16="2",BH16,0)</f>
        <v>0</v>
      </c>
      <c r="AG16" s="39">
        <f>IF(AQ16="2",BI16,0)</f>
        <v>0</v>
      </c>
      <c r="AH16" s="39">
        <f>IF(AQ16="0",BJ16,0)</f>
        <v>0</v>
      </c>
      <c r="AI16" s="38"/>
      <c r="AJ16" s="21">
        <f>IF(AN16=0,L16,0)</f>
        <v>0</v>
      </c>
      <c r="AK16" s="21">
        <f>IF(AN16=15,L16,0)</f>
        <v>0</v>
      </c>
      <c r="AL16" s="21">
        <f>IF(AN16=21,L16,0)</f>
        <v>0</v>
      </c>
      <c r="AN16" s="39">
        <v>21</v>
      </c>
      <c r="AO16" s="39">
        <f>I16*0</f>
        <v>0</v>
      </c>
      <c r="AP16" s="39">
        <f>I16*(1-0)</f>
        <v>0</v>
      </c>
      <c r="AQ16" s="40" t="s">
        <v>7</v>
      </c>
      <c r="AV16" s="39">
        <f>AW16+AX16</f>
        <v>0</v>
      </c>
      <c r="AW16" s="39">
        <f>H16*AO16</f>
        <v>0</v>
      </c>
      <c r="AX16" s="39">
        <f>H16*AP16</f>
        <v>0</v>
      </c>
      <c r="AY16" s="42" t="s">
        <v>195</v>
      </c>
      <c r="AZ16" s="42" t="s">
        <v>210</v>
      </c>
      <c r="BA16" s="38" t="s">
        <v>216</v>
      </c>
      <c r="BC16" s="39">
        <f>AW16+AX16</f>
        <v>0</v>
      </c>
      <c r="BD16" s="39">
        <f>I16/(100-BE16)*100</f>
        <v>0</v>
      </c>
      <c r="BE16" s="39">
        <v>0</v>
      </c>
      <c r="BF16" s="39">
        <f>16</f>
        <v>16</v>
      </c>
      <c r="BH16" s="21">
        <f>H16*AO16</f>
        <v>0</v>
      </c>
      <c r="BI16" s="21">
        <f>H16*AP16</f>
        <v>0</v>
      </c>
      <c r="BJ16" s="21">
        <f>H16*I16</f>
        <v>0</v>
      </c>
      <c r="BK16" s="21" t="s">
        <v>221</v>
      </c>
      <c r="BL16" s="39">
        <v>11</v>
      </c>
    </row>
    <row r="17" spans="1:47" ht="12.75">
      <c r="A17" s="5"/>
      <c r="B17" s="14" t="s">
        <v>18</v>
      </c>
      <c r="C17" s="88" t="s">
        <v>107</v>
      </c>
      <c r="D17" s="89"/>
      <c r="E17" s="89"/>
      <c r="F17" s="89"/>
      <c r="G17" s="19" t="s">
        <v>6</v>
      </c>
      <c r="H17" s="19" t="s">
        <v>6</v>
      </c>
      <c r="I17" s="19" t="s">
        <v>6</v>
      </c>
      <c r="J17" s="45">
        <f>SUM(J18:J18)</f>
        <v>0</v>
      </c>
      <c r="K17" s="45">
        <f>SUM(K18:K18)</f>
        <v>0</v>
      </c>
      <c r="L17" s="45">
        <f>SUM(L18:L18)</f>
        <v>0</v>
      </c>
      <c r="M17" s="33"/>
      <c r="N17" s="36"/>
      <c r="AI17" s="38"/>
      <c r="AS17" s="45">
        <f>SUM(AJ18:AJ18)</f>
        <v>0</v>
      </c>
      <c r="AT17" s="45">
        <f>SUM(AK18:AK18)</f>
        <v>0</v>
      </c>
      <c r="AU17" s="45">
        <f>SUM(AL18:AL18)</f>
        <v>0</v>
      </c>
    </row>
    <row r="18" spans="1:64" ht="12.75">
      <c r="A18" s="4" t="s">
        <v>11</v>
      </c>
      <c r="B18" s="13" t="s">
        <v>55</v>
      </c>
      <c r="C18" s="86" t="s">
        <v>108</v>
      </c>
      <c r="D18" s="87"/>
      <c r="E18" s="87"/>
      <c r="F18" s="87"/>
      <c r="G18" s="13" t="s">
        <v>167</v>
      </c>
      <c r="H18" s="21">
        <v>355.35</v>
      </c>
      <c r="I18" s="21">
        <v>0</v>
      </c>
      <c r="J18" s="21">
        <f>H18*AO18</f>
        <v>0</v>
      </c>
      <c r="K18" s="21">
        <f>H18*AP18</f>
        <v>0</v>
      </c>
      <c r="L18" s="21">
        <f>H18*I18</f>
        <v>0</v>
      </c>
      <c r="M18" s="32"/>
      <c r="N18" s="36"/>
      <c r="Z18" s="39">
        <f>IF(AQ18="5",BJ18,0)</f>
        <v>0</v>
      </c>
      <c r="AB18" s="39">
        <f>IF(AQ18="1",BH18,0)</f>
        <v>0</v>
      </c>
      <c r="AC18" s="39">
        <f>IF(AQ18="1",BI18,0)</f>
        <v>0</v>
      </c>
      <c r="AD18" s="39">
        <f>IF(AQ18="7",BH18,0)</f>
        <v>0</v>
      </c>
      <c r="AE18" s="39">
        <f>IF(AQ18="7",BI18,0)</f>
        <v>0</v>
      </c>
      <c r="AF18" s="39">
        <f>IF(AQ18="2",BH18,0)</f>
        <v>0</v>
      </c>
      <c r="AG18" s="39">
        <f>IF(AQ18="2",BI18,0)</f>
        <v>0</v>
      </c>
      <c r="AH18" s="39">
        <f>IF(AQ18="0",BJ18,0)</f>
        <v>0</v>
      </c>
      <c r="AI18" s="38"/>
      <c r="AJ18" s="21">
        <f>IF(AN18=0,L18,0)</f>
        <v>0</v>
      </c>
      <c r="AK18" s="21">
        <f>IF(AN18=15,L18,0)</f>
        <v>0</v>
      </c>
      <c r="AL18" s="21">
        <f>IF(AN18=21,L18,0)</f>
        <v>0</v>
      </c>
      <c r="AN18" s="39">
        <v>21</v>
      </c>
      <c r="AO18" s="39">
        <f>I18*0</f>
        <v>0</v>
      </c>
      <c r="AP18" s="39">
        <f>I18*(1-0)</f>
        <v>0</v>
      </c>
      <c r="AQ18" s="40" t="s">
        <v>7</v>
      </c>
      <c r="AV18" s="39">
        <f>AW18+AX18</f>
        <v>0</v>
      </c>
      <c r="AW18" s="39">
        <f>H18*AO18</f>
        <v>0</v>
      </c>
      <c r="AX18" s="39">
        <f>H18*AP18</f>
        <v>0</v>
      </c>
      <c r="AY18" s="42" t="s">
        <v>196</v>
      </c>
      <c r="AZ18" s="42" t="s">
        <v>210</v>
      </c>
      <c r="BA18" s="38" t="s">
        <v>216</v>
      </c>
      <c r="BC18" s="39">
        <f>AW18+AX18</f>
        <v>0</v>
      </c>
      <c r="BD18" s="39">
        <f>I18/(100-BE18)*100</f>
        <v>0</v>
      </c>
      <c r="BE18" s="39">
        <v>0</v>
      </c>
      <c r="BF18" s="39">
        <f>18</f>
        <v>18</v>
      </c>
      <c r="BH18" s="21">
        <f>H18*AO18</f>
        <v>0</v>
      </c>
      <c r="BI18" s="21">
        <f>H18*AP18</f>
        <v>0</v>
      </c>
      <c r="BJ18" s="21">
        <f>H18*I18</f>
        <v>0</v>
      </c>
      <c r="BK18" s="21" t="s">
        <v>221</v>
      </c>
      <c r="BL18" s="39">
        <v>12</v>
      </c>
    </row>
    <row r="19" spans="1:47" ht="12.75">
      <c r="A19" s="5"/>
      <c r="B19" s="14" t="s">
        <v>22</v>
      </c>
      <c r="C19" s="88" t="s">
        <v>109</v>
      </c>
      <c r="D19" s="89"/>
      <c r="E19" s="89"/>
      <c r="F19" s="89"/>
      <c r="G19" s="19" t="s">
        <v>6</v>
      </c>
      <c r="H19" s="19" t="s">
        <v>6</v>
      </c>
      <c r="I19" s="19" t="s">
        <v>6</v>
      </c>
      <c r="J19" s="45">
        <f>SUM(J20:J21)</f>
        <v>0</v>
      </c>
      <c r="K19" s="45">
        <f>SUM(K20:K21)</f>
        <v>0</v>
      </c>
      <c r="L19" s="45">
        <f>SUM(L20:L21)</f>
        <v>0</v>
      </c>
      <c r="M19" s="33"/>
      <c r="N19" s="36"/>
      <c r="AI19" s="38"/>
      <c r="AS19" s="45">
        <f>SUM(AJ20:AJ21)</f>
        <v>0</v>
      </c>
      <c r="AT19" s="45">
        <f>SUM(AK20:AK21)</f>
        <v>0</v>
      </c>
      <c r="AU19" s="45">
        <f>SUM(AL20:AL21)</f>
        <v>0</v>
      </c>
    </row>
    <row r="20" spans="1:64" ht="12.75">
      <c r="A20" s="4" t="s">
        <v>12</v>
      </c>
      <c r="B20" s="13" t="s">
        <v>56</v>
      </c>
      <c r="C20" s="86" t="s">
        <v>110</v>
      </c>
      <c r="D20" s="87"/>
      <c r="E20" s="87"/>
      <c r="F20" s="87"/>
      <c r="G20" s="13" t="s">
        <v>167</v>
      </c>
      <c r="H20" s="21">
        <v>355.35</v>
      </c>
      <c r="I20" s="21">
        <v>0</v>
      </c>
      <c r="J20" s="21">
        <f>H20*AO20</f>
        <v>0</v>
      </c>
      <c r="K20" s="21">
        <f>H20*AP20</f>
        <v>0</v>
      </c>
      <c r="L20" s="21">
        <f>H20*I20</f>
        <v>0</v>
      </c>
      <c r="M20" s="32"/>
      <c r="N20" s="36"/>
      <c r="Z20" s="39">
        <f>IF(AQ20="5",BJ20,0)</f>
        <v>0</v>
      </c>
      <c r="AB20" s="39">
        <f>IF(AQ20="1",BH20,0)</f>
        <v>0</v>
      </c>
      <c r="AC20" s="39">
        <f>IF(AQ20="1",BI20,0)</f>
        <v>0</v>
      </c>
      <c r="AD20" s="39">
        <f>IF(AQ20="7",BH20,0)</f>
        <v>0</v>
      </c>
      <c r="AE20" s="39">
        <f>IF(AQ20="7",BI20,0)</f>
        <v>0</v>
      </c>
      <c r="AF20" s="39">
        <f>IF(AQ20="2",BH20,0)</f>
        <v>0</v>
      </c>
      <c r="AG20" s="39">
        <f>IF(AQ20="2",BI20,0)</f>
        <v>0</v>
      </c>
      <c r="AH20" s="39">
        <f>IF(AQ20="0",BJ20,0)</f>
        <v>0</v>
      </c>
      <c r="AI20" s="38"/>
      <c r="AJ20" s="21">
        <f>IF(AN20=0,L20,0)</f>
        <v>0</v>
      </c>
      <c r="AK20" s="21">
        <f>IF(AN20=15,L20,0)</f>
        <v>0</v>
      </c>
      <c r="AL20" s="21">
        <f>IF(AN20=21,L20,0)</f>
        <v>0</v>
      </c>
      <c r="AN20" s="39">
        <v>21</v>
      </c>
      <c r="AO20" s="39">
        <f>I20*0</f>
        <v>0</v>
      </c>
      <c r="AP20" s="39">
        <f>I20*(1-0)</f>
        <v>0</v>
      </c>
      <c r="AQ20" s="40" t="s">
        <v>7</v>
      </c>
      <c r="AV20" s="39">
        <f>AW20+AX20</f>
        <v>0</v>
      </c>
      <c r="AW20" s="39">
        <f>H20*AO20</f>
        <v>0</v>
      </c>
      <c r="AX20" s="39">
        <f>H20*AP20</f>
        <v>0</v>
      </c>
      <c r="AY20" s="42" t="s">
        <v>197</v>
      </c>
      <c r="AZ20" s="42" t="s">
        <v>210</v>
      </c>
      <c r="BA20" s="38" t="s">
        <v>216</v>
      </c>
      <c r="BC20" s="39">
        <f>AW20+AX20</f>
        <v>0</v>
      </c>
      <c r="BD20" s="39">
        <f>I20/(100-BE20)*100</f>
        <v>0</v>
      </c>
      <c r="BE20" s="39">
        <v>0</v>
      </c>
      <c r="BF20" s="39">
        <f>20</f>
        <v>20</v>
      </c>
      <c r="BH20" s="21">
        <f>H20*AO20</f>
        <v>0</v>
      </c>
      <c r="BI20" s="21">
        <f>H20*AP20</f>
        <v>0</v>
      </c>
      <c r="BJ20" s="21">
        <f>H20*I20</f>
        <v>0</v>
      </c>
      <c r="BK20" s="21" t="s">
        <v>221</v>
      </c>
      <c r="BL20" s="39">
        <v>16</v>
      </c>
    </row>
    <row r="21" spans="1:64" ht="12.75">
      <c r="A21" s="4" t="s">
        <v>13</v>
      </c>
      <c r="B21" s="13" t="s">
        <v>57</v>
      </c>
      <c r="C21" s="86" t="s">
        <v>111</v>
      </c>
      <c r="D21" s="87"/>
      <c r="E21" s="87"/>
      <c r="F21" s="87"/>
      <c r="G21" s="13" t="s">
        <v>167</v>
      </c>
      <c r="H21" s="21">
        <v>355.35</v>
      </c>
      <c r="I21" s="21">
        <v>0</v>
      </c>
      <c r="J21" s="21">
        <f>H21*AO21</f>
        <v>0</v>
      </c>
      <c r="K21" s="21">
        <f>H21*AP21</f>
        <v>0</v>
      </c>
      <c r="L21" s="21">
        <f>H21*I21</f>
        <v>0</v>
      </c>
      <c r="M21" s="32"/>
      <c r="N21" s="36"/>
      <c r="Z21" s="39">
        <f>IF(AQ21="5",BJ21,0)</f>
        <v>0</v>
      </c>
      <c r="AB21" s="39">
        <f>IF(AQ21="1",BH21,0)</f>
        <v>0</v>
      </c>
      <c r="AC21" s="39">
        <f>IF(AQ21="1",BI21,0)</f>
        <v>0</v>
      </c>
      <c r="AD21" s="39">
        <f>IF(AQ21="7",BH21,0)</f>
        <v>0</v>
      </c>
      <c r="AE21" s="39">
        <f>IF(AQ21="7",BI21,0)</f>
        <v>0</v>
      </c>
      <c r="AF21" s="39">
        <f>IF(AQ21="2",BH21,0)</f>
        <v>0</v>
      </c>
      <c r="AG21" s="39">
        <f>IF(AQ21="2",BI21,0)</f>
        <v>0</v>
      </c>
      <c r="AH21" s="39">
        <f>IF(AQ21="0",BJ21,0)</f>
        <v>0</v>
      </c>
      <c r="AI21" s="38"/>
      <c r="AJ21" s="21">
        <f>IF(AN21=0,L21,0)</f>
        <v>0</v>
      </c>
      <c r="AK21" s="21">
        <f>IF(AN21=15,L21,0)</f>
        <v>0</v>
      </c>
      <c r="AL21" s="21">
        <f>IF(AN21=21,L21,0)</f>
        <v>0</v>
      </c>
      <c r="AN21" s="39">
        <v>21</v>
      </c>
      <c r="AO21" s="39">
        <f>I21*0</f>
        <v>0</v>
      </c>
      <c r="AP21" s="39">
        <f>I21*(1-0)</f>
        <v>0</v>
      </c>
      <c r="AQ21" s="40" t="s">
        <v>7</v>
      </c>
      <c r="AV21" s="39">
        <f>AW21+AX21</f>
        <v>0</v>
      </c>
      <c r="AW21" s="39">
        <f>H21*AO21</f>
        <v>0</v>
      </c>
      <c r="AX21" s="39">
        <f>H21*AP21</f>
        <v>0</v>
      </c>
      <c r="AY21" s="42" t="s">
        <v>197</v>
      </c>
      <c r="AZ21" s="42" t="s">
        <v>210</v>
      </c>
      <c r="BA21" s="38" t="s">
        <v>216</v>
      </c>
      <c r="BC21" s="39">
        <f>AW21+AX21</f>
        <v>0</v>
      </c>
      <c r="BD21" s="39">
        <f>I21/(100-BE21)*100</f>
        <v>0</v>
      </c>
      <c r="BE21" s="39">
        <v>0</v>
      </c>
      <c r="BF21" s="39">
        <f>21</f>
        <v>21</v>
      </c>
      <c r="BH21" s="21">
        <f>H21*AO21</f>
        <v>0</v>
      </c>
      <c r="BI21" s="21">
        <f>H21*AP21</f>
        <v>0</v>
      </c>
      <c r="BJ21" s="21">
        <f>H21*I21</f>
        <v>0</v>
      </c>
      <c r="BK21" s="21" t="s">
        <v>221</v>
      </c>
      <c r="BL21" s="39">
        <v>16</v>
      </c>
    </row>
    <row r="22" spans="1:47" ht="12.75">
      <c r="A22" s="5"/>
      <c r="B22" s="14" t="s">
        <v>23</v>
      </c>
      <c r="C22" s="88" t="s">
        <v>112</v>
      </c>
      <c r="D22" s="89"/>
      <c r="E22" s="89"/>
      <c r="F22" s="89"/>
      <c r="G22" s="19" t="s">
        <v>6</v>
      </c>
      <c r="H22" s="19" t="s">
        <v>6</v>
      </c>
      <c r="I22" s="19" t="s">
        <v>6</v>
      </c>
      <c r="J22" s="45">
        <f>SUM(J23:J23)</f>
        <v>0</v>
      </c>
      <c r="K22" s="45">
        <f>SUM(K23:K23)</f>
        <v>0</v>
      </c>
      <c r="L22" s="45">
        <f>SUM(L23:L23)</f>
        <v>0</v>
      </c>
      <c r="M22" s="33"/>
      <c r="N22" s="36"/>
      <c r="AI22" s="38"/>
      <c r="AS22" s="45">
        <f>SUM(AJ23:AJ23)</f>
        <v>0</v>
      </c>
      <c r="AT22" s="45">
        <f>SUM(AK23:AK23)</f>
        <v>0</v>
      </c>
      <c r="AU22" s="45">
        <f>SUM(AL23:AL23)</f>
        <v>0</v>
      </c>
    </row>
    <row r="23" spans="1:64" ht="12.75">
      <c r="A23" s="4" t="s">
        <v>14</v>
      </c>
      <c r="B23" s="13" t="s">
        <v>58</v>
      </c>
      <c r="C23" s="86" t="s">
        <v>113</v>
      </c>
      <c r="D23" s="87"/>
      <c r="E23" s="87"/>
      <c r="F23" s="87"/>
      <c r="G23" s="13" t="s">
        <v>167</v>
      </c>
      <c r="H23" s="21">
        <v>355.35</v>
      </c>
      <c r="I23" s="21">
        <v>0</v>
      </c>
      <c r="J23" s="21">
        <f>H23*AO23</f>
        <v>0</v>
      </c>
      <c r="K23" s="21">
        <f>H23*AP23</f>
        <v>0</v>
      </c>
      <c r="L23" s="21">
        <f>H23*I23</f>
        <v>0</v>
      </c>
      <c r="M23" s="32"/>
      <c r="N23" s="36"/>
      <c r="Z23" s="39">
        <f>IF(AQ23="5",BJ23,0)</f>
        <v>0</v>
      </c>
      <c r="AB23" s="39">
        <f>IF(AQ23="1",BH23,0)</f>
        <v>0</v>
      </c>
      <c r="AC23" s="39">
        <f>IF(AQ23="1",BI23,0)</f>
        <v>0</v>
      </c>
      <c r="AD23" s="39">
        <f>IF(AQ23="7",BH23,0)</f>
        <v>0</v>
      </c>
      <c r="AE23" s="39">
        <f>IF(AQ23="7",BI23,0)</f>
        <v>0</v>
      </c>
      <c r="AF23" s="39">
        <f>IF(AQ23="2",BH23,0)</f>
        <v>0</v>
      </c>
      <c r="AG23" s="39">
        <f>IF(AQ23="2",BI23,0)</f>
        <v>0</v>
      </c>
      <c r="AH23" s="39">
        <f>IF(AQ23="0",BJ23,0)</f>
        <v>0</v>
      </c>
      <c r="AI23" s="38"/>
      <c r="AJ23" s="21">
        <f>IF(AN23=0,L23,0)</f>
        <v>0</v>
      </c>
      <c r="AK23" s="21">
        <f>IF(AN23=15,L23,0)</f>
        <v>0</v>
      </c>
      <c r="AL23" s="21">
        <f>IF(AN23=21,L23,0)</f>
        <v>0</v>
      </c>
      <c r="AN23" s="39">
        <v>21</v>
      </c>
      <c r="AO23" s="39">
        <f>I23*0</f>
        <v>0</v>
      </c>
      <c r="AP23" s="39">
        <f>I23*(1-0)</f>
        <v>0</v>
      </c>
      <c r="AQ23" s="40" t="s">
        <v>7</v>
      </c>
      <c r="AV23" s="39">
        <f>AW23+AX23</f>
        <v>0</v>
      </c>
      <c r="AW23" s="39">
        <f>H23*AO23</f>
        <v>0</v>
      </c>
      <c r="AX23" s="39">
        <f>H23*AP23</f>
        <v>0</v>
      </c>
      <c r="AY23" s="42" t="s">
        <v>198</v>
      </c>
      <c r="AZ23" s="42" t="s">
        <v>210</v>
      </c>
      <c r="BA23" s="38" t="s">
        <v>216</v>
      </c>
      <c r="BC23" s="39">
        <f>AW23+AX23</f>
        <v>0</v>
      </c>
      <c r="BD23" s="39">
        <f>I23/(100-BE23)*100</f>
        <v>0</v>
      </c>
      <c r="BE23" s="39">
        <v>0</v>
      </c>
      <c r="BF23" s="39">
        <f>23</f>
        <v>23</v>
      </c>
      <c r="BH23" s="21">
        <f>H23*AO23</f>
        <v>0</v>
      </c>
      <c r="BI23" s="21">
        <f>H23*AP23</f>
        <v>0</v>
      </c>
      <c r="BJ23" s="21">
        <f>H23*I23</f>
        <v>0</v>
      </c>
      <c r="BK23" s="21" t="s">
        <v>221</v>
      </c>
      <c r="BL23" s="39">
        <v>17</v>
      </c>
    </row>
    <row r="24" spans="1:47" ht="12.75">
      <c r="A24" s="5"/>
      <c r="B24" s="14" t="s">
        <v>24</v>
      </c>
      <c r="C24" s="88" t="s">
        <v>114</v>
      </c>
      <c r="D24" s="89"/>
      <c r="E24" s="89"/>
      <c r="F24" s="89"/>
      <c r="G24" s="19" t="s">
        <v>6</v>
      </c>
      <c r="H24" s="19" t="s">
        <v>6</v>
      </c>
      <c r="I24" s="19" t="s">
        <v>6</v>
      </c>
      <c r="J24" s="45">
        <f>SUM(J25:J26)</f>
        <v>0</v>
      </c>
      <c r="K24" s="45">
        <f>SUM(K25:K26)</f>
        <v>0</v>
      </c>
      <c r="L24" s="45">
        <f>SUM(L25:L26)</f>
        <v>0</v>
      </c>
      <c r="M24" s="33"/>
      <c r="N24" s="36"/>
      <c r="AI24" s="38"/>
      <c r="AS24" s="45">
        <f>SUM(AJ25:AJ26)</f>
        <v>0</v>
      </c>
      <c r="AT24" s="45">
        <f>SUM(AK25:AK26)</f>
        <v>0</v>
      </c>
      <c r="AU24" s="45">
        <f>SUM(AL25:AL26)</f>
        <v>0</v>
      </c>
    </row>
    <row r="25" spans="1:64" ht="12.75">
      <c r="A25" s="4" t="s">
        <v>15</v>
      </c>
      <c r="B25" s="13" t="s">
        <v>59</v>
      </c>
      <c r="C25" s="86" t="s">
        <v>115</v>
      </c>
      <c r="D25" s="87"/>
      <c r="E25" s="87"/>
      <c r="F25" s="87"/>
      <c r="G25" s="13" t="s">
        <v>164</v>
      </c>
      <c r="H25" s="21">
        <v>1184.25</v>
      </c>
      <c r="I25" s="21">
        <v>0</v>
      </c>
      <c r="J25" s="21">
        <f>H25*AO25</f>
        <v>0</v>
      </c>
      <c r="K25" s="21">
        <f>H25*AP25</f>
        <v>0</v>
      </c>
      <c r="L25" s="21">
        <f>H25*I25</f>
        <v>0</v>
      </c>
      <c r="M25" s="32"/>
      <c r="N25" s="36"/>
      <c r="Z25" s="39">
        <f>IF(AQ25="5",BJ25,0)</f>
        <v>0</v>
      </c>
      <c r="AB25" s="39">
        <f>IF(AQ25="1",BH25,0)</f>
        <v>0</v>
      </c>
      <c r="AC25" s="39">
        <f>IF(AQ25="1",BI25,0)</f>
        <v>0</v>
      </c>
      <c r="AD25" s="39">
        <f>IF(AQ25="7",BH25,0)</f>
        <v>0</v>
      </c>
      <c r="AE25" s="39">
        <f>IF(AQ25="7",BI25,0)</f>
        <v>0</v>
      </c>
      <c r="AF25" s="39">
        <f>IF(AQ25="2",BH25,0)</f>
        <v>0</v>
      </c>
      <c r="AG25" s="39">
        <f>IF(AQ25="2",BI25,0)</f>
        <v>0</v>
      </c>
      <c r="AH25" s="39">
        <f>IF(AQ25="0",BJ25,0)</f>
        <v>0</v>
      </c>
      <c r="AI25" s="38"/>
      <c r="AJ25" s="21">
        <f>IF(AN25=0,L25,0)</f>
        <v>0</v>
      </c>
      <c r="AK25" s="21">
        <f>IF(AN25=15,L25,0)</f>
        <v>0</v>
      </c>
      <c r="AL25" s="21">
        <f>IF(AN25=21,L25,0)</f>
        <v>0</v>
      </c>
      <c r="AN25" s="39">
        <v>21</v>
      </c>
      <c r="AO25" s="39">
        <f>I25*0</f>
        <v>0</v>
      </c>
      <c r="AP25" s="39">
        <f>I25*(1-0)</f>
        <v>0</v>
      </c>
      <c r="AQ25" s="40" t="s">
        <v>7</v>
      </c>
      <c r="AV25" s="39">
        <f>AW25+AX25</f>
        <v>0</v>
      </c>
      <c r="AW25" s="39">
        <f>H25*AO25</f>
        <v>0</v>
      </c>
      <c r="AX25" s="39">
        <f>H25*AP25</f>
        <v>0</v>
      </c>
      <c r="AY25" s="42" t="s">
        <v>199</v>
      </c>
      <c r="AZ25" s="42" t="s">
        <v>210</v>
      </c>
      <c r="BA25" s="38" t="s">
        <v>216</v>
      </c>
      <c r="BC25" s="39">
        <f>AW25+AX25</f>
        <v>0</v>
      </c>
      <c r="BD25" s="39">
        <f>I25/(100-BE25)*100</f>
        <v>0</v>
      </c>
      <c r="BE25" s="39">
        <v>0</v>
      </c>
      <c r="BF25" s="39">
        <f>25</f>
        <v>25</v>
      </c>
      <c r="BH25" s="21">
        <f>H25*AO25</f>
        <v>0</v>
      </c>
      <c r="BI25" s="21">
        <f>H25*AP25</f>
        <v>0</v>
      </c>
      <c r="BJ25" s="21">
        <f>H25*I25</f>
        <v>0</v>
      </c>
      <c r="BK25" s="21" t="s">
        <v>221</v>
      </c>
      <c r="BL25" s="39">
        <v>18</v>
      </c>
    </row>
    <row r="26" spans="1:64" ht="12.75">
      <c r="A26" s="4" t="s">
        <v>16</v>
      </c>
      <c r="B26" s="13" t="s">
        <v>60</v>
      </c>
      <c r="C26" s="86" t="s">
        <v>116</v>
      </c>
      <c r="D26" s="87"/>
      <c r="E26" s="87"/>
      <c r="F26" s="87"/>
      <c r="G26" s="13" t="s">
        <v>164</v>
      </c>
      <c r="H26" s="21">
        <v>1184.25</v>
      </c>
      <c r="I26" s="21">
        <v>0</v>
      </c>
      <c r="J26" s="21">
        <f>H26*AO26</f>
        <v>0</v>
      </c>
      <c r="K26" s="21">
        <f>H26*AP26</f>
        <v>0</v>
      </c>
      <c r="L26" s="21">
        <f>H26*I26</f>
        <v>0</v>
      </c>
      <c r="M26" s="32"/>
      <c r="N26" s="36"/>
      <c r="Z26" s="39">
        <f>IF(AQ26="5",BJ26,0)</f>
        <v>0</v>
      </c>
      <c r="AB26" s="39">
        <f>IF(AQ26="1",BH26,0)</f>
        <v>0</v>
      </c>
      <c r="AC26" s="39">
        <f>IF(AQ26="1",BI26,0)</f>
        <v>0</v>
      </c>
      <c r="AD26" s="39">
        <f>IF(AQ26="7",BH26,0)</f>
        <v>0</v>
      </c>
      <c r="AE26" s="39">
        <f>IF(AQ26="7",BI26,0)</f>
        <v>0</v>
      </c>
      <c r="AF26" s="39">
        <f>IF(AQ26="2",BH26,0)</f>
        <v>0</v>
      </c>
      <c r="AG26" s="39">
        <f>IF(AQ26="2",BI26,0)</f>
        <v>0</v>
      </c>
      <c r="AH26" s="39">
        <f>IF(AQ26="0",BJ26,0)</f>
        <v>0</v>
      </c>
      <c r="AI26" s="38"/>
      <c r="AJ26" s="21">
        <f>IF(AN26=0,L26,0)</f>
        <v>0</v>
      </c>
      <c r="AK26" s="21">
        <f>IF(AN26=15,L26,0)</f>
        <v>0</v>
      </c>
      <c r="AL26" s="21">
        <f>IF(AN26=21,L26,0)</f>
        <v>0</v>
      </c>
      <c r="AN26" s="39">
        <v>21</v>
      </c>
      <c r="AO26" s="39">
        <f>I26*0</f>
        <v>0</v>
      </c>
      <c r="AP26" s="39">
        <f>I26*(1-0)</f>
        <v>0</v>
      </c>
      <c r="AQ26" s="40" t="s">
        <v>7</v>
      </c>
      <c r="AV26" s="39">
        <f>AW26+AX26</f>
        <v>0</v>
      </c>
      <c r="AW26" s="39">
        <f>H26*AO26</f>
        <v>0</v>
      </c>
      <c r="AX26" s="39">
        <f>H26*AP26</f>
        <v>0</v>
      </c>
      <c r="AY26" s="42" t="s">
        <v>199</v>
      </c>
      <c r="AZ26" s="42" t="s">
        <v>210</v>
      </c>
      <c r="BA26" s="38" t="s">
        <v>216</v>
      </c>
      <c r="BC26" s="39">
        <f>AW26+AX26</f>
        <v>0</v>
      </c>
      <c r="BD26" s="39">
        <f>I26/(100-BE26)*100</f>
        <v>0</v>
      </c>
      <c r="BE26" s="39">
        <v>0</v>
      </c>
      <c r="BF26" s="39">
        <f>26</f>
        <v>26</v>
      </c>
      <c r="BH26" s="21">
        <f>H26*AO26</f>
        <v>0</v>
      </c>
      <c r="BI26" s="21">
        <f>H26*AP26</f>
        <v>0</v>
      </c>
      <c r="BJ26" s="21">
        <f>H26*I26</f>
        <v>0</v>
      </c>
      <c r="BK26" s="21" t="s">
        <v>221</v>
      </c>
      <c r="BL26" s="39">
        <v>18</v>
      </c>
    </row>
    <row r="27" spans="1:47" ht="12.75">
      <c r="A27" s="5"/>
      <c r="B27" s="14" t="s">
        <v>61</v>
      </c>
      <c r="C27" s="88" t="s">
        <v>117</v>
      </c>
      <c r="D27" s="89"/>
      <c r="E27" s="89"/>
      <c r="F27" s="89"/>
      <c r="G27" s="19" t="s">
        <v>6</v>
      </c>
      <c r="H27" s="19" t="s">
        <v>6</v>
      </c>
      <c r="I27" s="19" t="s">
        <v>6</v>
      </c>
      <c r="J27" s="45">
        <f>SUM(J28:J29)</f>
        <v>0</v>
      </c>
      <c r="K27" s="45">
        <f>SUM(K28:K29)</f>
        <v>0</v>
      </c>
      <c r="L27" s="45">
        <f>SUM(L28:L29)</f>
        <v>0</v>
      </c>
      <c r="M27" s="33"/>
      <c r="N27" s="36"/>
      <c r="AI27" s="38"/>
      <c r="AS27" s="45">
        <f>SUM(AJ28:AJ29)</f>
        <v>0</v>
      </c>
      <c r="AT27" s="45">
        <f>SUM(AK28:AK29)</f>
        <v>0</v>
      </c>
      <c r="AU27" s="45">
        <f>SUM(AL28:AL29)</f>
        <v>0</v>
      </c>
    </row>
    <row r="28" spans="1:64" ht="12.75">
      <c r="A28" s="4" t="s">
        <v>17</v>
      </c>
      <c r="B28" s="13" t="s">
        <v>62</v>
      </c>
      <c r="C28" s="86" t="s">
        <v>118</v>
      </c>
      <c r="D28" s="87"/>
      <c r="E28" s="87"/>
      <c r="F28" s="87"/>
      <c r="G28" s="13" t="s">
        <v>164</v>
      </c>
      <c r="H28" s="21">
        <v>1184.25</v>
      </c>
      <c r="I28" s="21">
        <v>0</v>
      </c>
      <c r="J28" s="21">
        <f>H28*AO28</f>
        <v>0</v>
      </c>
      <c r="K28" s="21">
        <f>H28*AP28</f>
        <v>0</v>
      </c>
      <c r="L28" s="21">
        <f>H28*I28</f>
        <v>0</v>
      </c>
      <c r="M28" s="32"/>
      <c r="N28" s="36"/>
      <c r="Z28" s="39">
        <f>IF(AQ28="5",BJ28,0)</f>
        <v>0</v>
      </c>
      <c r="AB28" s="39">
        <f>IF(AQ28="1",BH28,0)</f>
        <v>0</v>
      </c>
      <c r="AC28" s="39">
        <f>IF(AQ28="1",BI28,0)</f>
        <v>0</v>
      </c>
      <c r="AD28" s="39">
        <f>IF(AQ28="7",BH28,0)</f>
        <v>0</v>
      </c>
      <c r="AE28" s="39">
        <f>IF(AQ28="7",BI28,0)</f>
        <v>0</v>
      </c>
      <c r="AF28" s="39">
        <f>IF(AQ28="2",BH28,0)</f>
        <v>0</v>
      </c>
      <c r="AG28" s="39">
        <f>IF(AQ28="2",BI28,0)</f>
        <v>0</v>
      </c>
      <c r="AH28" s="39">
        <f>IF(AQ28="0",BJ28,0)</f>
        <v>0</v>
      </c>
      <c r="AI28" s="38"/>
      <c r="AJ28" s="21">
        <f>IF(AN28=0,L28,0)</f>
        <v>0</v>
      </c>
      <c r="AK28" s="21">
        <f>IF(AN28=15,L28,0)</f>
        <v>0</v>
      </c>
      <c r="AL28" s="21">
        <f>IF(AN28=21,L28,0)</f>
        <v>0</v>
      </c>
      <c r="AN28" s="39">
        <v>21</v>
      </c>
      <c r="AO28" s="39">
        <f>I28*0.700732021104719</f>
        <v>0</v>
      </c>
      <c r="AP28" s="39">
        <f>I28*(1-0.700732021104719)</f>
        <v>0</v>
      </c>
      <c r="AQ28" s="40" t="s">
        <v>7</v>
      </c>
      <c r="AV28" s="39">
        <f>AW28+AX28</f>
        <v>0</v>
      </c>
      <c r="AW28" s="39">
        <f>H28*AO28</f>
        <v>0</v>
      </c>
      <c r="AX28" s="39">
        <f>H28*AP28</f>
        <v>0</v>
      </c>
      <c r="AY28" s="42" t="s">
        <v>200</v>
      </c>
      <c r="AZ28" s="42" t="s">
        <v>211</v>
      </c>
      <c r="BA28" s="38" t="s">
        <v>216</v>
      </c>
      <c r="BC28" s="39">
        <f>AW28+AX28</f>
        <v>0</v>
      </c>
      <c r="BD28" s="39">
        <f>I28/(100-BE28)*100</f>
        <v>0</v>
      </c>
      <c r="BE28" s="39">
        <v>0</v>
      </c>
      <c r="BF28" s="39">
        <f>28</f>
        <v>28</v>
      </c>
      <c r="BH28" s="21">
        <f>H28*AO28</f>
        <v>0</v>
      </c>
      <c r="BI28" s="21">
        <f>H28*AP28</f>
        <v>0</v>
      </c>
      <c r="BJ28" s="21">
        <f>H28*I28</f>
        <v>0</v>
      </c>
      <c r="BK28" s="21" t="s">
        <v>221</v>
      </c>
      <c r="BL28" s="39">
        <v>45</v>
      </c>
    </row>
    <row r="29" spans="1:64" ht="12.75">
      <c r="A29" s="6" t="s">
        <v>18</v>
      </c>
      <c r="B29" s="15" t="s">
        <v>63</v>
      </c>
      <c r="C29" s="90" t="s">
        <v>119</v>
      </c>
      <c r="D29" s="91"/>
      <c r="E29" s="91"/>
      <c r="F29" s="91"/>
      <c r="G29" s="15" t="s">
        <v>168</v>
      </c>
      <c r="H29" s="22">
        <v>568.56</v>
      </c>
      <c r="I29" s="22">
        <v>0</v>
      </c>
      <c r="J29" s="22">
        <f>H29*AO29</f>
        <v>0</v>
      </c>
      <c r="K29" s="22">
        <f>H29*AP29</f>
        <v>0</v>
      </c>
      <c r="L29" s="22">
        <f>H29*I29</f>
        <v>0</v>
      </c>
      <c r="M29" s="34"/>
      <c r="N29" s="36"/>
      <c r="Z29" s="39">
        <f>IF(AQ29="5",BJ29,0)</f>
        <v>0</v>
      </c>
      <c r="AB29" s="39">
        <f>IF(AQ29="1",BH29,0)</f>
        <v>0</v>
      </c>
      <c r="AC29" s="39">
        <f>IF(AQ29="1",BI29,0)</f>
        <v>0</v>
      </c>
      <c r="AD29" s="39">
        <f>IF(AQ29="7",BH29,0)</f>
        <v>0</v>
      </c>
      <c r="AE29" s="39">
        <f>IF(AQ29="7",BI29,0)</f>
        <v>0</v>
      </c>
      <c r="AF29" s="39">
        <f>IF(AQ29="2",BH29,0)</f>
        <v>0</v>
      </c>
      <c r="AG29" s="39">
        <f>IF(AQ29="2",BI29,0)</f>
        <v>0</v>
      </c>
      <c r="AH29" s="39">
        <f>IF(AQ29="0",BJ29,0)</f>
        <v>0</v>
      </c>
      <c r="AI29" s="38"/>
      <c r="AJ29" s="22">
        <f>IF(AN29=0,L29,0)</f>
        <v>0</v>
      </c>
      <c r="AK29" s="22">
        <f>IF(AN29=15,L29,0)</f>
        <v>0</v>
      </c>
      <c r="AL29" s="22">
        <f>IF(AN29=21,L29,0)</f>
        <v>0</v>
      </c>
      <c r="AN29" s="39">
        <v>21</v>
      </c>
      <c r="AO29" s="39">
        <f>I29*1</f>
        <v>0</v>
      </c>
      <c r="AP29" s="39">
        <f>I29*(1-1)</f>
        <v>0</v>
      </c>
      <c r="AQ29" s="41" t="s">
        <v>7</v>
      </c>
      <c r="AV29" s="39">
        <f>AW29+AX29</f>
        <v>0</v>
      </c>
      <c r="AW29" s="39">
        <f>H29*AO29</f>
        <v>0</v>
      </c>
      <c r="AX29" s="39">
        <f>H29*AP29</f>
        <v>0</v>
      </c>
      <c r="AY29" s="42" t="s">
        <v>200</v>
      </c>
      <c r="AZ29" s="42" t="s">
        <v>211</v>
      </c>
      <c r="BA29" s="38" t="s">
        <v>216</v>
      </c>
      <c r="BC29" s="39">
        <f>AW29+AX29</f>
        <v>0</v>
      </c>
      <c r="BD29" s="39">
        <f>I29/(100-BE29)*100</f>
        <v>0</v>
      </c>
      <c r="BE29" s="39">
        <v>0</v>
      </c>
      <c r="BF29" s="39">
        <f>29</f>
        <v>29</v>
      </c>
      <c r="BH29" s="22">
        <f>H29*AO29</f>
        <v>0</v>
      </c>
      <c r="BI29" s="22">
        <f>H29*AP29</f>
        <v>0</v>
      </c>
      <c r="BJ29" s="22">
        <f>H29*I29</f>
        <v>0</v>
      </c>
      <c r="BK29" s="22" t="s">
        <v>222</v>
      </c>
      <c r="BL29" s="39">
        <v>45</v>
      </c>
    </row>
    <row r="30" spans="1:47" ht="12.75">
      <c r="A30" s="5"/>
      <c r="B30" s="14" t="s">
        <v>64</v>
      </c>
      <c r="C30" s="88" t="s">
        <v>120</v>
      </c>
      <c r="D30" s="89"/>
      <c r="E30" s="89"/>
      <c r="F30" s="89"/>
      <c r="G30" s="19" t="s">
        <v>6</v>
      </c>
      <c r="H30" s="19" t="s">
        <v>6</v>
      </c>
      <c r="I30" s="19" t="s">
        <v>6</v>
      </c>
      <c r="J30" s="45">
        <f>SUM(J31:J32)</f>
        <v>0</v>
      </c>
      <c r="K30" s="45">
        <f>SUM(K31:K32)</f>
        <v>0</v>
      </c>
      <c r="L30" s="45">
        <f>SUM(L31:L32)</f>
        <v>0</v>
      </c>
      <c r="M30" s="33"/>
      <c r="N30" s="36"/>
      <c r="AI30" s="38"/>
      <c r="AS30" s="45">
        <f>SUM(AJ31:AJ32)</f>
        <v>0</v>
      </c>
      <c r="AT30" s="45">
        <f>SUM(AK31:AK32)</f>
        <v>0</v>
      </c>
      <c r="AU30" s="45">
        <f>SUM(AL31:AL32)</f>
        <v>0</v>
      </c>
    </row>
    <row r="31" spans="1:64" ht="12.75">
      <c r="A31" s="4" t="s">
        <v>19</v>
      </c>
      <c r="B31" s="13" t="s">
        <v>65</v>
      </c>
      <c r="C31" s="86" t="s">
        <v>121</v>
      </c>
      <c r="D31" s="87"/>
      <c r="E31" s="87"/>
      <c r="F31" s="87"/>
      <c r="G31" s="13" t="s">
        <v>164</v>
      </c>
      <c r="H31" s="21">
        <v>1112.25</v>
      </c>
      <c r="I31" s="21">
        <v>0</v>
      </c>
      <c r="J31" s="21">
        <f>H31*AO31</f>
        <v>0</v>
      </c>
      <c r="K31" s="21">
        <f>H31*AP31</f>
        <v>0</v>
      </c>
      <c r="L31" s="21">
        <f>H31*I31</f>
        <v>0</v>
      </c>
      <c r="M31" s="32"/>
      <c r="N31" s="36"/>
      <c r="Z31" s="39">
        <f>IF(AQ31="5",BJ31,0)</f>
        <v>0</v>
      </c>
      <c r="AB31" s="39">
        <f>IF(AQ31="1",BH31,0)</f>
        <v>0</v>
      </c>
      <c r="AC31" s="39">
        <f>IF(AQ31="1",BI31,0)</f>
        <v>0</v>
      </c>
      <c r="AD31" s="39">
        <f>IF(AQ31="7",BH31,0)</f>
        <v>0</v>
      </c>
      <c r="AE31" s="39">
        <f>IF(AQ31="7",BI31,0)</f>
        <v>0</v>
      </c>
      <c r="AF31" s="39">
        <f>IF(AQ31="2",BH31,0)</f>
        <v>0</v>
      </c>
      <c r="AG31" s="39">
        <f>IF(AQ31="2",BI31,0)</f>
        <v>0</v>
      </c>
      <c r="AH31" s="39">
        <f>IF(AQ31="0",BJ31,0)</f>
        <v>0</v>
      </c>
      <c r="AI31" s="38"/>
      <c r="AJ31" s="21">
        <f>IF(AN31=0,L31,0)</f>
        <v>0</v>
      </c>
      <c r="AK31" s="21">
        <f>IF(AN31=15,L31,0)</f>
        <v>0</v>
      </c>
      <c r="AL31" s="21">
        <f>IF(AN31=21,L31,0)</f>
        <v>0</v>
      </c>
      <c r="AN31" s="39">
        <v>21</v>
      </c>
      <c r="AO31" s="39">
        <f>I31*0.846572216398447</f>
        <v>0</v>
      </c>
      <c r="AP31" s="39">
        <f>I31*(1-0.846572216398447)</f>
        <v>0</v>
      </c>
      <c r="AQ31" s="40" t="s">
        <v>7</v>
      </c>
      <c r="AV31" s="39">
        <f>AW31+AX31</f>
        <v>0</v>
      </c>
      <c r="AW31" s="39">
        <f>H31*AO31</f>
        <v>0</v>
      </c>
      <c r="AX31" s="39">
        <f>H31*AP31</f>
        <v>0</v>
      </c>
      <c r="AY31" s="42" t="s">
        <v>201</v>
      </c>
      <c r="AZ31" s="42" t="s">
        <v>212</v>
      </c>
      <c r="BA31" s="38" t="s">
        <v>216</v>
      </c>
      <c r="BC31" s="39">
        <f>AW31+AX31</f>
        <v>0</v>
      </c>
      <c r="BD31" s="39">
        <f>I31/(100-BE31)*100</f>
        <v>0</v>
      </c>
      <c r="BE31" s="39">
        <v>0</v>
      </c>
      <c r="BF31" s="39">
        <f>31</f>
        <v>31</v>
      </c>
      <c r="BH31" s="21">
        <f>H31*AO31</f>
        <v>0</v>
      </c>
      <c r="BI31" s="21">
        <f>H31*AP31</f>
        <v>0</v>
      </c>
      <c r="BJ31" s="21">
        <f>H31*I31</f>
        <v>0</v>
      </c>
      <c r="BK31" s="21" t="s">
        <v>221</v>
      </c>
      <c r="BL31" s="39">
        <v>56</v>
      </c>
    </row>
    <row r="32" spans="1:64" ht="12.75">
      <c r="A32" s="4" t="s">
        <v>20</v>
      </c>
      <c r="B32" s="13" t="s">
        <v>66</v>
      </c>
      <c r="C32" s="86" t="s">
        <v>122</v>
      </c>
      <c r="D32" s="87"/>
      <c r="E32" s="87"/>
      <c r="F32" s="87"/>
      <c r="G32" s="13" t="s">
        <v>164</v>
      </c>
      <c r="H32" s="21">
        <v>72</v>
      </c>
      <c r="I32" s="21">
        <v>0</v>
      </c>
      <c r="J32" s="21">
        <f>H32*AO32</f>
        <v>0</v>
      </c>
      <c r="K32" s="21">
        <f>H32*AP32</f>
        <v>0</v>
      </c>
      <c r="L32" s="21">
        <f>H32*I32</f>
        <v>0</v>
      </c>
      <c r="M32" s="32"/>
      <c r="N32" s="36"/>
      <c r="Z32" s="39">
        <f>IF(AQ32="5",BJ32,0)</f>
        <v>0</v>
      </c>
      <c r="AB32" s="39">
        <f>IF(AQ32="1",BH32,0)</f>
        <v>0</v>
      </c>
      <c r="AC32" s="39">
        <f>IF(AQ32="1",BI32,0)</f>
        <v>0</v>
      </c>
      <c r="AD32" s="39">
        <f>IF(AQ32="7",BH32,0)</f>
        <v>0</v>
      </c>
      <c r="AE32" s="39">
        <f>IF(AQ32="7",BI32,0)</f>
        <v>0</v>
      </c>
      <c r="AF32" s="39">
        <f>IF(AQ32="2",BH32,0)</f>
        <v>0</v>
      </c>
      <c r="AG32" s="39">
        <f>IF(AQ32="2",BI32,0)</f>
        <v>0</v>
      </c>
      <c r="AH32" s="39">
        <f>IF(AQ32="0",BJ32,0)</f>
        <v>0</v>
      </c>
      <c r="AI32" s="38"/>
      <c r="AJ32" s="21">
        <f>IF(AN32=0,L32,0)</f>
        <v>0</v>
      </c>
      <c r="AK32" s="21">
        <f>IF(AN32=15,L32,0)</f>
        <v>0</v>
      </c>
      <c r="AL32" s="21">
        <f>IF(AN32=21,L32,0)</f>
        <v>0</v>
      </c>
      <c r="AN32" s="39">
        <v>21</v>
      </c>
      <c r="AO32" s="39">
        <f>I32*0.864251626898048</f>
        <v>0</v>
      </c>
      <c r="AP32" s="39">
        <f>I32*(1-0.864251626898048)</f>
        <v>0</v>
      </c>
      <c r="AQ32" s="40" t="s">
        <v>7</v>
      </c>
      <c r="AV32" s="39">
        <f>AW32+AX32</f>
        <v>0</v>
      </c>
      <c r="AW32" s="39">
        <f>H32*AO32</f>
        <v>0</v>
      </c>
      <c r="AX32" s="39">
        <f>H32*AP32</f>
        <v>0</v>
      </c>
      <c r="AY32" s="42" t="s">
        <v>201</v>
      </c>
      <c r="AZ32" s="42" t="s">
        <v>212</v>
      </c>
      <c r="BA32" s="38" t="s">
        <v>216</v>
      </c>
      <c r="BC32" s="39">
        <f>AW32+AX32</f>
        <v>0</v>
      </c>
      <c r="BD32" s="39">
        <f>I32/(100-BE32)*100</f>
        <v>0</v>
      </c>
      <c r="BE32" s="39">
        <v>0</v>
      </c>
      <c r="BF32" s="39">
        <f>32</f>
        <v>32</v>
      </c>
      <c r="BH32" s="21">
        <f>H32*AO32</f>
        <v>0</v>
      </c>
      <c r="BI32" s="21">
        <f>H32*AP32</f>
        <v>0</v>
      </c>
      <c r="BJ32" s="21">
        <f>H32*I32</f>
        <v>0</v>
      </c>
      <c r="BK32" s="21" t="s">
        <v>221</v>
      </c>
      <c r="BL32" s="39">
        <v>56</v>
      </c>
    </row>
    <row r="33" spans="1:47" ht="12.75">
      <c r="A33" s="5"/>
      <c r="B33" s="14" t="s">
        <v>67</v>
      </c>
      <c r="C33" s="88" t="s">
        <v>123</v>
      </c>
      <c r="D33" s="89"/>
      <c r="E33" s="89"/>
      <c r="F33" s="89"/>
      <c r="G33" s="19" t="s">
        <v>6</v>
      </c>
      <c r="H33" s="19" t="s">
        <v>6</v>
      </c>
      <c r="I33" s="19" t="s">
        <v>6</v>
      </c>
      <c r="J33" s="45">
        <f>SUM(J34:J39)</f>
        <v>0</v>
      </c>
      <c r="K33" s="45">
        <f>SUM(K34:K39)</f>
        <v>0</v>
      </c>
      <c r="L33" s="45">
        <f>SUM(L34:L39)</f>
        <v>0</v>
      </c>
      <c r="M33" s="33"/>
      <c r="N33" s="36"/>
      <c r="AI33" s="38"/>
      <c r="AS33" s="45">
        <f>SUM(AJ34:AJ39)</f>
        <v>0</v>
      </c>
      <c r="AT33" s="45">
        <f>SUM(AK34:AK39)</f>
        <v>0</v>
      </c>
      <c r="AU33" s="45">
        <f>SUM(AL34:AL39)</f>
        <v>0</v>
      </c>
    </row>
    <row r="34" spans="1:64" ht="12.75">
      <c r="A34" s="4" t="s">
        <v>21</v>
      </c>
      <c r="B34" s="13" t="s">
        <v>68</v>
      </c>
      <c r="C34" s="86" t="s">
        <v>124</v>
      </c>
      <c r="D34" s="87"/>
      <c r="E34" s="87"/>
      <c r="F34" s="87"/>
      <c r="G34" s="13" t="s">
        <v>164</v>
      </c>
      <c r="H34" s="21">
        <v>1057.25</v>
      </c>
      <c r="I34" s="21">
        <v>0</v>
      </c>
      <c r="J34" s="21">
        <f aca="true" t="shared" si="0" ref="J34:J39">H34*AO34</f>
        <v>0</v>
      </c>
      <c r="K34" s="21">
        <f aca="true" t="shared" si="1" ref="K34:K39">H34*AP34</f>
        <v>0</v>
      </c>
      <c r="L34" s="21">
        <f aca="true" t="shared" si="2" ref="L34:L39">H34*I34</f>
        <v>0</v>
      </c>
      <c r="M34" s="32"/>
      <c r="N34" s="36"/>
      <c r="Z34" s="39">
        <f aca="true" t="shared" si="3" ref="Z34:Z39">IF(AQ34="5",BJ34,0)</f>
        <v>0</v>
      </c>
      <c r="AB34" s="39">
        <f aca="true" t="shared" si="4" ref="AB34:AB39">IF(AQ34="1",BH34,0)</f>
        <v>0</v>
      </c>
      <c r="AC34" s="39">
        <f aca="true" t="shared" si="5" ref="AC34:AC39">IF(AQ34="1",BI34,0)</f>
        <v>0</v>
      </c>
      <c r="AD34" s="39">
        <f aca="true" t="shared" si="6" ref="AD34:AD39">IF(AQ34="7",BH34,0)</f>
        <v>0</v>
      </c>
      <c r="AE34" s="39">
        <f aca="true" t="shared" si="7" ref="AE34:AE39">IF(AQ34="7",BI34,0)</f>
        <v>0</v>
      </c>
      <c r="AF34" s="39">
        <f aca="true" t="shared" si="8" ref="AF34:AF39">IF(AQ34="2",BH34,0)</f>
        <v>0</v>
      </c>
      <c r="AG34" s="39">
        <f aca="true" t="shared" si="9" ref="AG34:AG39">IF(AQ34="2",BI34,0)</f>
        <v>0</v>
      </c>
      <c r="AH34" s="39">
        <f aca="true" t="shared" si="10" ref="AH34:AH39">IF(AQ34="0",BJ34,0)</f>
        <v>0</v>
      </c>
      <c r="AI34" s="38"/>
      <c r="AJ34" s="21">
        <f aca="true" t="shared" si="11" ref="AJ34:AJ39">IF(AN34=0,L34,0)</f>
        <v>0</v>
      </c>
      <c r="AK34" s="21">
        <f aca="true" t="shared" si="12" ref="AK34:AK39">IF(AN34=15,L34,0)</f>
        <v>0</v>
      </c>
      <c r="AL34" s="21">
        <f aca="true" t="shared" si="13" ref="AL34:AL39">IF(AN34=21,L34,0)</f>
        <v>0</v>
      </c>
      <c r="AN34" s="39">
        <v>21</v>
      </c>
      <c r="AO34" s="39">
        <f>I34*0.152280069227395</f>
        <v>0</v>
      </c>
      <c r="AP34" s="39">
        <f>I34*(1-0.152280069227395)</f>
        <v>0</v>
      </c>
      <c r="AQ34" s="40" t="s">
        <v>7</v>
      </c>
      <c r="AV34" s="39">
        <f aca="true" t="shared" si="14" ref="AV34:AV39">AW34+AX34</f>
        <v>0</v>
      </c>
      <c r="AW34" s="39">
        <f aca="true" t="shared" si="15" ref="AW34:AW39">H34*AO34</f>
        <v>0</v>
      </c>
      <c r="AX34" s="39">
        <f aca="true" t="shared" si="16" ref="AX34:AX39">H34*AP34</f>
        <v>0</v>
      </c>
      <c r="AY34" s="42" t="s">
        <v>202</v>
      </c>
      <c r="AZ34" s="42" t="s">
        <v>212</v>
      </c>
      <c r="BA34" s="38" t="s">
        <v>216</v>
      </c>
      <c r="BC34" s="39">
        <f aca="true" t="shared" si="17" ref="BC34:BC39">AW34+AX34</f>
        <v>0</v>
      </c>
      <c r="BD34" s="39">
        <f aca="true" t="shared" si="18" ref="BD34:BD39">I34/(100-BE34)*100</f>
        <v>0</v>
      </c>
      <c r="BE34" s="39">
        <v>0</v>
      </c>
      <c r="BF34" s="39">
        <f>34</f>
        <v>34</v>
      </c>
      <c r="BH34" s="21">
        <f aca="true" t="shared" si="19" ref="BH34:BH39">H34*AO34</f>
        <v>0</v>
      </c>
      <c r="BI34" s="21">
        <f aca="true" t="shared" si="20" ref="BI34:BI39">H34*AP34</f>
        <v>0</v>
      </c>
      <c r="BJ34" s="21">
        <f aca="true" t="shared" si="21" ref="BJ34:BJ39">H34*I34</f>
        <v>0</v>
      </c>
      <c r="BK34" s="21" t="s">
        <v>221</v>
      </c>
      <c r="BL34" s="39">
        <v>59</v>
      </c>
    </row>
    <row r="35" spans="1:64" ht="12.75">
      <c r="A35" s="6" t="s">
        <v>22</v>
      </c>
      <c r="B35" s="15" t="s">
        <v>69</v>
      </c>
      <c r="C35" s="90" t="s">
        <v>125</v>
      </c>
      <c r="D35" s="91"/>
      <c r="E35" s="91"/>
      <c r="F35" s="91"/>
      <c r="G35" s="15" t="s">
        <v>164</v>
      </c>
      <c r="H35" s="22">
        <v>1040.25</v>
      </c>
      <c r="I35" s="22">
        <v>0</v>
      </c>
      <c r="J35" s="22">
        <f t="shared" si="0"/>
        <v>0</v>
      </c>
      <c r="K35" s="22">
        <f t="shared" si="1"/>
        <v>0</v>
      </c>
      <c r="L35" s="22">
        <f t="shared" si="2"/>
        <v>0</v>
      </c>
      <c r="M35" s="34"/>
      <c r="N35" s="36"/>
      <c r="Z35" s="39">
        <f t="shared" si="3"/>
        <v>0</v>
      </c>
      <c r="AB35" s="39">
        <f t="shared" si="4"/>
        <v>0</v>
      </c>
      <c r="AC35" s="39">
        <f t="shared" si="5"/>
        <v>0</v>
      </c>
      <c r="AD35" s="39">
        <f t="shared" si="6"/>
        <v>0</v>
      </c>
      <c r="AE35" s="39">
        <f t="shared" si="7"/>
        <v>0</v>
      </c>
      <c r="AF35" s="39">
        <f t="shared" si="8"/>
        <v>0</v>
      </c>
      <c r="AG35" s="39">
        <f t="shared" si="9"/>
        <v>0</v>
      </c>
      <c r="AH35" s="39">
        <f t="shared" si="10"/>
        <v>0</v>
      </c>
      <c r="AI35" s="38"/>
      <c r="AJ35" s="22">
        <f t="shared" si="11"/>
        <v>0</v>
      </c>
      <c r="AK35" s="22">
        <f t="shared" si="12"/>
        <v>0</v>
      </c>
      <c r="AL35" s="22">
        <f t="shared" si="13"/>
        <v>0</v>
      </c>
      <c r="AN35" s="39">
        <v>21</v>
      </c>
      <c r="AO35" s="39">
        <f>I35*1</f>
        <v>0</v>
      </c>
      <c r="AP35" s="39">
        <f>I35*(1-1)</f>
        <v>0</v>
      </c>
      <c r="AQ35" s="41" t="s">
        <v>7</v>
      </c>
      <c r="AV35" s="39">
        <f t="shared" si="14"/>
        <v>0</v>
      </c>
      <c r="AW35" s="39">
        <f t="shared" si="15"/>
        <v>0</v>
      </c>
      <c r="AX35" s="39">
        <f t="shared" si="16"/>
        <v>0</v>
      </c>
      <c r="AY35" s="42" t="s">
        <v>202</v>
      </c>
      <c r="AZ35" s="42" t="s">
        <v>212</v>
      </c>
      <c r="BA35" s="38" t="s">
        <v>216</v>
      </c>
      <c r="BC35" s="39">
        <f t="shared" si="17"/>
        <v>0</v>
      </c>
      <c r="BD35" s="39">
        <f t="shared" si="18"/>
        <v>0</v>
      </c>
      <c r="BE35" s="39">
        <v>0</v>
      </c>
      <c r="BF35" s="39">
        <f>35</f>
        <v>35</v>
      </c>
      <c r="BH35" s="22">
        <f t="shared" si="19"/>
        <v>0</v>
      </c>
      <c r="BI35" s="22">
        <f t="shared" si="20"/>
        <v>0</v>
      </c>
      <c r="BJ35" s="22">
        <f t="shared" si="21"/>
        <v>0</v>
      </c>
      <c r="BK35" s="22" t="s">
        <v>222</v>
      </c>
      <c r="BL35" s="39">
        <v>59</v>
      </c>
    </row>
    <row r="36" spans="1:64" ht="12.75">
      <c r="A36" s="6" t="s">
        <v>23</v>
      </c>
      <c r="B36" s="15" t="s">
        <v>70</v>
      </c>
      <c r="C36" s="90" t="s">
        <v>126</v>
      </c>
      <c r="D36" s="91"/>
      <c r="E36" s="91"/>
      <c r="F36" s="91"/>
      <c r="G36" s="15" t="s">
        <v>164</v>
      </c>
      <c r="H36" s="22">
        <v>17</v>
      </c>
      <c r="I36" s="22">
        <v>0</v>
      </c>
      <c r="J36" s="22">
        <f t="shared" si="0"/>
        <v>0</v>
      </c>
      <c r="K36" s="22">
        <f t="shared" si="1"/>
        <v>0</v>
      </c>
      <c r="L36" s="22">
        <f t="shared" si="2"/>
        <v>0</v>
      </c>
      <c r="M36" s="34"/>
      <c r="N36" s="36"/>
      <c r="Z36" s="39">
        <f t="shared" si="3"/>
        <v>0</v>
      </c>
      <c r="AB36" s="39">
        <f t="shared" si="4"/>
        <v>0</v>
      </c>
      <c r="AC36" s="39">
        <f t="shared" si="5"/>
        <v>0</v>
      </c>
      <c r="AD36" s="39">
        <f t="shared" si="6"/>
        <v>0</v>
      </c>
      <c r="AE36" s="39">
        <f t="shared" si="7"/>
        <v>0</v>
      </c>
      <c r="AF36" s="39">
        <f t="shared" si="8"/>
        <v>0</v>
      </c>
      <c r="AG36" s="39">
        <f t="shared" si="9"/>
        <v>0</v>
      </c>
      <c r="AH36" s="39">
        <f t="shared" si="10"/>
        <v>0</v>
      </c>
      <c r="AI36" s="38"/>
      <c r="AJ36" s="22">
        <f t="shared" si="11"/>
        <v>0</v>
      </c>
      <c r="AK36" s="22">
        <f t="shared" si="12"/>
        <v>0</v>
      </c>
      <c r="AL36" s="22">
        <f t="shared" si="13"/>
        <v>0</v>
      </c>
      <c r="AN36" s="39">
        <v>21</v>
      </c>
      <c r="AO36" s="39">
        <f>I36*1</f>
        <v>0</v>
      </c>
      <c r="AP36" s="39">
        <f>I36*(1-1)</f>
        <v>0</v>
      </c>
      <c r="AQ36" s="41" t="s">
        <v>7</v>
      </c>
      <c r="AV36" s="39">
        <f t="shared" si="14"/>
        <v>0</v>
      </c>
      <c r="AW36" s="39">
        <f t="shared" si="15"/>
        <v>0</v>
      </c>
      <c r="AX36" s="39">
        <f t="shared" si="16"/>
        <v>0</v>
      </c>
      <c r="AY36" s="42" t="s">
        <v>202</v>
      </c>
      <c r="AZ36" s="42" t="s">
        <v>212</v>
      </c>
      <c r="BA36" s="38" t="s">
        <v>216</v>
      </c>
      <c r="BC36" s="39">
        <f t="shared" si="17"/>
        <v>0</v>
      </c>
      <c r="BD36" s="39">
        <f t="shared" si="18"/>
        <v>0</v>
      </c>
      <c r="BE36" s="39">
        <v>0</v>
      </c>
      <c r="BF36" s="39">
        <f>36</f>
        <v>36</v>
      </c>
      <c r="BH36" s="22">
        <f t="shared" si="19"/>
        <v>0</v>
      </c>
      <c r="BI36" s="22">
        <f t="shared" si="20"/>
        <v>0</v>
      </c>
      <c r="BJ36" s="22">
        <f t="shared" si="21"/>
        <v>0</v>
      </c>
      <c r="BK36" s="22" t="s">
        <v>222</v>
      </c>
      <c r="BL36" s="39">
        <v>59</v>
      </c>
    </row>
    <row r="37" spans="1:64" ht="12.75">
      <c r="A37" s="4" t="s">
        <v>24</v>
      </c>
      <c r="B37" s="13" t="s">
        <v>71</v>
      </c>
      <c r="C37" s="86" t="s">
        <v>127</v>
      </c>
      <c r="D37" s="87"/>
      <c r="E37" s="87"/>
      <c r="F37" s="87"/>
      <c r="G37" s="13" t="s">
        <v>164</v>
      </c>
      <c r="H37" s="21">
        <v>127</v>
      </c>
      <c r="I37" s="21">
        <v>0</v>
      </c>
      <c r="J37" s="21">
        <f t="shared" si="0"/>
        <v>0</v>
      </c>
      <c r="K37" s="21">
        <f t="shared" si="1"/>
        <v>0</v>
      </c>
      <c r="L37" s="21">
        <f t="shared" si="2"/>
        <v>0</v>
      </c>
      <c r="M37" s="32"/>
      <c r="N37" s="36"/>
      <c r="Z37" s="39">
        <f t="shared" si="3"/>
        <v>0</v>
      </c>
      <c r="AB37" s="39">
        <f t="shared" si="4"/>
        <v>0</v>
      </c>
      <c r="AC37" s="39">
        <f t="shared" si="5"/>
        <v>0</v>
      </c>
      <c r="AD37" s="39">
        <f t="shared" si="6"/>
        <v>0</v>
      </c>
      <c r="AE37" s="39">
        <f t="shared" si="7"/>
        <v>0</v>
      </c>
      <c r="AF37" s="39">
        <f t="shared" si="8"/>
        <v>0</v>
      </c>
      <c r="AG37" s="39">
        <f t="shared" si="9"/>
        <v>0</v>
      </c>
      <c r="AH37" s="39">
        <f t="shared" si="10"/>
        <v>0</v>
      </c>
      <c r="AI37" s="38"/>
      <c r="AJ37" s="21">
        <f t="shared" si="11"/>
        <v>0</v>
      </c>
      <c r="AK37" s="21">
        <f t="shared" si="12"/>
        <v>0</v>
      </c>
      <c r="AL37" s="21">
        <f t="shared" si="13"/>
        <v>0</v>
      </c>
      <c r="AN37" s="39">
        <v>21</v>
      </c>
      <c r="AO37" s="39">
        <f>I37*0.175090609555189</f>
        <v>0</v>
      </c>
      <c r="AP37" s="39">
        <f>I37*(1-0.175090609555189)</f>
        <v>0</v>
      </c>
      <c r="AQ37" s="40" t="s">
        <v>7</v>
      </c>
      <c r="AV37" s="39">
        <f t="shared" si="14"/>
        <v>0</v>
      </c>
      <c r="AW37" s="39">
        <f t="shared" si="15"/>
        <v>0</v>
      </c>
      <c r="AX37" s="39">
        <f t="shared" si="16"/>
        <v>0</v>
      </c>
      <c r="AY37" s="42" t="s">
        <v>202</v>
      </c>
      <c r="AZ37" s="42" t="s">
        <v>212</v>
      </c>
      <c r="BA37" s="38" t="s">
        <v>216</v>
      </c>
      <c r="BC37" s="39">
        <f t="shared" si="17"/>
        <v>0</v>
      </c>
      <c r="BD37" s="39">
        <f t="shared" si="18"/>
        <v>0</v>
      </c>
      <c r="BE37" s="39">
        <v>0</v>
      </c>
      <c r="BF37" s="39">
        <f>37</f>
        <v>37</v>
      </c>
      <c r="BH37" s="21">
        <f t="shared" si="19"/>
        <v>0</v>
      </c>
      <c r="BI37" s="21">
        <f t="shared" si="20"/>
        <v>0</v>
      </c>
      <c r="BJ37" s="21">
        <f t="shared" si="21"/>
        <v>0</v>
      </c>
      <c r="BK37" s="21" t="s">
        <v>221</v>
      </c>
      <c r="BL37" s="39">
        <v>59</v>
      </c>
    </row>
    <row r="38" spans="1:64" ht="12.75">
      <c r="A38" s="6" t="s">
        <v>25</v>
      </c>
      <c r="B38" s="15" t="s">
        <v>70</v>
      </c>
      <c r="C38" s="90" t="s">
        <v>128</v>
      </c>
      <c r="D38" s="91"/>
      <c r="E38" s="91"/>
      <c r="F38" s="91"/>
      <c r="G38" s="15" t="s">
        <v>164</v>
      </c>
      <c r="H38" s="22">
        <v>55</v>
      </c>
      <c r="I38" s="22">
        <v>0</v>
      </c>
      <c r="J38" s="22">
        <f t="shared" si="0"/>
        <v>0</v>
      </c>
      <c r="K38" s="22">
        <f t="shared" si="1"/>
        <v>0</v>
      </c>
      <c r="L38" s="22">
        <f t="shared" si="2"/>
        <v>0</v>
      </c>
      <c r="M38" s="34"/>
      <c r="N38" s="36"/>
      <c r="Z38" s="39">
        <f t="shared" si="3"/>
        <v>0</v>
      </c>
      <c r="AB38" s="39">
        <f t="shared" si="4"/>
        <v>0</v>
      </c>
      <c r="AC38" s="39">
        <f t="shared" si="5"/>
        <v>0</v>
      </c>
      <c r="AD38" s="39">
        <f t="shared" si="6"/>
        <v>0</v>
      </c>
      <c r="AE38" s="39">
        <f t="shared" si="7"/>
        <v>0</v>
      </c>
      <c r="AF38" s="39">
        <f t="shared" si="8"/>
        <v>0</v>
      </c>
      <c r="AG38" s="39">
        <f t="shared" si="9"/>
        <v>0</v>
      </c>
      <c r="AH38" s="39">
        <f t="shared" si="10"/>
        <v>0</v>
      </c>
      <c r="AI38" s="38"/>
      <c r="AJ38" s="22">
        <f t="shared" si="11"/>
        <v>0</v>
      </c>
      <c r="AK38" s="22">
        <f t="shared" si="12"/>
        <v>0</v>
      </c>
      <c r="AL38" s="22">
        <f t="shared" si="13"/>
        <v>0</v>
      </c>
      <c r="AN38" s="39">
        <v>21</v>
      </c>
      <c r="AO38" s="39">
        <f>I38*1</f>
        <v>0</v>
      </c>
      <c r="AP38" s="39">
        <f>I38*(1-1)</f>
        <v>0</v>
      </c>
      <c r="AQ38" s="41" t="s">
        <v>7</v>
      </c>
      <c r="AV38" s="39">
        <f t="shared" si="14"/>
        <v>0</v>
      </c>
      <c r="AW38" s="39">
        <f t="shared" si="15"/>
        <v>0</v>
      </c>
      <c r="AX38" s="39">
        <f t="shared" si="16"/>
        <v>0</v>
      </c>
      <c r="AY38" s="42" t="s">
        <v>202</v>
      </c>
      <c r="AZ38" s="42" t="s">
        <v>212</v>
      </c>
      <c r="BA38" s="38" t="s">
        <v>216</v>
      </c>
      <c r="BC38" s="39">
        <f t="shared" si="17"/>
        <v>0</v>
      </c>
      <c r="BD38" s="39">
        <f t="shared" si="18"/>
        <v>0</v>
      </c>
      <c r="BE38" s="39">
        <v>0</v>
      </c>
      <c r="BF38" s="39">
        <f>38</f>
        <v>38</v>
      </c>
      <c r="BH38" s="22">
        <f t="shared" si="19"/>
        <v>0</v>
      </c>
      <c r="BI38" s="22">
        <f t="shared" si="20"/>
        <v>0</v>
      </c>
      <c r="BJ38" s="22">
        <f t="shared" si="21"/>
        <v>0</v>
      </c>
      <c r="BK38" s="22" t="s">
        <v>222</v>
      </c>
      <c r="BL38" s="39">
        <v>59</v>
      </c>
    </row>
    <row r="39" spans="1:64" ht="12.75">
      <c r="A39" s="6" t="s">
        <v>26</v>
      </c>
      <c r="B39" s="15" t="s">
        <v>69</v>
      </c>
      <c r="C39" s="90" t="s">
        <v>129</v>
      </c>
      <c r="D39" s="91"/>
      <c r="E39" s="91"/>
      <c r="F39" s="91"/>
      <c r="G39" s="15" t="s">
        <v>164</v>
      </c>
      <c r="H39" s="22">
        <v>72</v>
      </c>
      <c r="I39" s="22">
        <v>0</v>
      </c>
      <c r="J39" s="22">
        <f t="shared" si="0"/>
        <v>0</v>
      </c>
      <c r="K39" s="22">
        <f t="shared" si="1"/>
        <v>0</v>
      </c>
      <c r="L39" s="22">
        <f t="shared" si="2"/>
        <v>0</v>
      </c>
      <c r="M39" s="34"/>
      <c r="N39" s="36"/>
      <c r="Z39" s="39">
        <f t="shared" si="3"/>
        <v>0</v>
      </c>
      <c r="AB39" s="39">
        <f t="shared" si="4"/>
        <v>0</v>
      </c>
      <c r="AC39" s="39">
        <f t="shared" si="5"/>
        <v>0</v>
      </c>
      <c r="AD39" s="39">
        <f t="shared" si="6"/>
        <v>0</v>
      </c>
      <c r="AE39" s="39">
        <f t="shared" si="7"/>
        <v>0</v>
      </c>
      <c r="AF39" s="39">
        <f t="shared" si="8"/>
        <v>0</v>
      </c>
      <c r="AG39" s="39">
        <f t="shared" si="9"/>
        <v>0</v>
      </c>
      <c r="AH39" s="39">
        <f t="shared" si="10"/>
        <v>0</v>
      </c>
      <c r="AI39" s="38"/>
      <c r="AJ39" s="22">
        <f t="shared" si="11"/>
        <v>0</v>
      </c>
      <c r="AK39" s="22">
        <f t="shared" si="12"/>
        <v>0</v>
      </c>
      <c r="AL39" s="22">
        <f t="shared" si="13"/>
        <v>0</v>
      </c>
      <c r="AN39" s="39">
        <v>21</v>
      </c>
      <c r="AO39" s="39">
        <f>I39*1</f>
        <v>0</v>
      </c>
      <c r="AP39" s="39">
        <f>I39*(1-1)</f>
        <v>0</v>
      </c>
      <c r="AQ39" s="41" t="s">
        <v>7</v>
      </c>
      <c r="AV39" s="39">
        <f t="shared" si="14"/>
        <v>0</v>
      </c>
      <c r="AW39" s="39">
        <f t="shared" si="15"/>
        <v>0</v>
      </c>
      <c r="AX39" s="39">
        <f t="shared" si="16"/>
        <v>0</v>
      </c>
      <c r="AY39" s="42" t="s">
        <v>202</v>
      </c>
      <c r="AZ39" s="42" t="s">
        <v>212</v>
      </c>
      <c r="BA39" s="38" t="s">
        <v>216</v>
      </c>
      <c r="BC39" s="39">
        <f t="shared" si="17"/>
        <v>0</v>
      </c>
      <c r="BD39" s="39">
        <f t="shared" si="18"/>
        <v>0</v>
      </c>
      <c r="BE39" s="39">
        <v>0</v>
      </c>
      <c r="BF39" s="39">
        <f>39</f>
        <v>39</v>
      </c>
      <c r="BH39" s="22">
        <f t="shared" si="19"/>
        <v>0</v>
      </c>
      <c r="BI39" s="22">
        <f t="shared" si="20"/>
        <v>0</v>
      </c>
      <c r="BJ39" s="22">
        <f t="shared" si="21"/>
        <v>0</v>
      </c>
      <c r="BK39" s="22" t="s">
        <v>222</v>
      </c>
      <c r="BL39" s="39">
        <v>59</v>
      </c>
    </row>
    <row r="40" spans="1:47" ht="12.75">
      <c r="A40" s="5"/>
      <c r="B40" s="14" t="s">
        <v>72</v>
      </c>
      <c r="C40" s="88" t="s">
        <v>130</v>
      </c>
      <c r="D40" s="89"/>
      <c r="E40" s="89"/>
      <c r="F40" s="89"/>
      <c r="G40" s="19" t="s">
        <v>6</v>
      </c>
      <c r="H40" s="19" t="s">
        <v>6</v>
      </c>
      <c r="I40" s="19" t="s">
        <v>6</v>
      </c>
      <c r="J40" s="45">
        <f>SUM(J41:J42)</f>
        <v>0</v>
      </c>
      <c r="K40" s="45">
        <f>SUM(K41:K42)</f>
        <v>0</v>
      </c>
      <c r="L40" s="45">
        <f>SUM(L41:L42)</f>
        <v>0</v>
      </c>
      <c r="M40" s="33"/>
      <c r="N40" s="36"/>
      <c r="AI40" s="38"/>
      <c r="AS40" s="45">
        <f>SUM(AJ41:AJ42)</f>
        <v>0</v>
      </c>
      <c r="AT40" s="45">
        <f>SUM(AK41:AK42)</f>
        <v>0</v>
      </c>
      <c r="AU40" s="45">
        <f>SUM(AL41:AL42)</f>
        <v>0</v>
      </c>
    </row>
    <row r="41" spans="1:64" ht="12.75">
      <c r="A41" s="4" t="s">
        <v>27</v>
      </c>
      <c r="B41" s="13" t="s">
        <v>73</v>
      </c>
      <c r="C41" s="86" t="s">
        <v>131</v>
      </c>
      <c r="D41" s="87"/>
      <c r="E41" s="87"/>
      <c r="F41" s="87"/>
      <c r="G41" s="13" t="s">
        <v>164</v>
      </c>
      <c r="H41" s="21">
        <v>60</v>
      </c>
      <c r="I41" s="21">
        <v>0</v>
      </c>
      <c r="J41" s="21">
        <f>H41*AO41</f>
        <v>0</v>
      </c>
      <c r="K41" s="21">
        <f>H41*AP41</f>
        <v>0</v>
      </c>
      <c r="L41" s="21">
        <f>H41*I41</f>
        <v>0</v>
      </c>
      <c r="M41" s="32"/>
      <c r="N41" s="36"/>
      <c r="Z41" s="39">
        <f>IF(AQ41="5",BJ41,0)</f>
        <v>0</v>
      </c>
      <c r="AB41" s="39">
        <f>IF(AQ41="1",BH41,0)</f>
        <v>0</v>
      </c>
      <c r="AC41" s="39">
        <f>IF(AQ41="1",BI41,0)</f>
        <v>0</v>
      </c>
      <c r="AD41" s="39">
        <f>IF(AQ41="7",BH41,0)</f>
        <v>0</v>
      </c>
      <c r="AE41" s="39">
        <f>IF(AQ41="7",BI41,0)</f>
        <v>0</v>
      </c>
      <c r="AF41" s="39">
        <f>IF(AQ41="2",BH41,0)</f>
        <v>0</v>
      </c>
      <c r="AG41" s="39">
        <f>IF(AQ41="2",BI41,0)</f>
        <v>0</v>
      </c>
      <c r="AH41" s="39">
        <f>IF(AQ41="0",BJ41,0)</f>
        <v>0</v>
      </c>
      <c r="AI41" s="38"/>
      <c r="AJ41" s="21">
        <f>IF(AN41=0,L41,0)</f>
        <v>0</v>
      </c>
      <c r="AK41" s="21">
        <f>IF(AN41=15,L41,0)</f>
        <v>0</v>
      </c>
      <c r="AL41" s="21">
        <f>IF(AN41=21,L41,0)</f>
        <v>0</v>
      </c>
      <c r="AN41" s="39">
        <v>21</v>
      </c>
      <c r="AO41" s="39">
        <f>I41*0.184018475750577</f>
        <v>0</v>
      </c>
      <c r="AP41" s="39">
        <f>I41*(1-0.184018475750577)</f>
        <v>0</v>
      </c>
      <c r="AQ41" s="40" t="s">
        <v>13</v>
      </c>
      <c r="AV41" s="39">
        <f>AW41+AX41</f>
        <v>0</v>
      </c>
      <c r="AW41" s="39">
        <f>H41*AO41</f>
        <v>0</v>
      </c>
      <c r="AX41" s="39">
        <f>H41*AP41</f>
        <v>0</v>
      </c>
      <c r="AY41" s="42" t="s">
        <v>203</v>
      </c>
      <c r="AZ41" s="42" t="s">
        <v>213</v>
      </c>
      <c r="BA41" s="38" t="s">
        <v>216</v>
      </c>
      <c r="BC41" s="39">
        <f>AW41+AX41</f>
        <v>0</v>
      </c>
      <c r="BD41" s="39">
        <f>I41/(100-BE41)*100</f>
        <v>0</v>
      </c>
      <c r="BE41" s="39">
        <v>0</v>
      </c>
      <c r="BF41" s="39">
        <f>41</f>
        <v>41</v>
      </c>
      <c r="BH41" s="21">
        <f>H41*AO41</f>
        <v>0</v>
      </c>
      <c r="BI41" s="21">
        <f>H41*AP41</f>
        <v>0</v>
      </c>
      <c r="BJ41" s="21">
        <f>H41*I41</f>
        <v>0</v>
      </c>
      <c r="BK41" s="21" t="s">
        <v>221</v>
      </c>
      <c r="BL41" s="39">
        <v>711</v>
      </c>
    </row>
    <row r="42" spans="1:64" ht="12.75">
      <c r="A42" s="6" t="s">
        <v>28</v>
      </c>
      <c r="B42" s="15" t="s">
        <v>74</v>
      </c>
      <c r="C42" s="90" t="s">
        <v>132</v>
      </c>
      <c r="D42" s="91"/>
      <c r="E42" s="91"/>
      <c r="F42" s="91"/>
      <c r="G42" s="15" t="s">
        <v>164</v>
      </c>
      <c r="H42" s="22">
        <v>60</v>
      </c>
      <c r="I42" s="22">
        <v>0</v>
      </c>
      <c r="J42" s="22">
        <f>H42*AO42</f>
        <v>0</v>
      </c>
      <c r="K42" s="22">
        <f>H42*AP42</f>
        <v>0</v>
      </c>
      <c r="L42" s="22">
        <f>H42*I42</f>
        <v>0</v>
      </c>
      <c r="M42" s="34"/>
      <c r="N42" s="36"/>
      <c r="Z42" s="39">
        <f>IF(AQ42="5",BJ42,0)</f>
        <v>0</v>
      </c>
      <c r="AB42" s="39">
        <f>IF(AQ42="1",BH42,0)</f>
        <v>0</v>
      </c>
      <c r="AC42" s="39">
        <f>IF(AQ42="1",BI42,0)</f>
        <v>0</v>
      </c>
      <c r="AD42" s="39">
        <f>IF(AQ42="7",BH42,0)</f>
        <v>0</v>
      </c>
      <c r="AE42" s="39">
        <f>IF(AQ42="7",BI42,0)</f>
        <v>0</v>
      </c>
      <c r="AF42" s="39">
        <f>IF(AQ42="2",BH42,0)</f>
        <v>0</v>
      </c>
      <c r="AG42" s="39">
        <f>IF(AQ42="2",BI42,0)</f>
        <v>0</v>
      </c>
      <c r="AH42" s="39">
        <f>IF(AQ42="0",BJ42,0)</f>
        <v>0</v>
      </c>
      <c r="AI42" s="38"/>
      <c r="AJ42" s="22">
        <f>IF(AN42=0,L42,0)</f>
        <v>0</v>
      </c>
      <c r="AK42" s="22">
        <f>IF(AN42=15,L42,0)</f>
        <v>0</v>
      </c>
      <c r="AL42" s="22">
        <f>IF(AN42=21,L42,0)</f>
        <v>0</v>
      </c>
      <c r="AN42" s="39">
        <v>21</v>
      </c>
      <c r="AO42" s="39">
        <f>I42*1</f>
        <v>0</v>
      </c>
      <c r="AP42" s="39">
        <f>I42*(1-1)</f>
        <v>0</v>
      </c>
      <c r="AQ42" s="41" t="s">
        <v>13</v>
      </c>
      <c r="AV42" s="39">
        <f>AW42+AX42</f>
        <v>0</v>
      </c>
      <c r="AW42" s="39">
        <f>H42*AO42</f>
        <v>0</v>
      </c>
      <c r="AX42" s="39">
        <f>H42*AP42</f>
        <v>0</v>
      </c>
      <c r="AY42" s="42" t="s">
        <v>203</v>
      </c>
      <c r="AZ42" s="42" t="s">
        <v>213</v>
      </c>
      <c r="BA42" s="38" t="s">
        <v>216</v>
      </c>
      <c r="BC42" s="39">
        <f>AW42+AX42</f>
        <v>0</v>
      </c>
      <c r="BD42" s="39">
        <f>I42/(100-BE42)*100</f>
        <v>0</v>
      </c>
      <c r="BE42" s="39">
        <v>0</v>
      </c>
      <c r="BF42" s="39">
        <f>42</f>
        <v>42</v>
      </c>
      <c r="BH42" s="22">
        <f>H42*AO42</f>
        <v>0</v>
      </c>
      <c r="BI42" s="22">
        <f>H42*AP42</f>
        <v>0</v>
      </c>
      <c r="BJ42" s="22">
        <f>H42*I42</f>
        <v>0</v>
      </c>
      <c r="BK42" s="22" t="s">
        <v>222</v>
      </c>
      <c r="BL42" s="39">
        <v>711</v>
      </c>
    </row>
    <row r="43" spans="1:47" ht="12.75">
      <c r="A43" s="5"/>
      <c r="B43" s="14" t="s">
        <v>75</v>
      </c>
      <c r="C43" s="88" t="s">
        <v>133</v>
      </c>
      <c r="D43" s="89"/>
      <c r="E43" s="89"/>
      <c r="F43" s="89"/>
      <c r="G43" s="19" t="s">
        <v>6</v>
      </c>
      <c r="H43" s="19" t="s">
        <v>6</v>
      </c>
      <c r="I43" s="19" t="s">
        <v>6</v>
      </c>
      <c r="J43" s="45">
        <f>SUM(J44:J56)</f>
        <v>0</v>
      </c>
      <c r="K43" s="45">
        <f>SUM(K44:K56)</f>
        <v>0</v>
      </c>
      <c r="L43" s="45">
        <f>SUM(L44:L56)</f>
        <v>0</v>
      </c>
      <c r="M43" s="33"/>
      <c r="N43" s="36"/>
      <c r="AI43" s="38"/>
      <c r="AS43" s="45">
        <f>SUM(AJ44:AJ56)</f>
        <v>0</v>
      </c>
      <c r="AT43" s="45">
        <f>SUM(AK44:AK56)</f>
        <v>0</v>
      </c>
      <c r="AU43" s="45">
        <f>SUM(AL44:AL56)</f>
        <v>0</v>
      </c>
    </row>
    <row r="44" spans="1:64" ht="12.75">
      <c r="A44" s="4" t="s">
        <v>29</v>
      </c>
      <c r="B44" s="13" t="s">
        <v>76</v>
      </c>
      <c r="C44" s="86" t="s">
        <v>134</v>
      </c>
      <c r="D44" s="87"/>
      <c r="E44" s="87"/>
      <c r="F44" s="87"/>
      <c r="G44" s="13" t="s">
        <v>166</v>
      </c>
      <c r="H44" s="21">
        <v>13</v>
      </c>
      <c r="I44" s="21">
        <v>0</v>
      </c>
      <c r="J44" s="21">
        <f aca="true" t="shared" si="22" ref="J44:J56">H44*AO44</f>
        <v>0</v>
      </c>
      <c r="K44" s="21">
        <f aca="true" t="shared" si="23" ref="K44:K56">H44*AP44</f>
        <v>0</v>
      </c>
      <c r="L44" s="21">
        <f aca="true" t="shared" si="24" ref="L44:L56">H44*I44</f>
        <v>0</v>
      </c>
      <c r="M44" s="32"/>
      <c r="N44" s="36"/>
      <c r="Z44" s="39">
        <f aca="true" t="shared" si="25" ref="Z44:Z56">IF(AQ44="5",BJ44,0)</f>
        <v>0</v>
      </c>
      <c r="AB44" s="39">
        <f aca="true" t="shared" si="26" ref="AB44:AB56">IF(AQ44="1",BH44,0)</f>
        <v>0</v>
      </c>
      <c r="AC44" s="39">
        <f aca="true" t="shared" si="27" ref="AC44:AC56">IF(AQ44="1",BI44,0)</f>
        <v>0</v>
      </c>
      <c r="AD44" s="39">
        <f aca="true" t="shared" si="28" ref="AD44:AD56">IF(AQ44="7",BH44,0)</f>
        <v>0</v>
      </c>
      <c r="AE44" s="39">
        <f aca="true" t="shared" si="29" ref="AE44:AE56">IF(AQ44="7",BI44,0)</f>
        <v>0</v>
      </c>
      <c r="AF44" s="39">
        <f aca="true" t="shared" si="30" ref="AF44:AF56">IF(AQ44="2",BH44,0)</f>
        <v>0</v>
      </c>
      <c r="AG44" s="39">
        <f aca="true" t="shared" si="31" ref="AG44:AG56">IF(AQ44="2",BI44,0)</f>
        <v>0</v>
      </c>
      <c r="AH44" s="39">
        <f aca="true" t="shared" si="32" ref="AH44:AH56">IF(AQ44="0",BJ44,0)</f>
        <v>0</v>
      </c>
      <c r="AI44" s="38"/>
      <c r="AJ44" s="21">
        <f aca="true" t="shared" si="33" ref="AJ44:AJ56">IF(AN44=0,L44,0)</f>
        <v>0</v>
      </c>
      <c r="AK44" s="21">
        <f aca="true" t="shared" si="34" ref="AK44:AK56">IF(AN44=15,L44,0)</f>
        <v>0</v>
      </c>
      <c r="AL44" s="21">
        <f aca="true" t="shared" si="35" ref="AL44:AL56">IF(AN44=21,L44,0)</f>
        <v>0</v>
      </c>
      <c r="AN44" s="39">
        <v>21</v>
      </c>
      <c r="AO44" s="39">
        <f>I44*0.642147039176392</f>
        <v>0</v>
      </c>
      <c r="AP44" s="39">
        <f>I44*(1-0.642147039176392)</f>
        <v>0</v>
      </c>
      <c r="AQ44" s="40" t="s">
        <v>7</v>
      </c>
      <c r="AV44" s="39">
        <f aca="true" t="shared" si="36" ref="AV44:AV56">AW44+AX44</f>
        <v>0</v>
      </c>
      <c r="AW44" s="39">
        <f aca="true" t="shared" si="37" ref="AW44:AW56">H44*AO44</f>
        <v>0</v>
      </c>
      <c r="AX44" s="39">
        <f aca="true" t="shared" si="38" ref="AX44:AX56">H44*AP44</f>
        <v>0</v>
      </c>
      <c r="AY44" s="42" t="s">
        <v>204</v>
      </c>
      <c r="AZ44" s="42" t="s">
        <v>214</v>
      </c>
      <c r="BA44" s="38" t="s">
        <v>216</v>
      </c>
      <c r="BC44" s="39">
        <f aca="true" t="shared" si="39" ref="BC44:BC56">AW44+AX44</f>
        <v>0</v>
      </c>
      <c r="BD44" s="39">
        <f aca="true" t="shared" si="40" ref="BD44:BD56">I44/(100-BE44)*100</f>
        <v>0</v>
      </c>
      <c r="BE44" s="39">
        <v>0</v>
      </c>
      <c r="BF44" s="39">
        <f>44</f>
        <v>44</v>
      </c>
      <c r="BH44" s="21">
        <f aca="true" t="shared" si="41" ref="BH44:BH56">H44*AO44</f>
        <v>0</v>
      </c>
      <c r="BI44" s="21">
        <f aca="true" t="shared" si="42" ref="BI44:BI56">H44*AP44</f>
        <v>0</v>
      </c>
      <c r="BJ44" s="21">
        <f aca="true" t="shared" si="43" ref="BJ44:BJ56">H44*I44</f>
        <v>0</v>
      </c>
      <c r="BK44" s="21" t="s">
        <v>221</v>
      </c>
      <c r="BL44" s="39">
        <v>91</v>
      </c>
    </row>
    <row r="45" spans="1:64" ht="12.75">
      <c r="A45" s="6" t="s">
        <v>30</v>
      </c>
      <c r="B45" s="15" t="s">
        <v>77</v>
      </c>
      <c r="C45" s="90" t="s">
        <v>135</v>
      </c>
      <c r="D45" s="91"/>
      <c r="E45" s="91"/>
      <c r="F45" s="91"/>
      <c r="G45" s="15" t="s">
        <v>166</v>
      </c>
      <c r="H45" s="22">
        <v>3</v>
      </c>
      <c r="I45" s="22">
        <v>0</v>
      </c>
      <c r="J45" s="22">
        <f t="shared" si="22"/>
        <v>0</v>
      </c>
      <c r="K45" s="22">
        <f t="shared" si="23"/>
        <v>0</v>
      </c>
      <c r="L45" s="22">
        <f t="shared" si="24"/>
        <v>0</v>
      </c>
      <c r="M45" s="34"/>
      <c r="N45" s="36"/>
      <c r="Z45" s="39">
        <f t="shared" si="25"/>
        <v>0</v>
      </c>
      <c r="AB45" s="39">
        <f t="shared" si="26"/>
        <v>0</v>
      </c>
      <c r="AC45" s="39">
        <f t="shared" si="27"/>
        <v>0</v>
      </c>
      <c r="AD45" s="39">
        <f t="shared" si="28"/>
        <v>0</v>
      </c>
      <c r="AE45" s="39">
        <f t="shared" si="29"/>
        <v>0</v>
      </c>
      <c r="AF45" s="39">
        <f t="shared" si="30"/>
        <v>0</v>
      </c>
      <c r="AG45" s="39">
        <f t="shared" si="31"/>
        <v>0</v>
      </c>
      <c r="AH45" s="39">
        <f t="shared" si="32"/>
        <v>0</v>
      </c>
      <c r="AI45" s="38"/>
      <c r="AJ45" s="22">
        <f t="shared" si="33"/>
        <v>0</v>
      </c>
      <c r="AK45" s="22">
        <f t="shared" si="34"/>
        <v>0</v>
      </c>
      <c r="AL45" s="22">
        <f t="shared" si="35"/>
        <v>0</v>
      </c>
      <c r="AN45" s="39">
        <v>21</v>
      </c>
      <c r="AO45" s="39">
        <f>I45*1</f>
        <v>0</v>
      </c>
      <c r="AP45" s="39">
        <f>I45*(1-1)</f>
        <v>0</v>
      </c>
      <c r="AQ45" s="41" t="s">
        <v>7</v>
      </c>
      <c r="AV45" s="39">
        <f t="shared" si="36"/>
        <v>0</v>
      </c>
      <c r="AW45" s="39">
        <f t="shared" si="37"/>
        <v>0</v>
      </c>
      <c r="AX45" s="39">
        <f t="shared" si="38"/>
        <v>0</v>
      </c>
      <c r="AY45" s="42" t="s">
        <v>204</v>
      </c>
      <c r="AZ45" s="42" t="s">
        <v>214</v>
      </c>
      <c r="BA45" s="38" t="s">
        <v>216</v>
      </c>
      <c r="BC45" s="39">
        <f t="shared" si="39"/>
        <v>0</v>
      </c>
      <c r="BD45" s="39">
        <f t="shared" si="40"/>
        <v>0</v>
      </c>
      <c r="BE45" s="39">
        <v>0</v>
      </c>
      <c r="BF45" s="39">
        <f>45</f>
        <v>45</v>
      </c>
      <c r="BH45" s="22">
        <f t="shared" si="41"/>
        <v>0</v>
      </c>
      <c r="BI45" s="22">
        <f t="shared" si="42"/>
        <v>0</v>
      </c>
      <c r="BJ45" s="22">
        <f t="shared" si="43"/>
        <v>0</v>
      </c>
      <c r="BK45" s="22" t="s">
        <v>222</v>
      </c>
      <c r="BL45" s="39">
        <v>91</v>
      </c>
    </row>
    <row r="46" spans="1:64" ht="12.75">
      <c r="A46" s="6" t="s">
        <v>31</v>
      </c>
      <c r="B46" s="15" t="s">
        <v>78</v>
      </c>
      <c r="C46" s="90" t="s">
        <v>136</v>
      </c>
      <c r="D46" s="91"/>
      <c r="E46" s="91"/>
      <c r="F46" s="91"/>
      <c r="G46" s="15" t="s">
        <v>166</v>
      </c>
      <c r="H46" s="22">
        <v>4</v>
      </c>
      <c r="I46" s="22">
        <v>0</v>
      </c>
      <c r="J46" s="22">
        <f t="shared" si="22"/>
        <v>0</v>
      </c>
      <c r="K46" s="22">
        <f t="shared" si="23"/>
        <v>0</v>
      </c>
      <c r="L46" s="22">
        <f t="shared" si="24"/>
        <v>0</v>
      </c>
      <c r="M46" s="34"/>
      <c r="N46" s="36"/>
      <c r="Z46" s="39">
        <f t="shared" si="25"/>
        <v>0</v>
      </c>
      <c r="AB46" s="39">
        <f t="shared" si="26"/>
        <v>0</v>
      </c>
      <c r="AC46" s="39">
        <f t="shared" si="27"/>
        <v>0</v>
      </c>
      <c r="AD46" s="39">
        <f t="shared" si="28"/>
        <v>0</v>
      </c>
      <c r="AE46" s="39">
        <f t="shared" si="29"/>
        <v>0</v>
      </c>
      <c r="AF46" s="39">
        <f t="shared" si="30"/>
        <v>0</v>
      </c>
      <c r="AG46" s="39">
        <f t="shared" si="31"/>
        <v>0</v>
      </c>
      <c r="AH46" s="39">
        <f t="shared" si="32"/>
        <v>0</v>
      </c>
      <c r="AI46" s="38"/>
      <c r="AJ46" s="22">
        <f t="shared" si="33"/>
        <v>0</v>
      </c>
      <c r="AK46" s="22">
        <f t="shared" si="34"/>
        <v>0</v>
      </c>
      <c r="AL46" s="22">
        <f t="shared" si="35"/>
        <v>0</v>
      </c>
      <c r="AN46" s="39">
        <v>21</v>
      </c>
      <c r="AO46" s="39">
        <f>I46*1</f>
        <v>0</v>
      </c>
      <c r="AP46" s="39">
        <f>I46*(1-1)</f>
        <v>0</v>
      </c>
      <c r="AQ46" s="41" t="s">
        <v>7</v>
      </c>
      <c r="AV46" s="39">
        <f t="shared" si="36"/>
        <v>0</v>
      </c>
      <c r="AW46" s="39">
        <f t="shared" si="37"/>
        <v>0</v>
      </c>
      <c r="AX46" s="39">
        <f t="shared" si="38"/>
        <v>0</v>
      </c>
      <c r="AY46" s="42" t="s">
        <v>204</v>
      </c>
      <c r="AZ46" s="42" t="s">
        <v>214</v>
      </c>
      <c r="BA46" s="38" t="s">
        <v>216</v>
      </c>
      <c r="BC46" s="39">
        <f t="shared" si="39"/>
        <v>0</v>
      </c>
      <c r="BD46" s="39">
        <f t="shared" si="40"/>
        <v>0</v>
      </c>
      <c r="BE46" s="39">
        <v>0</v>
      </c>
      <c r="BF46" s="39">
        <f>46</f>
        <v>46</v>
      </c>
      <c r="BH46" s="22">
        <f t="shared" si="41"/>
        <v>0</v>
      </c>
      <c r="BI46" s="22">
        <f t="shared" si="42"/>
        <v>0</v>
      </c>
      <c r="BJ46" s="22">
        <f t="shared" si="43"/>
        <v>0</v>
      </c>
      <c r="BK46" s="22" t="s">
        <v>222</v>
      </c>
      <c r="BL46" s="39">
        <v>91</v>
      </c>
    </row>
    <row r="47" spans="1:64" ht="12.75">
      <c r="A47" s="6" t="s">
        <v>32</v>
      </c>
      <c r="B47" s="15" t="s">
        <v>79</v>
      </c>
      <c r="C47" s="90" t="s">
        <v>137</v>
      </c>
      <c r="D47" s="91"/>
      <c r="E47" s="91"/>
      <c r="F47" s="91"/>
      <c r="G47" s="15" t="s">
        <v>166</v>
      </c>
      <c r="H47" s="22">
        <v>6</v>
      </c>
      <c r="I47" s="22">
        <v>0</v>
      </c>
      <c r="J47" s="22">
        <f t="shared" si="22"/>
        <v>0</v>
      </c>
      <c r="K47" s="22">
        <f t="shared" si="23"/>
        <v>0</v>
      </c>
      <c r="L47" s="22">
        <f t="shared" si="24"/>
        <v>0</v>
      </c>
      <c r="M47" s="34"/>
      <c r="N47" s="36"/>
      <c r="Z47" s="39">
        <f t="shared" si="25"/>
        <v>0</v>
      </c>
      <c r="AB47" s="39">
        <f t="shared" si="26"/>
        <v>0</v>
      </c>
      <c r="AC47" s="39">
        <f t="shared" si="27"/>
        <v>0</v>
      </c>
      <c r="AD47" s="39">
        <f t="shared" si="28"/>
        <v>0</v>
      </c>
      <c r="AE47" s="39">
        <f t="shared" si="29"/>
        <v>0</v>
      </c>
      <c r="AF47" s="39">
        <f t="shared" si="30"/>
        <v>0</v>
      </c>
      <c r="AG47" s="39">
        <f t="shared" si="31"/>
        <v>0</v>
      </c>
      <c r="AH47" s="39">
        <f t="shared" si="32"/>
        <v>0</v>
      </c>
      <c r="AI47" s="38"/>
      <c r="AJ47" s="22">
        <f t="shared" si="33"/>
        <v>0</v>
      </c>
      <c r="AK47" s="22">
        <f t="shared" si="34"/>
        <v>0</v>
      </c>
      <c r="AL47" s="22">
        <f t="shared" si="35"/>
        <v>0</v>
      </c>
      <c r="AN47" s="39">
        <v>21</v>
      </c>
      <c r="AO47" s="39">
        <f>I47*1</f>
        <v>0</v>
      </c>
      <c r="AP47" s="39">
        <f>I47*(1-1)</f>
        <v>0</v>
      </c>
      <c r="AQ47" s="41" t="s">
        <v>7</v>
      </c>
      <c r="AV47" s="39">
        <f t="shared" si="36"/>
        <v>0</v>
      </c>
      <c r="AW47" s="39">
        <f t="shared" si="37"/>
        <v>0</v>
      </c>
      <c r="AX47" s="39">
        <f t="shared" si="38"/>
        <v>0</v>
      </c>
      <c r="AY47" s="42" t="s">
        <v>204</v>
      </c>
      <c r="AZ47" s="42" t="s">
        <v>214</v>
      </c>
      <c r="BA47" s="38" t="s">
        <v>216</v>
      </c>
      <c r="BC47" s="39">
        <f t="shared" si="39"/>
        <v>0</v>
      </c>
      <c r="BD47" s="39">
        <f t="shared" si="40"/>
        <v>0</v>
      </c>
      <c r="BE47" s="39">
        <v>0</v>
      </c>
      <c r="BF47" s="39">
        <f>47</f>
        <v>47</v>
      </c>
      <c r="BH47" s="22">
        <f t="shared" si="41"/>
        <v>0</v>
      </c>
      <c r="BI47" s="22">
        <f t="shared" si="42"/>
        <v>0</v>
      </c>
      <c r="BJ47" s="22">
        <f t="shared" si="43"/>
        <v>0</v>
      </c>
      <c r="BK47" s="22" t="s">
        <v>222</v>
      </c>
      <c r="BL47" s="39">
        <v>91</v>
      </c>
    </row>
    <row r="48" spans="1:64" ht="12.75">
      <c r="A48" s="4" t="s">
        <v>33</v>
      </c>
      <c r="B48" s="13" t="s">
        <v>80</v>
      </c>
      <c r="C48" s="86" t="s">
        <v>138</v>
      </c>
      <c r="D48" s="87"/>
      <c r="E48" s="87"/>
      <c r="F48" s="87"/>
      <c r="G48" s="13" t="s">
        <v>166</v>
      </c>
      <c r="H48" s="21">
        <v>8</v>
      </c>
      <c r="I48" s="21">
        <v>0</v>
      </c>
      <c r="J48" s="21">
        <f t="shared" si="22"/>
        <v>0</v>
      </c>
      <c r="K48" s="21">
        <f t="shared" si="23"/>
        <v>0</v>
      </c>
      <c r="L48" s="21">
        <f t="shared" si="24"/>
        <v>0</v>
      </c>
      <c r="M48" s="32"/>
      <c r="N48" s="36"/>
      <c r="Z48" s="39">
        <f t="shared" si="25"/>
        <v>0</v>
      </c>
      <c r="AB48" s="39">
        <f t="shared" si="26"/>
        <v>0</v>
      </c>
      <c r="AC48" s="39">
        <f t="shared" si="27"/>
        <v>0</v>
      </c>
      <c r="AD48" s="39">
        <f t="shared" si="28"/>
        <v>0</v>
      </c>
      <c r="AE48" s="39">
        <f t="shared" si="29"/>
        <v>0</v>
      </c>
      <c r="AF48" s="39">
        <f t="shared" si="30"/>
        <v>0</v>
      </c>
      <c r="AG48" s="39">
        <f t="shared" si="31"/>
        <v>0</v>
      </c>
      <c r="AH48" s="39">
        <f t="shared" si="32"/>
        <v>0</v>
      </c>
      <c r="AI48" s="38"/>
      <c r="AJ48" s="21">
        <f t="shared" si="33"/>
        <v>0</v>
      </c>
      <c r="AK48" s="21">
        <f t="shared" si="34"/>
        <v>0</v>
      </c>
      <c r="AL48" s="21">
        <f t="shared" si="35"/>
        <v>0</v>
      </c>
      <c r="AN48" s="39">
        <v>21</v>
      </c>
      <c r="AO48" s="39">
        <f>I48*0</f>
        <v>0</v>
      </c>
      <c r="AP48" s="39">
        <f>I48*(1-0)</f>
        <v>0</v>
      </c>
      <c r="AQ48" s="40" t="s">
        <v>7</v>
      </c>
      <c r="AV48" s="39">
        <f t="shared" si="36"/>
        <v>0</v>
      </c>
      <c r="AW48" s="39">
        <f t="shared" si="37"/>
        <v>0</v>
      </c>
      <c r="AX48" s="39">
        <f t="shared" si="38"/>
        <v>0</v>
      </c>
      <c r="AY48" s="42" t="s">
        <v>204</v>
      </c>
      <c r="AZ48" s="42" t="s">
        <v>214</v>
      </c>
      <c r="BA48" s="38" t="s">
        <v>216</v>
      </c>
      <c r="BC48" s="39">
        <f t="shared" si="39"/>
        <v>0</v>
      </c>
      <c r="BD48" s="39">
        <f t="shared" si="40"/>
        <v>0</v>
      </c>
      <c r="BE48" s="39">
        <v>0</v>
      </c>
      <c r="BF48" s="39">
        <f>48</f>
        <v>48</v>
      </c>
      <c r="BH48" s="21">
        <f t="shared" si="41"/>
        <v>0</v>
      </c>
      <c r="BI48" s="21">
        <f t="shared" si="42"/>
        <v>0</v>
      </c>
      <c r="BJ48" s="21">
        <f t="shared" si="43"/>
        <v>0</v>
      </c>
      <c r="BK48" s="21" t="s">
        <v>221</v>
      </c>
      <c r="BL48" s="39">
        <v>91</v>
      </c>
    </row>
    <row r="49" spans="1:64" ht="12.75">
      <c r="A49" s="6" t="s">
        <v>34</v>
      </c>
      <c r="B49" s="15" t="s">
        <v>81</v>
      </c>
      <c r="C49" s="90" t="s">
        <v>139</v>
      </c>
      <c r="D49" s="91"/>
      <c r="E49" s="91"/>
      <c r="F49" s="91"/>
      <c r="G49" s="15" t="s">
        <v>166</v>
      </c>
      <c r="H49" s="22">
        <v>8</v>
      </c>
      <c r="I49" s="22">
        <v>0</v>
      </c>
      <c r="J49" s="22">
        <f t="shared" si="22"/>
        <v>0</v>
      </c>
      <c r="K49" s="22">
        <f t="shared" si="23"/>
        <v>0</v>
      </c>
      <c r="L49" s="22">
        <f t="shared" si="24"/>
        <v>0</v>
      </c>
      <c r="M49" s="34"/>
      <c r="N49" s="36"/>
      <c r="Z49" s="39">
        <f t="shared" si="25"/>
        <v>0</v>
      </c>
      <c r="AB49" s="39">
        <f t="shared" si="26"/>
        <v>0</v>
      </c>
      <c r="AC49" s="39">
        <f t="shared" si="27"/>
        <v>0</v>
      </c>
      <c r="AD49" s="39">
        <f t="shared" si="28"/>
        <v>0</v>
      </c>
      <c r="AE49" s="39">
        <f t="shared" si="29"/>
        <v>0</v>
      </c>
      <c r="AF49" s="39">
        <f t="shared" si="30"/>
        <v>0</v>
      </c>
      <c r="AG49" s="39">
        <f t="shared" si="31"/>
        <v>0</v>
      </c>
      <c r="AH49" s="39">
        <f t="shared" si="32"/>
        <v>0</v>
      </c>
      <c r="AI49" s="38"/>
      <c r="AJ49" s="22">
        <f t="shared" si="33"/>
        <v>0</v>
      </c>
      <c r="AK49" s="22">
        <f t="shared" si="34"/>
        <v>0</v>
      </c>
      <c r="AL49" s="22">
        <f t="shared" si="35"/>
        <v>0</v>
      </c>
      <c r="AN49" s="39">
        <v>21</v>
      </c>
      <c r="AO49" s="39">
        <f>I49*1</f>
        <v>0</v>
      </c>
      <c r="AP49" s="39">
        <f>I49*(1-1)</f>
        <v>0</v>
      </c>
      <c r="AQ49" s="41" t="s">
        <v>7</v>
      </c>
      <c r="AV49" s="39">
        <f t="shared" si="36"/>
        <v>0</v>
      </c>
      <c r="AW49" s="39">
        <f t="shared" si="37"/>
        <v>0</v>
      </c>
      <c r="AX49" s="39">
        <f t="shared" si="38"/>
        <v>0</v>
      </c>
      <c r="AY49" s="42" t="s">
        <v>204</v>
      </c>
      <c r="AZ49" s="42" t="s">
        <v>214</v>
      </c>
      <c r="BA49" s="38" t="s">
        <v>216</v>
      </c>
      <c r="BC49" s="39">
        <f t="shared" si="39"/>
        <v>0</v>
      </c>
      <c r="BD49" s="39">
        <f t="shared" si="40"/>
        <v>0</v>
      </c>
      <c r="BE49" s="39">
        <v>0</v>
      </c>
      <c r="BF49" s="39">
        <f>49</f>
        <v>49</v>
      </c>
      <c r="BH49" s="22">
        <f t="shared" si="41"/>
        <v>0</v>
      </c>
      <c r="BI49" s="22">
        <f t="shared" si="42"/>
        <v>0</v>
      </c>
      <c r="BJ49" s="22">
        <f t="shared" si="43"/>
        <v>0</v>
      </c>
      <c r="BK49" s="22" t="s">
        <v>222</v>
      </c>
      <c r="BL49" s="39">
        <v>91</v>
      </c>
    </row>
    <row r="50" spans="1:64" ht="12.75">
      <c r="A50" s="4" t="s">
        <v>35</v>
      </c>
      <c r="B50" s="13" t="s">
        <v>82</v>
      </c>
      <c r="C50" s="86" t="s">
        <v>140</v>
      </c>
      <c r="D50" s="87"/>
      <c r="E50" s="87"/>
      <c r="F50" s="87"/>
      <c r="G50" s="13" t="s">
        <v>165</v>
      </c>
      <c r="H50" s="21">
        <v>789.5</v>
      </c>
      <c r="I50" s="21">
        <v>0</v>
      </c>
      <c r="J50" s="21">
        <f t="shared" si="22"/>
        <v>0</v>
      </c>
      <c r="K50" s="21">
        <f t="shared" si="23"/>
        <v>0</v>
      </c>
      <c r="L50" s="21">
        <f t="shared" si="24"/>
        <v>0</v>
      </c>
      <c r="M50" s="32"/>
      <c r="N50" s="36"/>
      <c r="Z50" s="39">
        <f t="shared" si="25"/>
        <v>0</v>
      </c>
      <c r="AB50" s="39">
        <f t="shared" si="26"/>
        <v>0</v>
      </c>
      <c r="AC50" s="39">
        <f t="shared" si="27"/>
        <v>0</v>
      </c>
      <c r="AD50" s="39">
        <f t="shared" si="28"/>
        <v>0</v>
      </c>
      <c r="AE50" s="39">
        <f t="shared" si="29"/>
        <v>0</v>
      </c>
      <c r="AF50" s="39">
        <f t="shared" si="30"/>
        <v>0</v>
      </c>
      <c r="AG50" s="39">
        <f t="shared" si="31"/>
        <v>0</v>
      </c>
      <c r="AH50" s="39">
        <f t="shared" si="32"/>
        <v>0</v>
      </c>
      <c r="AI50" s="38"/>
      <c r="AJ50" s="21">
        <f t="shared" si="33"/>
        <v>0</v>
      </c>
      <c r="AK50" s="21">
        <f t="shared" si="34"/>
        <v>0</v>
      </c>
      <c r="AL50" s="21">
        <f t="shared" si="35"/>
        <v>0</v>
      </c>
      <c r="AN50" s="39">
        <v>21</v>
      </c>
      <c r="AO50" s="39">
        <f>I50*0.7672</f>
        <v>0</v>
      </c>
      <c r="AP50" s="39">
        <f>I50*(1-0.7672)</f>
        <v>0</v>
      </c>
      <c r="AQ50" s="40" t="s">
        <v>7</v>
      </c>
      <c r="AV50" s="39">
        <f t="shared" si="36"/>
        <v>0</v>
      </c>
      <c r="AW50" s="39">
        <f t="shared" si="37"/>
        <v>0</v>
      </c>
      <c r="AX50" s="39">
        <f t="shared" si="38"/>
        <v>0</v>
      </c>
      <c r="AY50" s="42" t="s">
        <v>204</v>
      </c>
      <c r="AZ50" s="42" t="s">
        <v>214</v>
      </c>
      <c r="BA50" s="38" t="s">
        <v>216</v>
      </c>
      <c r="BC50" s="39">
        <f t="shared" si="39"/>
        <v>0</v>
      </c>
      <c r="BD50" s="39">
        <f t="shared" si="40"/>
        <v>0</v>
      </c>
      <c r="BE50" s="39">
        <v>0</v>
      </c>
      <c r="BF50" s="39">
        <f>50</f>
        <v>50</v>
      </c>
      <c r="BH50" s="21">
        <f t="shared" si="41"/>
        <v>0</v>
      </c>
      <c r="BI50" s="21">
        <f t="shared" si="42"/>
        <v>0</v>
      </c>
      <c r="BJ50" s="21">
        <f t="shared" si="43"/>
        <v>0</v>
      </c>
      <c r="BK50" s="21" t="s">
        <v>221</v>
      </c>
      <c r="BL50" s="39">
        <v>91</v>
      </c>
    </row>
    <row r="51" spans="1:64" ht="12.75">
      <c r="A51" s="6" t="s">
        <v>36</v>
      </c>
      <c r="B51" s="15" t="s">
        <v>83</v>
      </c>
      <c r="C51" s="90" t="s">
        <v>141</v>
      </c>
      <c r="D51" s="91"/>
      <c r="E51" s="91"/>
      <c r="F51" s="91"/>
      <c r="G51" s="15" t="s">
        <v>166</v>
      </c>
      <c r="H51" s="22">
        <v>789.5</v>
      </c>
      <c r="I51" s="22">
        <v>0</v>
      </c>
      <c r="J51" s="22">
        <f t="shared" si="22"/>
        <v>0</v>
      </c>
      <c r="K51" s="22">
        <f t="shared" si="23"/>
        <v>0</v>
      </c>
      <c r="L51" s="22">
        <f t="shared" si="24"/>
        <v>0</v>
      </c>
      <c r="M51" s="34"/>
      <c r="N51" s="36"/>
      <c r="Z51" s="39">
        <f t="shared" si="25"/>
        <v>0</v>
      </c>
      <c r="AB51" s="39">
        <f t="shared" si="26"/>
        <v>0</v>
      </c>
      <c r="AC51" s="39">
        <f t="shared" si="27"/>
        <v>0</v>
      </c>
      <c r="AD51" s="39">
        <f t="shared" si="28"/>
        <v>0</v>
      </c>
      <c r="AE51" s="39">
        <f t="shared" si="29"/>
        <v>0</v>
      </c>
      <c r="AF51" s="39">
        <f t="shared" si="30"/>
        <v>0</v>
      </c>
      <c r="AG51" s="39">
        <f t="shared" si="31"/>
        <v>0</v>
      </c>
      <c r="AH51" s="39">
        <f t="shared" si="32"/>
        <v>0</v>
      </c>
      <c r="AI51" s="38"/>
      <c r="AJ51" s="22">
        <f t="shared" si="33"/>
        <v>0</v>
      </c>
      <c r="AK51" s="22">
        <f t="shared" si="34"/>
        <v>0</v>
      </c>
      <c r="AL51" s="22">
        <f t="shared" si="35"/>
        <v>0</v>
      </c>
      <c r="AN51" s="39">
        <v>21</v>
      </c>
      <c r="AO51" s="39">
        <f>I51*1</f>
        <v>0</v>
      </c>
      <c r="AP51" s="39">
        <f>I51*(1-1)</f>
        <v>0</v>
      </c>
      <c r="AQ51" s="41" t="s">
        <v>7</v>
      </c>
      <c r="AV51" s="39">
        <f t="shared" si="36"/>
        <v>0</v>
      </c>
      <c r="AW51" s="39">
        <f t="shared" si="37"/>
        <v>0</v>
      </c>
      <c r="AX51" s="39">
        <f t="shared" si="38"/>
        <v>0</v>
      </c>
      <c r="AY51" s="42" t="s">
        <v>204</v>
      </c>
      <c r="AZ51" s="42" t="s">
        <v>214</v>
      </c>
      <c r="BA51" s="38" t="s">
        <v>216</v>
      </c>
      <c r="BC51" s="39">
        <f t="shared" si="39"/>
        <v>0</v>
      </c>
      <c r="BD51" s="39">
        <f t="shared" si="40"/>
        <v>0</v>
      </c>
      <c r="BE51" s="39">
        <v>0</v>
      </c>
      <c r="BF51" s="39">
        <f>51</f>
        <v>51</v>
      </c>
      <c r="BH51" s="22">
        <f t="shared" si="41"/>
        <v>0</v>
      </c>
      <c r="BI51" s="22">
        <f t="shared" si="42"/>
        <v>0</v>
      </c>
      <c r="BJ51" s="22">
        <f t="shared" si="43"/>
        <v>0</v>
      </c>
      <c r="BK51" s="22" t="s">
        <v>222</v>
      </c>
      <c r="BL51" s="39">
        <v>91</v>
      </c>
    </row>
    <row r="52" spans="1:64" ht="12.75">
      <c r="A52" s="4" t="s">
        <v>37</v>
      </c>
      <c r="B52" s="13" t="s">
        <v>82</v>
      </c>
      <c r="C52" s="86" t="s">
        <v>142</v>
      </c>
      <c r="D52" s="87"/>
      <c r="E52" s="87"/>
      <c r="F52" s="87"/>
      <c r="G52" s="13" t="s">
        <v>165</v>
      </c>
      <c r="H52" s="21">
        <v>741.5</v>
      </c>
      <c r="I52" s="21">
        <v>0</v>
      </c>
      <c r="J52" s="21">
        <f t="shared" si="22"/>
        <v>0</v>
      </c>
      <c r="K52" s="21">
        <f t="shared" si="23"/>
        <v>0</v>
      </c>
      <c r="L52" s="21">
        <f t="shared" si="24"/>
        <v>0</v>
      </c>
      <c r="M52" s="32"/>
      <c r="N52" s="36"/>
      <c r="Z52" s="39">
        <f t="shared" si="25"/>
        <v>0</v>
      </c>
      <c r="AB52" s="39">
        <f t="shared" si="26"/>
        <v>0</v>
      </c>
      <c r="AC52" s="39">
        <f t="shared" si="27"/>
        <v>0</v>
      </c>
      <c r="AD52" s="39">
        <f t="shared" si="28"/>
        <v>0</v>
      </c>
      <c r="AE52" s="39">
        <f t="shared" si="29"/>
        <v>0</v>
      </c>
      <c r="AF52" s="39">
        <f t="shared" si="30"/>
        <v>0</v>
      </c>
      <c r="AG52" s="39">
        <f t="shared" si="31"/>
        <v>0</v>
      </c>
      <c r="AH52" s="39">
        <f t="shared" si="32"/>
        <v>0</v>
      </c>
      <c r="AI52" s="38"/>
      <c r="AJ52" s="21">
        <f t="shared" si="33"/>
        <v>0</v>
      </c>
      <c r="AK52" s="21">
        <f t="shared" si="34"/>
        <v>0</v>
      </c>
      <c r="AL52" s="21">
        <f t="shared" si="35"/>
        <v>0</v>
      </c>
      <c r="AN52" s="39">
        <v>21</v>
      </c>
      <c r="AO52" s="39">
        <f>I52*0.7672</f>
        <v>0</v>
      </c>
      <c r="AP52" s="39">
        <f>I52*(1-0.7672)</f>
        <v>0</v>
      </c>
      <c r="AQ52" s="40" t="s">
        <v>7</v>
      </c>
      <c r="AV52" s="39">
        <f t="shared" si="36"/>
        <v>0</v>
      </c>
      <c r="AW52" s="39">
        <f t="shared" si="37"/>
        <v>0</v>
      </c>
      <c r="AX52" s="39">
        <f t="shared" si="38"/>
        <v>0</v>
      </c>
      <c r="AY52" s="42" t="s">
        <v>204</v>
      </c>
      <c r="AZ52" s="42" t="s">
        <v>214</v>
      </c>
      <c r="BA52" s="38" t="s">
        <v>216</v>
      </c>
      <c r="BC52" s="39">
        <f t="shared" si="39"/>
        <v>0</v>
      </c>
      <c r="BD52" s="39">
        <f t="shared" si="40"/>
        <v>0</v>
      </c>
      <c r="BE52" s="39">
        <v>0</v>
      </c>
      <c r="BF52" s="39">
        <f>52</f>
        <v>52</v>
      </c>
      <c r="BH52" s="21">
        <f t="shared" si="41"/>
        <v>0</v>
      </c>
      <c r="BI52" s="21">
        <f t="shared" si="42"/>
        <v>0</v>
      </c>
      <c r="BJ52" s="21">
        <f t="shared" si="43"/>
        <v>0</v>
      </c>
      <c r="BK52" s="21" t="s">
        <v>221</v>
      </c>
      <c r="BL52" s="39">
        <v>91</v>
      </c>
    </row>
    <row r="53" spans="1:64" ht="12.75">
      <c r="A53" s="6" t="s">
        <v>38</v>
      </c>
      <c r="B53" s="15" t="s">
        <v>84</v>
      </c>
      <c r="C53" s="90" t="s">
        <v>143</v>
      </c>
      <c r="D53" s="91"/>
      <c r="E53" s="91"/>
      <c r="F53" s="91"/>
      <c r="G53" s="15" t="s">
        <v>166</v>
      </c>
      <c r="H53" s="22">
        <v>741.5</v>
      </c>
      <c r="I53" s="22">
        <v>0</v>
      </c>
      <c r="J53" s="22">
        <f t="shared" si="22"/>
        <v>0</v>
      </c>
      <c r="K53" s="22">
        <f t="shared" si="23"/>
        <v>0</v>
      </c>
      <c r="L53" s="22">
        <f t="shared" si="24"/>
        <v>0</v>
      </c>
      <c r="M53" s="34"/>
      <c r="N53" s="36"/>
      <c r="Z53" s="39">
        <f t="shared" si="25"/>
        <v>0</v>
      </c>
      <c r="AB53" s="39">
        <f t="shared" si="26"/>
        <v>0</v>
      </c>
      <c r="AC53" s="39">
        <f t="shared" si="27"/>
        <v>0</v>
      </c>
      <c r="AD53" s="39">
        <f t="shared" si="28"/>
        <v>0</v>
      </c>
      <c r="AE53" s="39">
        <f t="shared" si="29"/>
        <v>0</v>
      </c>
      <c r="AF53" s="39">
        <f t="shared" si="30"/>
        <v>0</v>
      </c>
      <c r="AG53" s="39">
        <f t="shared" si="31"/>
        <v>0</v>
      </c>
      <c r="AH53" s="39">
        <f t="shared" si="32"/>
        <v>0</v>
      </c>
      <c r="AI53" s="38"/>
      <c r="AJ53" s="22">
        <f t="shared" si="33"/>
        <v>0</v>
      </c>
      <c r="AK53" s="22">
        <f t="shared" si="34"/>
        <v>0</v>
      </c>
      <c r="AL53" s="22">
        <f t="shared" si="35"/>
        <v>0</v>
      </c>
      <c r="AN53" s="39">
        <v>21</v>
      </c>
      <c r="AO53" s="39">
        <f>I53*1</f>
        <v>0</v>
      </c>
      <c r="AP53" s="39">
        <f>I53*(1-1)</f>
        <v>0</v>
      </c>
      <c r="AQ53" s="41" t="s">
        <v>7</v>
      </c>
      <c r="AV53" s="39">
        <f t="shared" si="36"/>
        <v>0</v>
      </c>
      <c r="AW53" s="39">
        <f t="shared" si="37"/>
        <v>0</v>
      </c>
      <c r="AX53" s="39">
        <f t="shared" si="38"/>
        <v>0</v>
      </c>
      <c r="AY53" s="42" t="s">
        <v>204</v>
      </c>
      <c r="AZ53" s="42" t="s">
        <v>214</v>
      </c>
      <c r="BA53" s="38" t="s">
        <v>216</v>
      </c>
      <c r="BC53" s="39">
        <f t="shared" si="39"/>
        <v>0</v>
      </c>
      <c r="BD53" s="39">
        <f t="shared" si="40"/>
        <v>0</v>
      </c>
      <c r="BE53" s="39">
        <v>0</v>
      </c>
      <c r="BF53" s="39">
        <f>53</f>
        <v>53</v>
      </c>
      <c r="BH53" s="22">
        <f t="shared" si="41"/>
        <v>0</v>
      </c>
      <c r="BI53" s="22">
        <f t="shared" si="42"/>
        <v>0</v>
      </c>
      <c r="BJ53" s="22">
        <f t="shared" si="43"/>
        <v>0</v>
      </c>
      <c r="BK53" s="22" t="s">
        <v>222</v>
      </c>
      <c r="BL53" s="39">
        <v>91</v>
      </c>
    </row>
    <row r="54" spans="1:64" ht="12.75">
      <c r="A54" s="4" t="s">
        <v>39</v>
      </c>
      <c r="B54" s="13" t="s">
        <v>82</v>
      </c>
      <c r="C54" s="86" t="s">
        <v>144</v>
      </c>
      <c r="D54" s="87"/>
      <c r="E54" s="87"/>
      <c r="F54" s="87"/>
      <c r="G54" s="13" t="s">
        <v>165</v>
      </c>
      <c r="H54" s="21">
        <v>48</v>
      </c>
      <c r="I54" s="21">
        <v>0</v>
      </c>
      <c r="J54" s="21">
        <f t="shared" si="22"/>
        <v>0</v>
      </c>
      <c r="K54" s="21">
        <f t="shared" si="23"/>
        <v>0</v>
      </c>
      <c r="L54" s="21">
        <f t="shared" si="24"/>
        <v>0</v>
      </c>
      <c r="M54" s="32"/>
      <c r="N54" s="36"/>
      <c r="Z54" s="39">
        <f t="shared" si="25"/>
        <v>0</v>
      </c>
      <c r="AB54" s="39">
        <f t="shared" si="26"/>
        <v>0</v>
      </c>
      <c r="AC54" s="39">
        <f t="shared" si="27"/>
        <v>0</v>
      </c>
      <c r="AD54" s="39">
        <f t="shared" si="28"/>
        <v>0</v>
      </c>
      <c r="AE54" s="39">
        <f t="shared" si="29"/>
        <v>0</v>
      </c>
      <c r="AF54" s="39">
        <f t="shared" si="30"/>
        <v>0</v>
      </c>
      <c r="AG54" s="39">
        <f t="shared" si="31"/>
        <v>0</v>
      </c>
      <c r="AH54" s="39">
        <f t="shared" si="32"/>
        <v>0</v>
      </c>
      <c r="AI54" s="38"/>
      <c r="AJ54" s="21">
        <f t="shared" si="33"/>
        <v>0</v>
      </c>
      <c r="AK54" s="21">
        <f t="shared" si="34"/>
        <v>0</v>
      </c>
      <c r="AL54" s="21">
        <f t="shared" si="35"/>
        <v>0</v>
      </c>
      <c r="AN54" s="39">
        <v>21</v>
      </c>
      <c r="AO54" s="39">
        <f>I54*0.7672</f>
        <v>0</v>
      </c>
      <c r="AP54" s="39">
        <f>I54*(1-0.7672)</f>
        <v>0</v>
      </c>
      <c r="AQ54" s="40" t="s">
        <v>7</v>
      </c>
      <c r="AV54" s="39">
        <f t="shared" si="36"/>
        <v>0</v>
      </c>
      <c r="AW54" s="39">
        <f t="shared" si="37"/>
        <v>0</v>
      </c>
      <c r="AX54" s="39">
        <f t="shared" si="38"/>
        <v>0</v>
      </c>
      <c r="AY54" s="42" t="s">
        <v>204</v>
      </c>
      <c r="AZ54" s="42" t="s">
        <v>214</v>
      </c>
      <c r="BA54" s="38" t="s">
        <v>216</v>
      </c>
      <c r="BC54" s="39">
        <f t="shared" si="39"/>
        <v>0</v>
      </c>
      <c r="BD54" s="39">
        <f t="shared" si="40"/>
        <v>0</v>
      </c>
      <c r="BE54" s="39">
        <v>0</v>
      </c>
      <c r="BF54" s="39">
        <f>54</f>
        <v>54</v>
      </c>
      <c r="BH54" s="21">
        <f t="shared" si="41"/>
        <v>0</v>
      </c>
      <c r="BI54" s="21">
        <f t="shared" si="42"/>
        <v>0</v>
      </c>
      <c r="BJ54" s="21">
        <f t="shared" si="43"/>
        <v>0</v>
      </c>
      <c r="BK54" s="21" t="s">
        <v>221</v>
      </c>
      <c r="BL54" s="39">
        <v>91</v>
      </c>
    </row>
    <row r="55" spans="1:64" ht="12.75">
      <c r="A55" s="6" t="s">
        <v>40</v>
      </c>
      <c r="B55" s="15" t="s">
        <v>84</v>
      </c>
      <c r="C55" s="90" t="s">
        <v>145</v>
      </c>
      <c r="D55" s="91"/>
      <c r="E55" s="91"/>
      <c r="F55" s="91"/>
      <c r="G55" s="15" t="s">
        <v>166</v>
      </c>
      <c r="H55" s="22">
        <v>48</v>
      </c>
      <c r="I55" s="22">
        <v>0</v>
      </c>
      <c r="J55" s="22">
        <f t="shared" si="22"/>
        <v>0</v>
      </c>
      <c r="K55" s="22">
        <f t="shared" si="23"/>
        <v>0</v>
      </c>
      <c r="L55" s="22">
        <f t="shared" si="24"/>
        <v>0</v>
      </c>
      <c r="M55" s="34"/>
      <c r="N55" s="36"/>
      <c r="Z55" s="39">
        <f t="shared" si="25"/>
        <v>0</v>
      </c>
      <c r="AB55" s="39">
        <f t="shared" si="26"/>
        <v>0</v>
      </c>
      <c r="AC55" s="39">
        <f t="shared" si="27"/>
        <v>0</v>
      </c>
      <c r="AD55" s="39">
        <f t="shared" si="28"/>
        <v>0</v>
      </c>
      <c r="AE55" s="39">
        <f t="shared" si="29"/>
        <v>0</v>
      </c>
      <c r="AF55" s="39">
        <f t="shared" si="30"/>
        <v>0</v>
      </c>
      <c r="AG55" s="39">
        <f t="shared" si="31"/>
        <v>0</v>
      </c>
      <c r="AH55" s="39">
        <f t="shared" si="32"/>
        <v>0</v>
      </c>
      <c r="AI55" s="38"/>
      <c r="AJ55" s="22">
        <f t="shared" si="33"/>
        <v>0</v>
      </c>
      <c r="AK55" s="22">
        <f t="shared" si="34"/>
        <v>0</v>
      </c>
      <c r="AL55" s="22">
        <f t="shared" si="35"/>
        <v>0</v>
      </c>
      <c r="AN55" s="39">
        <v>21</v>
      </c>
      <c r="AO55" s="39">
        <f>I55*1</f>
        <v>0</v>
      </c>
      <c r="AP55" s="39">
        <f>I55*(1-1)</f>
        <v>0</v>
      </c>
      <c r="AQ55" s="41" t="s">
        <v>7</v>
      </c>
      <c r="AV55" s="39">
        <f t="shared" si="36"/>
        <v>0</v>
      </c>
      <c r="AW55" s="39">
        <f t="shared" si="37"/>
        <v>0</v>
      </c>
      <c r="AX55" s="39">
        <f t="shared" si="38"/>
        <v>0</v>
      </c>
      <c r="AY55" s="42" t="s">
        <v>204</v>
      </c>
      <c r="AZ55" s="42" t="s">
        <v>214</v>
      </c>
      <c r="BA55" s="38" t="s">
        <v>216</v>
      </c>
      <c r="BC55" s="39">
        <f t="shared" si="39"/>
        <v>0</v>
      </c>
      <c r="BD55" s="39">
        <f t="shared" si="40"/>
        <v>0</v>
      </c>
      <c r="BE55" s="39">
        <v>0</v>
      </c>
      <c r="BF55" s="39">
        <f>55</f>
        <v>55</v>
      </c>
      <c r="BH55" s="22">
        <f t="shared" si="41"/>
        <v>0</v>
      </c>
      <c r="BI55" s="22">
        <f t="shared" si="42"/>
        <v>0</v>
      </c>
      <c r="BJ55" s="22">
        <f t="shared" si="43"/>
        <v>0</v>
      </c>
      <c r="BK55" s="22" t="s">
        <v>222</v>
      </c>
      <c r="BL55" s="39">
        <v>91</v>
      </c>
    </row>
    <row r="56" spans="1:64" ht="12.75">
      <c r="A56" s="4" t="s">
        <v>41</v>
      </c>
      <c r="B56" s="13" t="s">
        <v>85</v>
      </c>
      <c r="C56" s="86" t="s">
        <v>146</v>
      </c>
      <c r="D56" s="87"/>
      <c r="E56" s="87"/>
      <c r="F56" s="87"/>
      <c r="G56" s="13" t="s">
        <v>165</v>
      </c>
      <c r="H56" s="21">
        <v>789.5</v>
      </c>
      <c r="I56" s="21">
        <v>0</v>
      </c>
      <c r="J56" s="21">
        <f t="shared" si="22"/>
        <v>0</v>
      </c>
      <c r="K56" s="21">
        <f t="shared" si="23"/>
        <v>0</v>
      </c>
      <c r="L56" s="21">
        <f t="shared" si="24"/>
        <v>0</v>
      </c>
      <c r="M56" s="32"/>
      <c r="N56" s="36"/>
      <c r="Z56" s="39">
        <f t="shared" si="25"/>
        <v>0</v>
      </c>
      <c r="AB56" s="39">
        <f t="shared" si="26"/>
        <v>0</v>
      </c>
      <c r="AC56" s="39">
        <f t="shared" si="27"/>
        <v>0</v>
      </c>
      <c r="AD56" s="39">
        <f t="shared" si="28"/>
        <v>0</v>
      </c>
      <c r="AE56" s="39">
        <f t="shared" si="29"/>
        <v>0</v>
      </c>
      <c r="AF56" s="39">
        <f t="shared" si="30"/>
        <v>0</v>
      </c>
      <c r="AG56" s="39">
        <f t="shared" si="31"/>
        <v>0</v>
      </c>
      <c r="AH56" s="39">
        <f t="shared" si="32"/>
        <v>0</v>
      </c>
      <c r="AI56" s="38"/>
      <c r="AJ56" s="21">
        <f t="shared" si="33"/>
        <v>0</v>
      </c>
      <c r="AK56" s="21">
        <f t="shared" si="34"/>
        <v>0</v>
      </c>
      <c r="AL56" s="21">
        <f t="shared" si="35"/>
        <v>0</v>
      </c>
      <c r="AN56" s="39">
        <v>21</v>
      </c>
      <c r="AO56" s="39">
        <f>I56*0.594289340101523</f>
        <v>0</v>
      </c>
      <c r="AP56" s="39">
        <f>I56*(1-0.594289340101523)</f>
        <v>0</v>
      </c>
      <c r="AQ56" s="40" t="s">
        <v>7</v>
      </c>
      <c r="AV56" s="39">
        <f t="shared" si="36"/>
        <v>0</v>
      </c>
      <c r="AW56" s="39">
        <f t="shared" si="37"/>
        <v>0</v>
      </c>
      <c r="AX56" s="39">
        <f t="shared" si="38"/>
        <v>0</v>
      </c>
      <c r="AY56" s="42" t="s">
        <v>204</v>
      </c>
      <c r="AZ56" s="42" t="s">
        <v>214</v>
      </c>
      <c r="BA56" s="38" t="s">
        <v>216</v>
      </c>
      <c r="BC56" s="39">
        <f t="shared" si="39"/>
        <v>0</v>
      </c>
      <c r="BD56" s="39">
        <f t="shared" si="40"/>
        <v>0</v>
      </c>
      <c r="BE56" s="39">
        <v>0</v>
      </c>
      <c r="BF56" s="39">
        <f>56</f>
        <v>56</v>
      </c>
      <c r="BH56" s="21">
        <f t="shared" si="41"/>
        <v>0</v>
      </c>
      <c r="BI56" s="21">
        <f t="shared" si="42"/>
        <v>0</v>
      </c>
      <c r="BJ56" s="21">
        <f t="shared" si="43"/>
        <v>0</v>
      </c>
      <c r="BK56" s="21" t="s">
        <v>221</v>
      </c>
      <c r="BL56" s="39">
        <v>91</v>
      </c>
    </row>
    <row r="57" spans="1:47" ht="12.75">
      <c r="A57" s="5"/>
      <c r="B57" s="14" t="s">
        <v>86</v>
      </c>
      <c r="C57" s="88" t="s">
        <v>147</v>
      </c>
      <c r="D57" s="89"/>
      <c r="E57" s="89"/>
      <c r="F57" s="89"/>
      <c r="G57" s="19" t="s">
        <v>6</v>
      </c>
      <c r="H57" s="19" t="s">
        <v>6</v>
      </c>
      <c r="I57" s="19" t="s">
        <v>6</v>
      </c>
      <c r="J57" s="45">
        <f>SUM(J58:J58)</f>
        <v>0</v>
      </c>
      <c r="K57" s="45">
        <f>SUM(K58:K58)</f>
        <v>0</v>
      </c>
      <c r="L57" s="45">
        <f>SUM(L58:L58)</f>
        <v>0</v>
      </c>
      <c r="M57" s="33"/>
      <c r="N57" s="36"/>
      <c r="AI57" s="38"/>
      <c r="AS57" s="45">
        <f>SUM(AJ58:AJ58)</f>
        <v>0</v>
      </c>
      <c r="AT57" s="45">
        <f>SUM(AK58:AK58)</f>
        <v>0</v>
      </c>
      <c r="AU57" s="45">
        <f>SUM(AL58:AL58)</f>
        <v>0</v>
      </c>
    </row>
    <row r="58" spans="1:64" ht="12.75">
      <c r="A58" s="4" t="s">
        <v>42</v>
      </c>
      <c r="B58" s="13" t="s">
        <v>87</v>
      </c>
      <c r="C58" s="86" t="s">
        <v>148</v>
      </c>
      <c r="D58" s="87"/>
      <c r="E58" s="87"/>
      <c r="F58" s="87"/>
      <c r="G58" s="13" t="s">
        <v>166</v>
      </c>
      <c r="H58" s="21">
        <v>8</v>
      </c>
      <c r="I58" s="21">
        <v>0</v>
      </c>
      <c r="J58" s="21">
        <f>H58*AO58</f>
        <v>0</v>
      </c>
      <c r="K58" s="21">
        <f>H58*AP58</f>
        <v>0</v>
      </c>
      <c r="L58" s="21">
        <f>H58*I58</f>
        <v>0</v>
      </c>
      <c r="M58" s="32"/>
      <c r="N58" s="36"/>
      <c r="Z58" s="39">
        <f>IF(AQ58="5",BJ58,0)</f>
        <v>0</v>
      </c>
      <c r="AB58" s="39">
        <f>IF(AQ58="1",BH58,0)</f>
        <v>0</v>
      </c>
      <c r="AC58" s="39">
        <f>IF(AQ58="1",BI58,0)</f>
        <v>0</v>
      </c>
      <c r="AD58" s="39">
        <f>IF(AQ58="7",BH58,0)</f>
        <v>0</v>
      </c>
      <c r="AE58" s="39">
        <f>IF(AQ58="7",BI58,0)</f>
        <v>0</v>
      </c>
      <c r="AF58" s="39">
        <f>IF(AQ58="2",BH58,0)</f>
        <v>0</v>
      </c>
      <c r="AG58" s="39">
        <f>IF(AQ58="2",BI58,0)</f>
        <v>0</v>
      </c>
      <c r="AH58" s="39">
        <f>IF(AQ58="0",BJ58,0)</f>
        <v>0</v>
      </c>
      <c r="AI58" s="38"/>
      <c r="AJ58" s="21">
        <f>IF(AN58=0,L58,0)</f>
        <v>0</v>
      </c>
      <c r="AK58" s="21">
        <f>IF(AN58=15,L58,0)</f>
        <v>0</v>
      </c>
      <c r="AL58" s="21">
        <f>IF(AN58=21,L58,0)</f>
        <v>0</v>
      </c>
      <c r="AN58" s="39">
        <v>21</v>
      </c>
      <c r="AO58" s="39">
        <f>I58*0</f>
        <v>0</v>
      </c>
      <c r="AP58" s="39">
        <f>I58*(1-0)</f>
        <v>0</v>
      </c>
      <c r="AQ58" s="40" t="s">
        <v>7</v>
      </c>
      <c r="AV58" s="39">
        <f>AW58+AX58</f>
        <v>0</v>
      </c>
      <c r="AW58" s="39">
        <f>H58*AO58</f>
        <v>0</v>
      </c>
      <c r="AX58" s="39">
        <f>H58*AP58</f>
        <v>0</v>
      </c>
      <c r="AY58" s="42" t="s">
        <v>205</v>
      </c>
      <c r="AZ58" s="42" t="s">
        <v>214</v>
      </c>
      <c r="BA58" s="38" t="s">
        <v>216</v>
      </c>
      <c r="BC58" s="39">
        <f>AW58+AX58</f>
        <v>0</v>
      </c>
      <c r="BD58" s="39">
        <f>I58/(100-BE58)*100</f>
        <v>0</v>
      </c>
      <c r="BE58" s="39">
        <v>0</v>
      </c>
      <c r="BF58" s="39">
        <f>58</f>
        <v>58</v>
      </c>
      <c r="BH58" s="21">
        <f>H58*AO58</f>
        <v>0</v>
      </c>
      <c r="BI58" s="21">
        <f>H58*AP58</f>
        <v>0</v>
      </c>
      <c r="BJ58" s="21">
        <f>H58*I58</f>
        <v>0</v>
      </c>
      <c r="BK58" s="21" t="s">
        <v>221</v>
      </c>
      <c r="BL58" s="39">
        <v>96</v>
      </c>
    </row>
    <row r="59" spans="1:47" ht="12.75">
      <c r="A59" s="5"/>
      <c r="B59" s="14" t="s">
        <v>88</v>
      </c>
      <c r="C59" s="88" t="s">
        <v>149</v>
      </c>
      <c r="D59" s="89"/>
      <c r="E59" s="89"/>
      <c r="F59" s="89"/>
      <c r="G59" s="19" t="s">
        <v>6</v>
      </c>
      <c r="H59" s="19" t="s">
        <v>6</v>
      </c>
      <c r="I59" s="19" t="s">
        <v>6</v>
      </c>
      <c r="J59" s="45">
        <f>SUM(J60:J60)</f>
        <v>0</v>
      </c>
      <c r="K59" s="45">
        <f>SUM(K60:K60)</f>
        <v>0</v>
      </c>
      <c r="L59" s="45">
        <f>SUM(L60:L60)</f>
        <v>0</v>
      </c>
      <c r="M59" s="33"/>
      <c r="N59" s="36"/>
      <c r="AI59" s="38"/>
      <c r="AS59" s="45">
        <f>SUM(AJ60:AJ60)</f>
        <v>0</v>
      </c>
      <c r="AT59" s="45">
        <f>SUM(AK60:AK60)</f>
        <v>0</v>
      </c>
      <c r="AU59" s="45">
        <f>SUM(AL60:AL60)</f>
        <v>0</v>
      </c>
    </row>
    <row r="60" spans="1:64" ht="12.75">
      <c r="A60" s="4" t="s">
        <v>43</v>
      </c>
      <c r="B60" s="13" t="s">
        <v>89</v>
      </c>
      <c r="C60" s="86" t="s">
        <v>150</v>
      </c>
      <c r="D60" s="87"/>
      <c r="E60" s="87"/>
      <c r="F60" s="87"/>
      <c r="G60" s="13" t="s">
        <v>168</v>
      </c>
      <c r="H60" s="21">
        <v>568.56</v>
      </c>
      <c r="I60" s="21">
        <v>0</v>
      </c>
      <c r="J60" s="21">
        <f>H60*AO60</f>
        <v>0</v>
      </c>
      <c r="K60" s="21">
        <f>H60*AP60</f>
        <v>0</v>
      </c>
      <c r="L60" s="21">
        <f>H60*I60</f>
        <v>0</v>
      </c>
      <c r="M60" s="32"/>
      <c r="N60" s="36"/>
      <c r="Z60" s="39">
        <f>IF(AQ60="5",BJ60,0)</f>
        <v>0</v>
      </c>
      <c r="AB60" s="39">
        <f>IF(AQ60="1",BH60,0)</f>
        <v>0</v>
      </c>
      <c r="AC60" s="39">
        <f>IF(AQ60="1",BI60,0)</f>
        <v>0</v>
      </c>
      <c r="AD60" s="39">
        <f>IF(AQ60="7",BH60,0)</f>
        <v>0</v>
      </c>
      <c r="AE60" s="39">
        <f>IF(AQ60="7",BI60,0)</f>
        <v>0</v>
      </c>
      <c r="AF60" s="39">
        <f>IF(AQ60="2",BH60,0)</f>
        <v>0</v>
      </c>
      <c r="AG60" s="39">
        <f>IF(AQ60="2",BI60,0)</f>
        <v>0</v>
      </c>
      <c r="AH60" s="39">
        <f>IF(AQ60="0",BJ60,0)</f>
        <v>0</v>
      </c>
      <c r="AI60" s="38"/>
      <c r="AJ60" s="21">
        <f>IF(AN60=0,L60,0)</f>
        <v>0</v>
      </c>
      <c r="AK60" s="21">
        <f>IF(AN60=15,L60,0)</f>
        <v>0</v>
      </c>
      <c r="AL60" s="21">
        <f>IF(AN60=21,L60,0)</f>
        <v>0</v>
      </c>
      <c r="AN60" s="39">
        <v>21</v>
      </c>
      <c r="AO60" s="39">
        <f>I60*0</f>
        <v>0</v>
      </c>
      <c r="AP60" s="39">
        <f>I60*(1-0)</f>
        <v>0</v>
      </c>
      <c r="AQ60" s="40" t="s">
        <v>11</v>
      </c>
      <c r="AV60" s="39">
        <f>AW60+AX60</f>
        <v>0</v>
      </c>
      <c r="AW60" s="39">
        <f>H60*AO60</f>
        <v>0</v>
      </c>
      <c r="AX60" s="39">
        <f>H60*AP60</f>
        <v>0</v>
      </c>
      <c r="AY60" s="42" t="s">
        <v>206</v>
      </c>
      <c r="AZ60" s="42" t="s">
        <v>214</v>
      </c>
      <c r="BA60" s="38" t="s">
        <v>216</v>
      </c>
      <c r="BC60" s="39">
        <f>AW60+AX60</f>
        <v>0</v>
      </c>
      <c r="BD60" s="39">
        <f>I60/(100-BE60)*100</f>
        <v>0</v>
      </c>
      <c r="BE60" s="39">
        <v>0</v>
      </c>
      <c r="BF60" s="39">
        <f>60</f>
        <v>60</v>
      </c>
      <c r="BH60" s="21">
        <f>H60*AO60</f>
        <v>0</v>
      </c>
      <c r="BI60" s="21">
        <f>H60*AP60</f>
        <v>0</v>
      </c>
      <c r="BJ60" s="21">
        <f>H60*I60</f>
        <v>0</v>
      </c>
      <c r="BK60" s="21" t="s">
        <v>221</v>
      </c>
      <c r="BL60" s="39" t="s">
        <v>88</v>
      </c>
    </row>
    <row r="61" spans="1:47" ht="12.75">
      <c r="A61" s="5"/>
      <c r="B61" s="14" t="s">
        <v>90</v>
      </c>
      <c r="C61" s="88" t="s">
        <v>151</v>
      </c>
      <c r="D61" s="89"/>
      <c r="E61" s="89"/>
      <c r="F61" s="89"/>
      <c r="G61" s="19" t="s">
        <v>6</v>
      </c>
      <c r="H61" s="19" t="s">
        <v>6</v>
      </c>
      <c r="I61" s="19" t="s">
        <v>6</v>
      </c>
      <c r="J61" s="45">
        <f>SUM(J62:J64)</f>
        <v>0</v>
      </c>
      <c r="K61" s="45">
        <f>SUM(K62:K64)</f>
        <v>0</v>
      </c>
      <c r="L61" s="45">
        <f>SUM(L62:L64)</f>
        <v>0</v>
      </c>
      <c r="M61" s="33"/>
      <c r="N61" s="36"/>
      <c r="AI61" s="38"/>
      <c r="AS61" s="45">
        <f>SUM(AJ62:AJ64)</f>
        <v>0</v>
      </c>
      <c r="AT61" s="45">
        <f>SUM(AK62:AK64)</f>
        <v>0</v>
      </c>
      <c r="AU61" s="45">
        <f>SUM(AL62:AL64)</f>
        <v>0</v>
      </c>
    </row>
    <row r="62" spans="1:64" ht="12.75">
      <c r="A62" s="4" t="s">
        <v>44</v>
      </c>
      <c r="B62" s="13" t="s">
        <v>91</v>
      </c>
      <c r="C62" s="86" t="s">
        <v>152</v>
      </c>
      <c r="D62" s="87"/>
      <c r="E62" s="87"/>
      <c r="F62" s="87"/>
      <c r="G62" s="13" t="s">
        <v>168</v>
      </c>
      <c r="H62" s="21">
        <v>568.56</v>
      </c>
      <c r="I62" s="21">
        <v>0</v>
      </c>
      <c r="J62" s="21">
        <f>H62*AO62</f>
        <v>0</v>
      </c>
      <c r="K62" s="21">
        <f>H62*AP62</f>
        <v>0</v>
      </c>
      <c r="L62" s="21">
        <f>H62*I62</f>
        <v>0</v>
      </c>
      <c r="M62" s="32"/>
      <c r="N62" s="36"/>
      <c r="Z62" s="39">
        <f>IF(AQ62="5",BJ62,0)</f>
        <v>0</v>
      </c>
      <c r="AB62" s="39">
        <f>IF(AQ62="1",BH62,0)</f>
        <v>0</v>
      </c>
      <c r="AC62" s="39">
        <f>IF(AQ62="1",BI62,0)</f>
        <v>0</v>
      </c>
      <c r="AD62" s="39">
        <f>IF(AQ62="7",BH62,0)</f>
        <v>0</v>
      </c>
      <c r="AE62" s="39">
        <f>IF(AQ62="7",BI62,0)</f>
        <v>0</v>
      </c>
      <c r="AF62" s="39">
        <f>IF(AQ62="2",BH62,0)</f>
        <v>0</v>
      </c>
      <c r="AG62" s="39">
        <f>IF(AQ62="2",BI62,0)</f>
        <v>0</v>
      </c>
      <c r="AH62" s="39">
        <f>IF(AQ62="0",BJ62,0)</f>
        <v>0</v>
      </c>
      <c r="AI62" s="38"/>
      <c r="AJ62" s="21">
        <f>IF(AN62=0,L62,0)</f>
        <v>0</v>
      </c>
      <c r="AK62" s="21">
        <f>IF(AN62=15,L62,0)</f>
        <v>0</v>
      </c>
      <c r="AL62" s="21">
        <f>IF(AN62=21,L62,0)</f>
        <v>0</v>
      </c>
      <c r="AN62" s="39">
        <v>21</v>
      </c>
      <c r="AO62" s="39">
        <f>I62*0</f>
        <v>0</v>
      </c>
      <c r="AP62" s="39">
        <f>I62*(1-0)</f>
        <v>0</v>
      </c>
      <c r="AQ62" s="40" t="s">
        <v>11</v>
      </c>
      <c r="AV62" s="39">
        <f>AW62+AX62</f>
        <v>0</v>
      </c>
      <c r="AW62" s="39">
        <f>H62*AO62</f>
        <v>0</v>
      </c>
      <c r="AX62" s="39">
        <f>H62*AP62</f>
        <v>0</v>
      </c>
      <c r="AY62" s="42" t="s">
        <v>207</v>
      </c>
      <c r="AZ62" s="42" t="s">
        <v>214</v>
      </c>
      <c r="BA62" s="38" t="s">
        <v>216</v>
      </c>
      <c r="BC62" s="39">
        <f>AW62+AX62</f>
        <v>0</v>
      </c>
      <c r="BD62" s="39">
        <f>I62/(100-BE62)*100</f>
        <v>0</v>
      </c>
      <c r="BE62" s="39">
        <v>0</v>
      </c>
      <c r="BF62" s="39">
        <f>62</f>
        <v>62</v>
      </c>
      <c r="BH62" s="21">
        <f>H62*AO62</f>
        <v>0</v>
      </c>
      <c r="BI62" s="21">
        <f>H62*AP62</f>
        <v>0</v>
      </c>
      <c r="BJ62" s="21">
        <f>H62*I62</f>
        <v>0</v>
      </c>
      <c r="BK62" s="21" t="s">
        <v>221</v>
      </c>
      <c r="BL62" s="39" t="s">
        <v>90</v>
      </c>
    </row>
    <row r="63" spans="1:64" ht="12.75">
      <c r="A63" s="4" t="s">
        <v>45</v>
      </c>
      <c r="B63" s="13" t="s">
        <v>92</v>
      </c>
      <c r="C63" s="86" t="s">
        <v>153</v>
      </c>
      <c r="D63" s="87"/>
      <c r="E63" s="87"/>
      <c r="F63" s="87"/>
      <c r="G63" s="13" t="s">
        <v>168</v>
      </c>
      <c r="H63" s="21">
        <v>568.56</v>
      </c>
      <c r="I63" s="21">
        <v>0</v>
      </c>
      <c r="J63" s="21">
        <f>H63*AO63</f>
        <v>0</v>
      </c>
      <c r="K63" s="21">
        <f>H63*AP63</f>
        <v>0</v>
      </c>
      <c r="L63" s="21">
        <f>H63*I63</f>
        <v>0</v>
      </c>
      <c r="M63" s="32"/>
      <c r="N63" s="36"/>
      <c r="Z63" s="39">
        <f>IF(AQ63="5",BJ63,0)</f>
        <v>0</v>
      </c>
      <c r="AB63" s="39">
        <f>IF(AQ63="1",BH63,0)</f>
        <v>0</v>
      </c>
      <c r="AC63" s="39">
        <f>IF(AQ63="1",BI63,0)</f>
        <v>0</v>
      </c>
      <c r="AD63" s="39">
        <f>IF(AQ63="7",BH63,0)</f>
        <v>0</v>
      </c>
      <c r="AE63" s="39">
        <f>IF(AQ63="7",BI63,0)</f>
        <v>0</v>
      </c>
      <c r="AF63" s="39">
        <f>IF(AQ63="2",BH63,0)</f>
        <v>0</v>
      </c>
      <c r="AG63" s="39">
        <f>IF(AQ63="2",BI63,0)</f>
        <v>0</v>
      </c>
      <c r="AH63" s="39">
        <f>IF(AQ63="0",BJ63,0)</f>
        <v>0</v>
      </c>
      <c r="AI63" s="38"/>
      <c r="AJ63" s="21">
        <f>IF(AN63=0,L63,0)</f>
        <v>0</v>
      </c>
      <c r="AK63" s="21">
        <f>IF(AN63=15,L63,0)</f>
        <v>0</v>
      </c>
      <c r="AL63" s="21">
        <f>IF(AN63=21,L63,0)</f>
        <v>0</v>
      </c>
      <c r="AN63" s="39">
        <v>21</v>
      </c>
      <c r="AO63" s="39">
        <f>I63*0</f>
        <v>0</v>
      </c>
      <c r="AP63" s="39">
        <f>I63*(1-0)</f>
        <v>0</v>
      </c>
      <c r="AQ63" s="40" t="s">
        <v>11</v>
      </c>
      <c r="AV63" s="39">
        <f>AW63+AX63</f>
        <v>0</v>
      </c>
      <c r="AW63" s="39">
        <f>H63*AO63</f>
        <v>0</v>
      </c>
      <c r="AX63" s="39">
        <f>H63*AP63</f>
        <v>0</v>
      </c>
      <c r="AY63" s="42" t="s">
        <v>207</v>
      </c>
      <c r="AZ63" s="42" t="s">
        <v>214</v>
      </c>
      <c r="BA63" s="38" t="s">
        <v>216</v>
      </c>
      <c r="BC63" s="39">
        <f>AW63+AX63</f>
        <v>0</v>
      </c>
      <c r="BD63" s="39">
        <f>I63/(100-BE63)*100</f>
        <v>0</v>
      </c>
      <c r="BE63" s="39">
        <v>0</v>
      </c>
      <c r="BF63" s="39">
        <f>63</f>
        <v>63</v>
      </c>
      <c r="BH63" s="21">
        <f>H63*AO63</f>
        <v>0</v>
      </c>
      <c r="BI63" s="21">
        <f>H63*AP63</f>
        <v>0</v>
      </c>
      <c r="BJ63" s="21">
        <f>H63*I63</f>
        <v>0</v>
      </c>
      <c r="BK63" s="21" t="s">
        <v>221</v>
      </c>
      <c r="BL63" s="39" t="s">
        <v>90</v>
      </c>
    </row>
    <row r="64" spans="1:64" ht="12.75">
      <c r="A64" s="4" t="s">
        <v>46</v>
      </c>
      <c r="B64" s="13" t="s">
        <v>93</v>
      </c>
      <c r="C64" s="86" t="s">
        <v>154</v>
      </c>
      <c r="D64" s="87"/>
      <c r="E64" s="87"/>
      <c r="F64" s="87"/>
      <c r="G64" s="13" t="s">
        <v>168</v>
      </c>
      <c r="H64" s="21">
        <v>284.28</v>
      </c>
      <c r="I64" s="21">
        <v>0</v>
      </c>
      <c r="J64" s="21">
        <f>H64*AO64</f>
        <v>0</v>
      </c>
      <c r="K64" s="21">
        <f>H64*AP64</f>
        <v>0</v>
      </c>
      <c r="L64" s="21">
        <f>H64*I64</f>
        <v>0</v>
      </c>
      <c r="M64" s="32"/>
      <c r="N64" s="36"/>
      <c r="Z64" s="39">
        <f>IF(AQ64="5",BJ64,0)</f>
        <v>0</v>
      </c>
      <c r="AB64" s="39">
        <f>IF(AQ64="1",BH64,0)</f>
        <v>0</v>
      </c>
      <c r="AC64" s="39">
        <f>IF(AQ64="1",BI64,0)</f>
        <v>0</v>
      </c>
      <c r="AD64" s="39">
        <f>IF(AQ64="7",BH64,0)</f>
        <v>0</v>
      </c>
      <c r="AE64" s="39">
        <f>IF(AQ64="7",BI64,0)</f>
        <v>0</v>
      </c>
      <c r="AF64" s="39">
        <f>IF(AQ64="2",BH64,0)</f>
        <v>0</v>
      </c>
      <c r="AG64" s="39">
        <f>IF(AQ64="2",BI64,0)</f>
        <v>0</v>
      </c>
      <c r="AH64" s="39">
        <f>IF(AQ64="0",BJ64,0)</f>
        <v>0</v>
      </c>
      <c r="AI64" s="38"/>
      <c r="AJ64" s="21">
        <f>IF(AN64=0,L64,0)</f>
        <v>0</v>
      </c>
      <c r="AK64" s="21">
        <f>IF(AN64=15,L64,0)</f>
        <v>0</v>
      </c>
      <c r="AL64" s="21">
        <f>IF(AN64=21,L64,0)</f>
        <v>0</v>
      </c>
      <c r="AN64" s="39">
        <v>21</v>
      </c>
      <c r="AO64" s="39">
        <f>I64*0</f>
        <v>0</v>
      </c>
      <c r="AP64" s="39">
        <f>I64*(1-0)</f>
        <v>0</v>
      </c>
      <c r="AQ64" s="40" t="s">
        <v>11</v>
      </c>
      <c r="AV64" s="39">
        <f>AW64+AX64</f>
        <v>0</v>
      </c>
      <c r="AW64" s="39">
        <f>H64*AO64</f>
        <v>0</v>
      </c>
      <c r="AX64" s="39">
        <f>H64*AP64</f>
        <v>0</v>
      </c>
      <c r="AY64" s="42" t="s">
        <v>207</v>
      </c>
      <c r="AZ64" s="42" t="s">
        <v>214</v>
      </c>
      <c r="BA64" s="38" t="s">
        <v>216</v>
      </c>
      <c r="BC64" s="39">
        <f>AW64+AX64</f>
        <v>0</v>
      </c>
      <c r="BD64" s="39">
        <f>I64/(100-BE64)*100</f>
        <v>0</v>
      </c>
      <c r="BE64" s="39">
        <v>0</v>
      </c>
      <c r="BF64" s="39">
        <f>64</f>
        <v>64</v>
      </c>
      <c r="BH64" s="21">
        <f>H64*AO64</f>
        <v>0</v>
      </c>
      <c r="BI64" s="21">
        <f>H64*AP64</f>
        <v>0</v>
      </c>
      <c r="BJ64" s="21">
        <f>H64*I64</f>
        <v>0</v>
      </c>
      <c r="BK64" s="21" t="s">
        <v>221</v>
      </c>
      <c r="BL64" s="39" t="s">
        <v>90</v>
      </c>
    </row>
    <row r="65" spans="1:35" ht="12.75">
      <c r="A65" s="5"/>
      <c r="B65" s="14"/>
      <c r="C65" s="88" t="s">
        <v>155</v>
      </c>
      <c r="D65" s="89"/>
      <c r="E65" s="89"/>
      <c r="F65" s="89"/>
      <c r="G65" s="19" t="s">
        <v>6</v>
      </c>
      <c r="H65" s="19" t="s">
        <v>6</v>
      </c>
      <c r="I65" s="19" t="s">
        <v>6</v>
      </c>
      <c r="J65" s="45">
        <f>J66+J68</f>
        <v>0</v>
      </c>
      <c r="K65" s="45">
        <f>K66+K68</f>
        <v>0</v>
      </c>
      <c r="L65" s="45">
        <f>L66+L68</f>
        <v>0</v>
      </c>
      <c r="M65" s="33"/>
      <c r="N65" s="36"/>
      <c r="AI65" s="38"/>
    </row>
    <row r="66" spans="1:47" ht="12.75">
      <c r="A66" s="5"/>
      <c r="B66" s="14" t="s">
        <v>94</v>
      </c>
      <c r="C66" s="88" t="s">
        <v>156</v>
      </c>
      <c r="D66" s="89"/>
      <c r="E66" s="89"/>
      <c r="F66" s="89"/>
      <c r="G66" s="19" t="s">
        <v>6</v>
      </c>
      <c r="H66" s="19" t="s">
        <v>6</v>
      </c>
      <c r="I66" s="19" t="s">
        <v>6</v>
      </c>
      <c r="J66" s="45">
        <f>SUM(J67:J67)</f>
        <v>0</v>
      </c>
      <c r="K66" s="45">
        <f>SUM(K67:K67)</f>
        <v>0</v>
      </c>
      <c r="L66" s="45">
        <f>SUM(L67:L67)</f>
        <v>0</v>
      </c>
      <c r="M66" s="33"/>
      <c r="N66" s="36"/>
      <c r="AI66" s="38"/>
      <c r="AS66" s="45">
        <f>SUM(AJ67:AJ67)</f>
        <v>0</v>
      </c>
      <c r="AT66" s="45">
        <f>SUM(AK67:AK67)</f>
        <v>0</v>
      </c>
      <c r="AU66" s="45">
        <f>SUM(AL67:AL67)</f>
        <v>0</v>
      </c>
    </row>
    <row r="67" spans="1:64" ht="12.75">
      <c r="A67" s="4" t="s">
        <v>47</v>
      </c>
      <c r="B67" s="13" t="s">
        <v>95</v>
      </c>
      <c r="C67" s="86" t="s">
        <v>156</v>
      </c>
      <c r="D67" s="87"/>
      <c r="E67" s="87"/>
      <c r="F67" s="87"/>
      <c r="G67" s="13" t="s">
        <v>169</v>
      </c>
      <c r="H67" s="21">
        <v>1</v>
      </c>
      <c r="I67" s="21">
        <v>0</v>
      </c>
      <c r="J67" s="21">
        <f>H67*AO67</f>
        <v>0</v>
      </c>
      <c r="K67" s="21">
        <f>H67*AP67</f>
        <v>0</v>
      </c>
      <c r="L67" s="21">
        <f>H67*I67</f>
        <v>0</v>
      </c>
      <c r="M67" s="32"/>
      <c r="N67" s="36"/>
      <c r="Z67" s="39">
        <f>IF(AQ67="5",BJ67,0)</f>
        <v>0</v>
      </c>
      <c r="AB67" s="39">
        <f>IF(AQ67="1",BH67,0)</f>
        <v>0</v>
      </c>
      <c r="AC67" s="39">
        <f>IF(AQ67="1",BI67,0)</f>
        <v>0</v>
      </c>
      <c r="AD67" s="39">
        <f>IF(AQ67="7",BH67,0)</f>
        <v>0</v>
      </c>
      <c r="AE67" s="39">
        <f>IF(AQ67="7",BI67,0)</f>
        <v>0</v>
      </c>
      <c r="AF67" s="39">
        <f>IF(AQ67="2",BH67,0)</f>
        <v>0</v>
      </c>
      <c r="AG67" s="39">
        <f>IF(AQ67="2",BI67,0)</f>
        <v>0</v>
      </c>
      <c r="AH67" s="39">
        <f>IF(AQ67="0",BJ67,0)</f>
        <v>0</v>
      </c>
      <c r="AI67" s="38"/>
      <c r="AJ67" s="21">
        <f>IF(AN67=0,L67,0)</f>
        <v>0</v>
      </c>
      <c r="AK67" s="21">
        <f>IF(AN67=15,L67,0)</f>
        <v>0</v>
      </c>
      <c r="AL67" s="21">
        <f>IF(AN67=21,L67,0)</f>
        <v>0</v>
      </c>
      <c r="AN67" s="39">
        <v>21</v>
      </c>
      <c r="AO67" s="39">
        <f>I67*0</f>
        <v>0</v>
      </c>
      <c r="AP67" s="39">
        <f>I67*(1-0)</f>
        <v>0</v>
      </c>
      <c r="AQ67" s="40" t="s">
        <v>194</v>
      </c>
      <c r="AV67" s="39">
        <f>AW67+AX67</f>
        <v>0</v>
      </c>
      <c r="AW67" s="39">
        <f>H67*AO67</f>
        <v>0</v>
      </c>
      <c r="AX67" s="39">
        <f>H67*AP67</f>
        <v>0</v>
      </c>
      <c r="AY67" s="42" t="s">
        <v>208</v>
      </c>
      <c r="AZ67" s="42" t="s">
        <v>215</v>
      </c>
      <c r="BA67" s="38" t="s">
        <v>216</v>
      </c>
      <c r="BC67" s="39">
        <f>AW67+AX67</f>
        <v>0</v>
      </c>
      <c r="BD67" s="39">
        <f>I67/(100-BE67)*100</f>
        <v>0</v>
      </c>
      <c r="BE67" s="39">
        <v>0</v>
      </c>
      <c r="BF67" s="39">
        <f>67</f>
        <v>67</v>
      </c>
      <c r="BH67" s="21">
        <f>H67*AO67</f>
        <v>0</v>
      </c>
      <c r="BI67" s="21">
        <f>H67*AP67</f>
        <v>0</v>
      </c>
      <c r="BJ67" s="21">
        <f>H67*I67</f>
        <v>0</v>
      </c>
      <c r="BK67" s="21" t="s">
        <v>221</v>
      </c>
      <c r="BL67" s="39" t="s">
        <v>94</v>
      </c>
    </row>
    <row r="68" spans="1:47" ht="12.75">
      <c r="A68" s="5"/>
      <c r="B68" s="14" t="s">
        <v>96</v>
      </c>
      <c r="C68" s="88" t="s">
        <v>157</v>
      </c>
      <c r="D68" s="89"/>
      <c r="E68" s="89"/>
      <c r="F68" s="89"/>
      <c r="G68" s="19" t="s">
        <v>6</v>
      </c>
      <c r="H68" s="19" t="s">
        <v>6</v>
      </c>
      <c r="I68" s="19" t="s">
        <v>6</v>
      </c>
      <c r="J68" s="45">
        <f>SUM(J69:J69)</f>
        <v>0</v>
      </c>
      <c r="K68" s="45">
        <f>SUM(K69:K69)</f>
        <v>0</v>
      </c>
      <c r="L68" s="45">
        <f>SUM(L69:L69)</f>
        <v>0</v>
      </c>
      <c r="M68" s="33"/>
      <c r="N68" s="36"/>
      <c r="AI68" s="38"/>
      <c r="AS68" s="45">
        <f>SUM(AJ69:AJ69)</f>
        <v>0</v>
      </c>
      <c r="AT68" s="45">
        <f>SUM(AK69:AK69)</f>
        <v>0</v>
      </c>
      <c r="AU68" s="45">
        <f>SUM(AL69:AL69)</f>
        <v>0</v>
      </c>
    </row>
    <row r="69" spans="1:64" ht="12.75">
      <c r="A69" s="7" t="s">
        <v>48</v>
      </c>
      <c r="B69" s="16" t="s">
        <v>97</v>
      </c>
      <c r="C69" s="80" t="s">
        <v>157</v>
      </c>
      <c r="D69" s="81"/>
      <c r="E69" s="81"/>
      <c r="F69" s="81"/>
      <c r="G69" s="16" t="s">
        <v>169</v>
      </c>
      <c r="H69" s="23">
        <v>1</v>
      </c>
      <c r="I69" s="23">
        <v>0</v>
      </c>
      <c r="J69" s="23">
        <f>H69*AO69</f>
        <v>0</v>
      </c>
      <c r="K69" s="23">
        <f>H69*AP69</f>
        <v>0</v>
      </c>
      <c r="L69" s="23">
        <f>H69*I69</f>
        <v>0</v>
      </c>
      <c r="M69" s="35"/>
      <c r="N69" s="36"/>
      <c r="Z69" s="39">
        <f>IF(AQ69="5",BJ69,0)</f>
        <v>0</v>
      </c>
      <c r="AB69" s="39">
        <f>IF(AQ69="1",BH69,0)</f>
        <v>0</v>
      </c>
      <c r="AC69" s="39">
        <f>IF(AQ69="1",BI69,0)</f>
        <v>0</v>
      </c>
      <c r="AD69" s="39">
        <f>IF(AQ69="7",BH69,0)</f>
        <v>0</v>
      </c>
      <c r="AE69" s="39">
        <f>IF(AQ69="7",BI69,0)</f>
        <v>0</v>
      </c>
      <c r="AF69" s="39">
        <f>IF(AQ69="2",BH69,0)</f>
        <v>0</v>
      </c>
      <c r="AG69" s="39">
        <f>IF(AQ69="2",BI69,0)</f>
        <v>0</v>
      </c>
      <c r="AH69" s="39">
        <f>IF(AQ69="0",BJ69,0)</f>
        <v>0</v>
      </c>
      <c r="AI69" s="38"/>
      <c r="AJ69" s="21">
        <f>IF(AN69=0,L69,0)</f>
        <v>0</v>
      </c>
      <c r="AK69" s="21">
        <f>IF(AN69=15,L69,0)</f>
        <v>0</v>
      </c>
      <c r="AL69" s="21">
        <f>IF(AN69=21,L69,0)</f>
        <v>0</v>
      </c>
      <c r="AN69" s="39">
        <v>21</v>
      </c>
      <c r="AO69" s="39">
        <f>I69*0</f>
        <v>0</v>
      </c>
      <c r="AP69" s="39">
        <f>I69*(1-0)</f>
        <v>0</v>
      </c>
      <c r="AQ69" s="40" t="s">
        <v>194</v>
      </c>
      <c r="AV69" s="39">
        <f>AW69+AX69</f>
        <v>0</v>
      </c>
      <c r="AW69" s="39">
        <f>H69*AO69</f>
        <v>0</v>
      </c>
      <c r="AX69" s="39">
        <f>H69*AP69</f>
        <v>0</v>
      </c>
      <c r="AY69" s="42" t="s">
        <v>209</v>
      </c>
      <c r="AZ69" s="42" t="s">
        <v>215</v>
      </c>
      <c r="BA69" s="38" t="s">
        <v>216</v>
      </c>
      <c r="BC69" s="39">
        <f>AW69+AX69</f>
        <v>0</v>
      </c>
      <c r="BD69" s="39">
        <f>I69/(100-BE69)*100</f>
        <v>0</v>
      </c>
      <c r="BE69" s="39">
        <v>0</v>
      </c>
      <c r="BF69" s="39">
        <f>69</f>
        <v>69</v>
      </c>
      <c r="BH69" s="21">
        <f>H69*AO69</f>
        <v>0</v>
      </c>
      <c r="BI69" s="21">
        <f>H69*AP69</f>
        <v>0</v>
      </c>
      <c r="BJ69" s="21">
        <f>H69*I69</f>
        <v>0</v>
      </c>
      <c r="BK69" s="21" t="s">
        <v>221</v>
      </c>
      <c r="BL69" s="39" t="s">
        <v>96</v>
      </c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2" t="s">
        <v>180</v>
      </c>
      <c r="K70" s="83"/>
      <c r="L70" s="46">
        <f>L12+L17+L19+L22+L24+L27+L30+L33+L40+L43+L57+L59+L61+L66+L68</f>
        <v>0</v>
      </c>
      <c r="M70" s="8"/>
    </row>
    <row r="71" ht="11.25" customHeight="1">
      <c r="A71" s="9" t="s">
        <v>49</v>
      </c>
    </row>
    <row r="72" spans="1:13" ht="12.7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</sheetData>
  <sheetProtection/>
  <mergeCells count="88"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J4:M5"/>
    <mergeCell ref="A6:B7"/>
    <mergeCell ref="C6:D7"/>
    <mergeCell ref="E6:F7"/>
    <mergeCell ref="G6:H7"/>
    <mergeCell ref="I6:I7"/>
    <mergeCell ref="J6:M7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9:F69"/>
    <mergeCell ref="J70:K70"/>
    <mergeCell ref="A72:M72"/>
    <mergeCell ref="C63:F63"/>
    <mergeCell ref="C64:F64"/>
    <mergeCell ref="C65:F65"/>
    <mergeCell ref="C66:F66"/>
    <mergeCell ref="C67:F67"/>
    <mergeCell ref="C68:F68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10" t="s">
        <v>224</v>
      </c>
      <c r="B1" s="111"/>
      <c r="C1" s="111"/>
      <c r="D1" s="111"/>
      <c r="E1" s="111"/>
      <c r="F1" s="111"/>
      <c r="G1" s="111"/>
    </row>
    <row r="2" spans="1:8" ht="12.75">
      <c r="A2" s="112" t="s">
        <v>1</v>
      </c>
      <c r="B2" s="113"/>
      <c r="C2" s="114" t="str">
        <f>'Stavební rozpočet'!C2</f>
        <v>Oprava chodníku ul. Karlova v úseku od komunikace Čsl. letců po nemocnici ve Varnsdorfu</v>
      </c>
      <c r="D2" s="116" t="s">
        <v>158</v>
      </c>
      <c r="E2" s="116" t="s">
        <v>6</v>
      </c>
      <c r="F2" s="117" t="s">
        <v>171</v>
      </c>
      <c r="G2" s="122" t="str">
        <f>'Stavební rozpočet'!J2</f>
        <v> </v>
      </c>
      <c r="H2" s="36"/>
    </row>
    <row r="3" spans="1:8" ht="12.75">
      <c r="A3" s="109"/>
      <c r="B3" s="85"/>
      <c r="C3" s="115"/>
      <c r="D3" s="85"/>
      <c r="E3" s="85"/>
      <c r="F3" s="85"/>
      <c r="G3" s="107"/>
      <c r="H3" s="36"/>
    </row>
    <row r="4" spans="1:8" ht="12.75">
      <c r="A4" s="103" t="s">
        <v>2</v>
      </c>
      <c r="B4" s="85"/>
      <c r="C4" s="84" t="str">
        <f>'Stavební rozpočet'!C4</f>
        <v>oprava chodníku</v>
      </c>
      <c r="D4" s="106" t="s">
        <v>159</v>
      </c>
      <c r="E4" s="106" t="s">
        <v>6</v>
      </c>
      <c r="F4" s="84" t="s">
        <v>172</v>
      </c>
      <c r="G4" s="121" t="str">
        <f>'Stavební rozpočet'!J4</f>
        <v> </v>
      </c>
      <c r="H4" s="36"/>
    </row>
    <row r="5" spans="1:8" ht="12.75">
      <c r="A5" s="109"/>
      <c r="B5" s="85"/>
      <c r="C5" s="85"/>
      <c r="D5" s="85"/>
      <c r="E5" s="85"/>
      <c r="F5" s="85"/>
      <c r="G5" s="107"/>
      <c r="H5" s="36"/>
    </row>
    <row r="6" spans="1:8" ht="12.75">
      <c r="A6" s="103" t="s">
        <v>3</v>
      </c>
      <c r="B6" s="85"/>
      <c r="C6" s="84" t="str">
        <f>'Stavební rozpočet'!C6</f>
        <v>ul. Karlova, Varnsdorf</v>
      </c>
      <c r="D6" s="106" t="s">
        <v>160</v>
      </c>
      <c r="E6" s="106" t="s">
        <v>6</v>
      </c>
      <c r="F6" s="84" t="s">
        <v>173</v>
      </c>
      <c r="G6" s="121" t="str">
        <f>'Stavební rozpočet'!J6</f>
        <v> </v>
      </c>
      <c r="H6" s="36"/>
    </row>
    <row r="7" spans="1:8" ht="12.75">
      <c r="A7" s="109"/>
      <c r="B7" s="85"/>
      <c r="C7" s="85"/>
      <c r="D7" s="85"/>
      <c r="E7" s="85"/>
      <c r="F7" s="85"/>
      <c r="G7" s="107"/>
      <c r="H7" s="36"/>
    </row>
    <row r="8" spans="1:8" ht="12.75">
      <c r="A8" s="103" t="s">
        <v>174</v>
      </c>
      <c r="B8" s="85"/>
      <c r="C8" s="84" t="str">
        <f>'Stavební rozpočet'!J8</f>
        <v> </v>
      </c>
      <c r="D8" s="106" t="s">
        <v>161</v>
      </c>
      <c r="E8" s="106" t="s">
        <v>162</v>
      </c>
      <c r="F8" s="106" t="s">
        <v>161</v>
      </c>
      <c r="G8" s="121" t="str">
        <f>'Stavební rozpočet'!G8</f>
        <v>24.05.2023</v>
      </c>
      <c r="H8" s="36"/>
    </row>
    <row r="9" spans="1:8" ht="12.75">
      <c r="A9" s="104"/>
      <c r="B9" s="105"/>
      <c r="C9" s="105"/>
      <c r="D9" s="120"/>
      <c r="E9" s="105"/>
      <c r="F9" s="105"/>
      <c r="G9" s="108"/>
      <c r="H9" s="36"/>
    </row>
    <row r="10" spans="1:8" ht="12.75">
      <c r="A10" s="47" t="s">
        <v>225</v>
      </c>
      <c r="B10" s="50" t="s">
        <v>50</v>
      </c>
      <c r="C10" s="52" t="s">
        <v>101</v>
      </c>
      <c r="D10" s="53"/>
      <c r="E10" s="54" t="s">
        <v>226</v>
      </c>
      <c r="F10" s="54" t="s">
        <v>227</v>
      </c>
      <c r="G10" s="54" t="s">
        <v>228</v>
      </c>
      <c r="H10" s="36"/>
    </row>
    <row r="11" spans="1:9" ht="12.75">
      <c r="A11" s="48"/>
      <c r="B11" s="51" t="s">
        <v>17</v>
      </c>
      <c r="C11" s="119" t="s">
        <v>103</v>
      </c>
      <c r="D11" s="85"/>
      <c r="E11" s="56">
        <f>'Stavební rozpočet'!J12</f>
        <v>0</v>
      </c>
      <c r="F11" s="56">
        <f>'Stavební rozpočet'!K12</f>
        <v>0</v>
      </c>
      <c r="G11" s="56">
        <f>'Stavební rozpočet'!L12</f>
        <v>0</v>
      </c>
      <c r="H11" s="39" t="s">
        <v>229</v>
      </c>
      <c r="I11" s="39">
        <f aca="true" t="shared" si="0" ref="I11:I26">IF(H11="F",0,G11)</f>
        <v>0</v>
      </c>
    </row>
    <row r="12" spans="1:9" ht="12.75">
      <c r="A12" s="49"/>
      <c r="B12" s="17" t="s">
        <v>18</v>
      </c>
      <c r="C12" s="106" t="s">
        <v>107</v>
      </c>
      <c r="D12" s="85"/>
      <c r="E12" s="39">
        <f>'Stavební rozpočet'!J17</f>
        <v>0</v>
      </c>
      <c r="F12" s="39">
        <f>'Stavební rozpočet'!K17</f>
        <v>0</v>
      </c>
      <c r="G12" s="39">
        <f>'Stavební rozpočet'!L17</f>
        <v>0</v>
      </c>
      <c r="H12" s="39" t="s">
        <v>229</v>
      </c>
      <c r="I12" s="39">
        <f t="shared" si="0"/>
        <v>0</v>
      </c>
    </row>
    <row r="13" spans="1:9" ht="12.75">
      <c r="A13" s="49"/>
      <c r="B13" s="17" t="s">
        <v>22</v>
      </c>
      <c r="C13" s="106" t="s">
        <v>109</v>
      </c>
      <c r="D13" s="85"/>
      <c r="E13" s="39">
        <f>'Stavební rozpočet'!J19</f>
        <v>0</v>
      </c>
      <c r="F13" s="39">
        <f>'Stavební rozpočet'!K19</f>
        <v>0</v>
      </c>
      <c r="G13" s="39">
        <f>'Stavební rozpočet'!L19</f>
        <v>0</v>
      </c>
      <c r="H13" s="39" t="s">
        <v>229</v>
      </c>
      <c r="I13" s="39">
        <f t="shared" si="0"/>
        <v>0</v>
      </c>
    </row>
    <row r="14" spans="1:9" ht="12.75">
      <c r="A14" s="49"/>
      <c r="B14" s="17" t="s">
        <v>23</v>
      </c>
      <c r="C14" s="106" t="s">
        <v>112</v>
      </c>
      <c r="D14" s="85"/>
      <c r="E14" s="39">
        <f>'Stavební rozpočet'!J22</f>
        <v>0</v>
      </c>
      <c r="F14" s="39">
        <f>'Stavební rozpočet'!K22</f>
        <v>0</v>
      </c>
      <c r="G14" s="39">
        <f>'Stavební rozpočet'!L22</f>
        <v>0</v>
      </c>
      <c r="H14" s="39" t="s">
        <v>229</v>
      </c>
      <c r="I14" s="39">
        <f t="shared" si="0"/>
        <v>0</v>
      </c>
    </row>
    <row r="15" spans="1:9" ht="12.75">
      <c r="A15" s="49"/>
      <c r="B15" s="17" t="s">
        <v>24</v>
      </c>
      <c r="C15" s="106" t="s">
        <v>114</v>
      </c>
      <c r="D15" s="85"/>
      <c r="E15" s="39">
        <f>'Stavební rozpočet'!J24</f>
        <v>0</v>
      </c>
      <c r="F15" s="39">
        <f>'Stavební rozpočet'!K24</f>
        <v>0</v>
      </c>
      <c r="G15" s="39">
        <f>'Stavební rozpočet'!L24</f>
        <v>0</v>
      </c>
      <c r="H15" s="39" t="s">
        <v>229</v>
      </c>
      <c r="I15" s="39">
        <f t="shared" si="0"/>
        <v>0</v>
      </c>
    </row>
    <row r="16" spans="1:9" ht="12.75">
      <c r="A16" s="49"/>
      <c r="B16" s="17" t="s">
        <v>61</v>
      </c>
      <c r="C16" s="106" t="s">
        <v>117</v>
      </c>
      <c r="D16" s="85"/>
      <c r="E16" s="39">
        <f>'Stavební rozpočet'!J27</f>
        <v>0</v>
      </c>
      <c r="F16" s="39">
        <f>'Stavební rozpočet'!K27</f>
        <v>0</v>
      </c>
      <c r="G16" s="39">
        <f>'Stavební rozpočet'!L27</f>
        <v>0</v>
      </c>
      <c r="H16" s="39" t="s">
        <v>229</v>
      </c>
      <c r="I16" s="39">
        <f t="shared" si="0"/>
        <v>0</v>
      </c>
    </row>
    <row r="17" spans="1:9" ht="12.75">
      <c r="A17" s="49"/>
      <c r="B17" s="17" t="s">
        <v>64</v>
      </c>
      <c r="C17" s="106" t="s">
        <v>120</v>
      </c>
      <c r="D17" s="85"/>
      <c r="E17" s="39">
        <f>'Stavební rozpočet'!J30</f>
        <v>0</v>
      </c>
      <c r="F17" s="39">
        <f>'Stavební rozpočet'!K30</f>
        <v>0</v>
      </c>
      <c r="G17" s="39">
        <f>'Stavební rozpočet'!L30</f>
        <v>0</v>
      </c>
      <c r="H17" s="39" t="s">
        <v>229</v>
      </c>
      <c r="I17" s="39">
        <f t="shared" si="0"/>
        <v>0</v>
      </c>
    </row>
    <row r="18" spans="1:9" ht="12.75">
      <c r="A18" s="49"/>
      <c r="B18" s="17" t="s">
        <v>67</v>
      </c>
      <c r="C18" s="106" t="s">
        <v>123</v>
      </c>
      <c r="D18" s="85"/>
      <c r="E18" s="39">
        <f>'Stavební rozpočet'!J33</f>
        <v>0</v>
      </c>
      <c r="F18" s="39">
        <f>'Stavební rozpočet'!K33</f>
        <v>0</v>
      </c>
      <c r="G18" s="39">
        <f>'Stavební rozpočet'!L33</f>
        <v>0</v>
      </c>
      <c r="H18" s="39" t="s">
        <v>229</v>
      </c>
      <c r="I18" s="39">
        <f t="shared" si="0"/>
        <v>0</v>
      </c>
    </row>
    <row r="19" spans="1:9" ht="12.75">
      <c r="A19" s="49"/>
      <c r="B19" s="17" t="s">
        <v>72</v>
      </c>
      <c r="C19" s="106" t="s">
        <v>130</v>
      </c>
      <c r="D19" s="85"/>
      <c r="E19" s="39">
        <f>'Stavební rozpočet'!J40</f>
        <v>0</v>
      </c>
      <c r="F19" s="39">
        <f>'Stavební rozpočet'!K40</f>
        <v>0</v>
      </c>
      <c r="G19" s="39">
        <f>'Stavební rozpočet'!L40</f>
        <v>0</v>
      </c>
      <c r="H19" s="39" t="s">
        <v>229</v>
      </c>
      <c r="I19" s="39">
        <f t="shared" si="0"/>
        <v>0</v>
      </c>
    </row>
    <row r="20" spans="1:9" ht="12.75">
      <c r="A20" s="49"/>
      <c r="B20" s="17" t="s">
        <v>75</v>
      </c>
      <c r="C20" s="106" t="s">
        <v>133</v>
      </c>
      <c r="D20" s="85"/>
      <c r="E20" s="39">
        <f>'Stavební rozpočet'!J43</f>
        <v>0</v>
      </c>
      <c r="F20" s="39">
        <f>'Stavební rozpočet'!K43</f>
        <v>0</v>
      </c>
      <c r="G20" s="39">
        <f>'Stavební rozpočet'!L43</f>
        <v>0</v>
      </c>
      <c r="H20" s="39" t="s">
        <v>229</v>
      </c>
      <c r="I20" s="39">
        <f t="shared" si="0"/>
        <v>0</v>
      </c>
    </row>
    <row r="21" spans="1:9" ht="12.75">
      <c r="A21" s="49"/>
      <c r="B21" s="17" t="s">
        <v>86</v>
      </c>
      <c r="C21" s="106" t="s">
        <v>147</v>
      </c>
      <c r="D21" s="85"/>
      <c r="E21" s="39">
        <f>'Stavební rozpočet'!J57</f>
        <v>0</v>
      </c>
      <c r="F21" s="39">
        <f>'Stavební rozpočet'!K57</f>
        <v>0</v>
      </c>
      <c r="G21" s="39">
        <f>'Stavební rozpočet'!L57</f>
        <v>0</v>
      </c>
      <c r="H21" s="39" t="s">
        <v>229</v>
      </c>
      <c r="I21" s="39">
        <f t="shared" si="0"/>
        <v>0</v>
      </c>
    </row>
    <row r="22" spans="1:9" ht="12.75">
      <c r="A22" s="49"/>
      <c r="B22" s="17" t="s">
        <v>88</v>
      </c>
      <c r="C22" s="106" t="s">
        <v>149</v>
      </c>
      <c r="D22" s="85"/>
      <c r="E22" s="39">
        <f>'Stavební rozpočet'!J59</f>
        <v>0</v>
      </c>
      <c r="F22" s="39">
        <f>'Stavební rozpočet'!K59</f>
        <v>0</v>
      </c>
      <c r="G22" s="39">
        <f>'Stavební rozpočet'!L59</f>
        <v>0</v>
      </c>
      <c r="H22" s="39" t="s">
        <v>229</v>
      </c>
      <c r="I22" s="39">
        <f t="shared" si="0"/>
        <v>0</v>
      </c>
    </row>
    <row r="23" spans="1:9" ht="12.75">
      <c r="A23" s="49"/>
      <c r="B23" s="17" t="s">
        <v>90</v>
      </c>
      <c r="C23" s="106" t="s">
        <v>151</v>
      </c>
      <c r="D23" s="85"/>
      <c r="E23" s="39">
        <f>'Stavební rozpočet'!J61</f>
        <v>0</v>
      </c>
      <c r="F23" s="39">
        <f>'Stavební rozpočet'!K61</f>
        <v>0</v>
      </c>
      <c r="G23" s="39">
        <f>'Stavební rozpočet'!L61</f>
        <v>0</v>
      </c>
      <c r="H23" s="39" t="s">
        <v>229</v>
      </c>
      <c r="I23" s="39">
        <f t="shared" si="0"/>
        <v>0</v>
      </c>
    </row>
    <row r="24" spans="1:9" ht="12.75">
      <c r="A24" s="49"/>
      <c r="B24" s="17"/>
      <c r="C24" s="106" t="s">
        <v>155</v>
      </c>
      <c r="D24" s="85"/>
      <c r="E24" s="39">
        <f>'Stavební rozpočet'!J65</f>
        <v>0</v>
      </c>
      <c r="F24" s="39">
        <f>'Stavební rozpočet'!K65</f>
        <v>0</v>
      </c>
      <c r="G24" s="39">
        <f>'Stavební rozpočet'!L65</f>
        <v>0</v>
      </c>
      <c r="H24" s="39" t="s">
        <v>230</v>
      </c>
      <c r="I24" s="39">
        <f t="shared" si="0"/>
        <v>0</v>
      </c>
    </row>
    <row r="25" spans="1:9" ht="12.75">
      <c r="A25" s="49"/>
      <c r="B25" s="17" t="s">
        <v>94</v>
      </c>
      <c r="C25" s="106" t="s">
        <v>156</v>
      </c>
      <c r="D25" s="85"/>
      <c r="E25" s="39">
        <f>'Stavební rozpočet'!J66</f>
        <v>0</v>
      </c>
      <c r="F25" s="39">
        <f>'Stavební rozpočet'!K66</f>
        <v>0</v>
      </c>
      <c r="G25" s="39">
        <f>'Stavební rozpočet'!L66</f>
        <v>0</v>
      </c>
      <c r="H25" s="39" t="s">
        <v>229</v>
      </c>
      <c r="I25" s="39">
        <f t="shared" si="0"/>
        <v>0</v>
      </c>
    </row>
    <row r="26" spans="1:9" ht="12.75">
      <c r="A26" s="49"/>
      <c r="B26" s="17" t="s">
        <v>96</v>
      </c>
      <c r="C26" s="106" t="s">
        <v>157</v>
      </c>
      <c r="D26" s="85"/>
      <c r="E26" s="39">
        <f>'Stavební rozpočet'!J68</f>
        <v>0</v>
      </c>
      <c r="F26" s="39">
        <f>'Stavební rozpočet'!K68</f>
        <v>0</v>
      </c>
      <c r="G26" s="39">
        <f>'Stavební rozpočet'!L68</f>
        <v>0</v>
      </c>
      <c r="H26" s="39" t="s">
        <v>229</v>
      </c>
      <c r="I26" s="39">
        <f t="shared" si="0"/>
        <v>0</v>
      </c>
    </row>
    <row r="27" spans="6:7" ht="12.75">
      <c r="F27" s="55" t="s">
        <v>180</v>
      </c>
      <c r="G27" s="57">
        <f>SUM(I11:I26)</f>
        <v>0</v>
      </c>
    </row>
  </sheetData>
  <sheetProtection/>
  <mergeCells count="41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22:D22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14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10" t="s">
        <v>231</v>
      </c>
      <c r="B1" s="111"/>
      <c r="C1" s="111"/>
      <c r="D1" s="111"/>
      <c r="E1" s="111"/>
      <c r="F1" s="111"/>
      <c r="G1" s="111"/>
      <c r="H1" s="111"/>
    </row>
    <row r="2" spans="1:9" ht="12.75">
      <c r="A2" s="112" t="s">
        <v>1</v>
      </c>
      <c r="B2" s="113"/>
      <c r="C2" s="114" t="str">
        <f>'Stavební rozpočet'!C2</f>
        <v>Oprava chodníku ul. Karlova v úseku od komunikace Čsl. letců po nemocnici ve Varnsdorfu</v>
      </c>
      <c r="D2" s="83"/>
      <c r="E2" s="117" t="s">
        <v>171</v>
      </c>
      <c r="F2" s="117" t="str">
        <f>'Stavební rozpočet'!J2</f>
        <v> </v>
      </c>
      <c r="G2" s="113"/>
      <c r="H2" s="118"/>
      <c r="I2" s="36"/>
    </row>
    <row r="3" spans="1:9" ht="12.75">
      <c r="A3" s="109"/>
      <c r="B3" s="85"/>
      <c r="C3" s="115"/>
      <c r="D3" s="115"/>
      <c r="E3" s="85"/>
      <c r="F3" s="85"/>
      <c r="G3" s="85"/>
      <c r="H3" s="107"/>
      <c r="I3" s="36"/>
    </row>
    <row r="4" spans="1:9" ht="12.75">
      <c r="A4" s="103" t="s">
        <v>2</v>
      </c>
      <c r="B4" s="85"/>
      <c r="C4" s="84" t="str">
        <f>'Stavební rozpočet'!C4</f>
        <v>oprava chodníku</v>
      </c>
      <c r="D4" s="85"/>
      <c r="E4" s="84" t="s">
        <v>172</v>
      </c>
      <c r="F4" s="84" t="str">
        <f>'Stavební rozpočet'!J4</f>
        <v> </v>
      </c>
      <c r="G4" s="85"/>
      <c r="H4" s="107"/>
      <c r="I4" s="36"/>
    </row>
    <row r="5" spans="1:9" ht="12.75">
      <c r="A5" s="109"/>
      <c r="B5" s="85"/>
      <c r="C5" s="85"/>
      <c r="D5" s="85"/>
      <c r="E5" s="85"/>
      <c r="F5" s="85"/>
      <c r="G5" s="85"/>
      <c r="H5" s="107"/>
      <c r="I5" s="36"/>
    </row>
    <row r="6" spans="1:9" ht="12.75">
      <c r="A6" s="103" t="s">
        <v>3</v>
      </c>
      <c r="B6" s="85"/>
      <c r="C6" s="84" t="str">
        <f>'Stavební rozpočet'!C6</f>
        <v>ul. Karlova, Varnsdorf</v>
      </c>
      <c r="D6" s="85"/>
      <c r="E6" s="84" t="s">
        <v>173</v>
      </c>
      <c r="F6" s="84" t="str">
        <f>'Stavební rozpočet'!J6</f>
        <v> </v>
      </c>
      <c r="G6" s="85"/>
      <c r="H6" s="107"/>
      <c r="I6" s="36"/>
    </row>
    <row r="7" spans="1:9" ht="12.75">
      <c r="A7" s="109"/>
      <c r="B7" s="85"/>
      <c r="C7" s="85"/>
      <c r="D7" s="85"/>
      <c r="E7" s="85"/>
      <c r="F7" s="85"/>
      <c r="G7" s="85"/>
      <c r="H7" s="107"/>
      <c r="I7" s="36"/>
    </row>
    <row r="8" spans="1:9" ht="12.75">
      <c r="A8" s="103" t="s">
        <v>174</v>
      </c>
      <c r="B8" s="85"/>
      <c r="C8" s="84" t="str">
        <f>'Stavební rozpočet'!J8</f>
        <v> </v>
      </c>
      <c r="D8" s="85"/>
      <c r="E8" s="84" t="s">
        <v>161</v>
      </c>
      <c r="F8" s="84" t="str">
        <f>'Stavební rozpočet'!G8</f>
        <v>24.05.2023</v>
      </c>
      <c r="G8" s="85"/>
      <c r="H8" s="107"/>
      <c r="I8" s="36"/>
    </row>
    <row r="9" spans="1:9" ht="12.75">
      <c r="A9" s="104"/>
      <c r="B9" s="105"/>
      <c r="C9" s="105"/>
      <c r="D9" s="105"/>
      <c r="E9" s="105"/>
      <c r="F9" s="105"/>
      <c r="G9" s="105"/>
      <c r="H9" s="108"/>
      <c r="I9" s="36"/>
    </row>
    <row r="10" spans="1:9" ht="12.75">
      <c r="A10" s="58" t="s">
        <v>5</v>
      </c>
      <c r="B10" s="59" t="s">
        <v>225</v>
      </c>
      <c r="C10" s="59" t="s">
        <v>50</v>
      </c>
      <c r="D10" s="123" t="s">
        <v>101</v>
      </c>
      <c r="E10" s="124"/>
      <c r="F10" s="59" t="s">
        <v>163</v>
      </c>
      <c r="G10" s="60" t="s">
        <v>170</v>
      </c>
      <c r="H10" s="61" t="s">
        <v>232</v>
      </c>
      <c r="I10" s="37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ht="11.25" customHeight="1">
      <c r="A12" s="9" t="s">
        <v>49</v>
      </c>
    </row>
    <row r="13" spans="1:7" ht="12.75">
      <c r="A13" s="84"/>
      <c r="B13" s="85"/>
      <c r="C13" s="85"/>
      <c r="D13" s="85"/>
      <c r="E13" s="85"/>
      <c r="F13" s="85"/>
      <c r="G13" s="85"/>
    </row>
  </sheetData>
  <sheetProtection/>
  <mergeCells count="1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D10:E10"/>
    <mergeCell ref="A13:G13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9"/>
      <c r="B1" s="62"/>
      <c r="C1" s="147" t="s">
        <v>248</v>
      </c>
      <c r="D1" s="111"/>
      <c r="E1" s="111"/>
      <c r="F1" s="111"/>
      <c r="G1" s="111"/>
      <c r="H1" s="111"/>
      <c r="I1" s="111"/>
    </row>
    <row r="2" spans="1:10" ht="12.75">
      <c r="A2" s="112" t="s">
        <v>1</v>
      </c>
      <c r="B2" s="113"/>
      <c r="C2" s="114" t="str">
        <f>'Stavební rozpočet'!C2</f>
        <v>Oprava chodníku ul. Karlova v úseku od komunikace Čsl. letců po nemocnici ve Varnsdorfu</v>
      </c>
      <c r="D2" s="83"/>
      <c r="E2" s="117" t="s">
        <v>171</v>
      </c>
      <c r="F2" s="117" t="str">
        <f>'Stavební rozpočet'!J2</f>
        <v> </v>
      </c>
      <c r="G2" s="113"/>
      <c r="H2" s="117" t="s">
        <v>268</v>
      </c>
      <c r="I2" s="148"/>
      <c r="J2" s="36"/>
    </row>
    <row r="3" spans="1:10" ht="25.5" customHeight="1">
      <c r="A3" s="109"/>
      <c r="B3" s="85"/>
      <c r="C3" s="115"/>
      <c r="D3" s="115"/>
      <c r="E3" s="85"/>
      <c r="F3" s="85"/>
      <c r="G3" s="85"/>
      <c r="H3" s="85"/>
      <c r="I3" s="107"/>
      <c r="J3" s="36"/>
    </row>
    <row r="4" spans="1:10" ht="12.75">
      <c r="A4" s="103" t="s">
        <v>2</v>
      </c>
      <c r="B4" s="85"/>
      <c r="C4" s="84" t="str">
        <f>'Stavební rozpočet'!C4</f>
        <v>oprava chodníku</v>
      </c>
      <c r="D4" s="85"/>
      <c r="E4" s="84" t="s">
        <v>172</v>
      </c>
      <c r="F4" s="84" t="str">
        <f>'Stavební rozpočet'!J4</f>
        <v> </v>
      </c>
      <c r="G4" s="85"/>
      <c r="H4" s="84" t="s">
        <v>268</v>
      </c>
      <c r="I4" s="146"/>
      <c r="J4" s="36"/>
    </row>
    <row r="5" spans="1:10" ht="12.75">
      <c r="A5" s="109"/>
      <c r="B5" s="85"/>
      <c r="C5" s="85"/>
      <c r="D5" s="85"/>
      <c r="E5" s="85"/>
      <c r="F5" s="85"/>
      <c r="G5" s="85"/>
      <c r="H5" s="85"/>
      <c r="I5" s="107"/>
      <c r="J5" s="36"/>
    </row>
    <row r="6" spans="1:10" ht="12.75">
      <c r="A6" s="103" t="s">
        <v>3</v>
      </c>
      <c r="B6" s="85"/>
      <c r="C6" s="84" t="str">
        <f>'Stavební rozpočet'!C6</f>
        <v>ul. Karlova, Varnsdorf</v>
      </c>
      <c r="D6" s="85"/>
      <c r="E6" s="84" t="s">
        <v>173</v>
      </c>
      <c r="F6" s="84" t="str">
        <f>'Stavební rozpočet'!J6</f>
        <v> </v>
      </c>
      <c r="G6" s="85"/>
      <c r="H6" s="84" t="s">
        <v>268</v>
      </c>
      <c r="I6" s="146"/>
      <c r="J6" s="36"/>
    </row>
    <row r="7" spans="1:10" ht="12.75">
      <c r="A7" s="109"/>
      <c r="B7" s="85"/>
      <c r="C7" s="85"/>
      <c r="D7" s="85"/>
      <c r="E7" s="85"/>
      <c r="F7" s="85"/>
      <c r="G7" s="85"/>
      <c r="H7" s="85"/>
      <c r="I7" s="107"/>
      <c r="J7" s="36"/>
    </row>
    <row r="8" spans="1:10" ht="12.75">
      <c r="A8" s="103" t="s">
        <v>159</v>
      </c>
      <c r="B8" s="85"/>
      <c r="C8" s="84" t="str">
        <f>'Stavební rozpočet'!G4</f>
        <v> </v>
      </c>
      <c r="D8" s="85"/>
      <c r="E8" s="84" t="s">
        <v>160</v>
      </c>
      <c r="F8" s="84" t="str">
        <f>'Stavební rozpočet'!G6</f>
        <v> </v>
      </c>
      <c r="G8" s="85"/>
      <c r="H8" s="106" t="s">
        <v>269</v>
      </c>
      <c r="I8" s="146" t="s">
        <v>48</v>
      </c>
      <c r="J8" s="36"/>
    </row>
    <row r="9" spans="1:10" ht="12.75">
      <c r="A9" s="109"/>
      <c r="B9" s="85"/>
      <c r="C9" s="85"/>
      <c r="D9" s="85"/>
      <c r="E9" s="85"/>
      <c r="F9" s="85"/>
      <c r="G9" s="85"/>
      <c r="H9" s="85"/>
      <c r="I9" s="107"/>
      <c r="J9" s="36"/>
    </row>
    <row r="10" spans="1:10" ht="12.75">
      <c r="A10" s="103" t="s">
        <v>4</v>
      </c>
      <c r="B10" s="85"/>
      <c r="C10" s="84" t="str">
        <f>'Stavební rozpočet'!C8</f>
        <v> </v>
      </c>
      <c r="D10" s="85"/>
      <c r="E10" s="84" t="s">
        <v>174</v>
      </c>
      <c r="F10" s="84" t="str">
        <f>'Stavební rozpočet'!J8</f>
        <v> </v>
      </c>
      <c r="G10" s="85"/>
      <c r="H10" s="106" t="s">
        <v>270</v>
      </c>
      <c r="I10" s="121" t="str">
        <f>'Stavební rozpočet'!G8</f>
        <v>24.05.2023</v>
      </c>
      <c r="J10" s="36"/>
    </row>
    <row r="11" spans="1:10" ht="12.75">
      <c r="A11" s="144"/>
      <c r="B11" s="120"/>
      <c r="C11" s="120"/>
      <c r="D11" s="120"/>
      <c r="E11" s="120"/>
      <c r="F11" s="120"/>
      <c r="G11" s="120"/>
      <c r="H11" s="120"/>
      <c r="I11" s="145"/>
      <c r="J11" s="36"/>
    </row>
    <row r="12" spans="1:9" ht="23.25" customHeight="1">
      <c r="A12" s="140" t="s">
        <v>233</v>
      </c>
      <c r="B12" s="141"/>
      <c r="C12" s="141"/>
      <c r="D12" s="141"/>
      <c r="E12" s="141"/>
      <c r="F12" s="141"/>
      <c r="G12" s="141"/>
      <c r="H12" s="141"/>
      <c r="I12" s="141"/>
    </row>
    <row r="13" spans="1:10" ht="26.25" customHeight="1">
      <c r="A13" s="63" t="s">
        <v>234</v>
      </c>
      <c r="B13" s="142" t="s">
        <v>246</v>
      </c>
      <c r="C13" s="143"/>
      <c r="D13" s="63" t="s">
        <v>249</v>
      </c>
      <c r="E13" s="142" t="s">
        <v>255</v>
      </c>
      <c r="F13" s="143"/>
      <c r="G13" s="63" t="s">
        <v>256</v>
      </c>
      <c r="H13" s="142" t="s">
        <v>271</v>
      </c>
      <c r="I13" s="143"/>
      <c r="J13" s="36"/>
    </row>
    <row r="14" spans="1:10" ht="15" customHeight="1">
      <c r="A14" s="64" t="s">
        <v>235</v>
      </c>
      <c r="B14" s="68" t="s">
        <v>247</v>
      </c>
      <c r="C14" s="72">
        <f>SUM('Stavební rozpočet'!AB12:AB69)</f>
        <v>0</v>
      </c>
      <c r="D14" s="138"/>
      <c r="E14" s="139"/>
      <c r="F14" s="72">
        <v>0</v>
      </c>
      <c r="G14" s="138" t="s">
        <v>156</v>
      </c>
      <c r="H14" s="139"/>
      <c r="I14" s="73" t="s">
        <v>272</v>
      </c>
      <c r="J14" s="36"/>
    </row>
    <row r="15" spans="1:10" ht="15" customHeight="1">
      <c r="A15" s="65"/>
      <c r="B15" s="68" t="s">
        <v>181</v>
      </c>
      <c r="C15" s="72">
        <f>SUM('Stavební rozpočet'!AC12:AC69)</f>
        <v>0</v>
      </c>
      <c r="D15" s="138"/>
      <c r="E15" s="139"/>
      <c r="F15" s="72">
        <v>0</v>
      </c>
      <c r="G15" s="138" t="s">
        <v>257</v>
      </c>
      <c r="H15" s="139"/>
      <c r="I15" s="73" t="s">
        <v>272</v>
      </c>
      <c r="J15" s="36"/>
    </row>
    <row r="16" spans="1:10" ht="15" customHeight="1">
      <c r="A16" s="64" t="s">
        <v>236</v>
      </c>
      <c r="B16" s="68" t="s">
        <v>247</v>
      </c>
      <c r="C16" s="72">
        <f>SUM('Stavební rozpočet'!AD12:AD69)</f>
        <v>0</v>
      </c>
      <c r="D16" s="138"/>
      <c r="E16" s="139"/>
      <c r="F16" s="72">
        <v>0</v>
      </c>
      <c r="G16" s="138" t="s">
        <v>258</v>
      </c>
      <c r="H16" s="139"/>
      <c r="I16" s="73" t="s">
        <v>272</v>
      </c>
      <c r="J16" s="36"/>
    </row>
    <row r="17" spans="1:10" ht="15" customHeight="1">
      <c r="A17" s="65"/>
      <c r="B17" s="68" t="s">
        <v>181</v>
      </c>
      <c r="C17" s="72">
        <f>SUM('Stavební rozpočet'!AE12:AE69)</f>
        <v>0</v>
      </c>
      <c r="D17" s="138"/>
      <c r="E17" s="139"/>
      <c r="F17" s="73"/>
      <c r="G17" s="138" t="s">
        <v>157</v>
      </c>
      <c r="H17" s="139"/>
      <c r="I17" s="73" t="s">
        <v>272</v>
      </c>
      <c r="J17" s="36"/>
    </row>
    <row r="18" spans="1:10" ht="15" customHeight="1">
      <c r="A18" s="64" t="s">
        <v>237</v>
      </c>
      <c r="B18" s="68" t="s">
        <v>247</v>
      </c>
      <c r="C18" s="72">
        <f>SUM('Stavební rozpočet'!AF12:AF69)</f>
        <v>0</v>
      </c>
      <c r="D18" s="138"/>
      <c r="E18" s="139"/>
      <c r="F18" s="73"/>
      <c r="G18" s="138" t="s">
        <v>259</v>
      </c>
      <c r="H18" s="139"/>
      <c r="I18" s="73" t="s">
        <v>272</v>
      </c>
      <c r="J18" s="36"/>
    </row>
    <row r="19" spans="1:10" ht="15" customHeight="1">
      <c r="A19" s="65"/>
      <c r="B19" s="68" t="s">
        <v>181</v>
      </c>
      <c r="C19" s="72">
        <f>SUM('Stavební rozpočet'!AG12:AG69)</f>
        <v>0</v>
      </c>
      <c r="D19" s="138"/>
      <c r="E19" s="139"/>
      <c r="F19" s="73"/>
      <c r="G19" s="138" t="s">
        <v>260</v>
      </c>
      <c r="H19" s="139"/>
      <c r="I19" s="73" t="s">
        <v>272</v>
      </c>
      <c r="J19" s="36"/>
    </row>
    <row r="20" spans="1:10" ht="15" customHeight="1">
      <c r="A20" s="136" t="s">
        <v>238</v>
      </c>
      <c r="B20" s="137"/>
      <c r="C20" s="72">
        <f>SUM('Stavební rozpočet'!AH12:AH69)</f>
        <v>0</v>
      </c>
      <c r="D20" s="138"/>
      <c r="E20" s="139"/>
      <c r="F20" s="73"/>
      <c r="G20" s="138"/>
      <c r="H20" s="139"/>
      <c r="I20" s="73"/>
      <c r="J20" s="36"/>
    </row>
    <row r="21" spans="1:10" ht="15" customHeight="1">
      <c r="A21" s="136" t="s">
        <v>239</v>
      </c>
      <c r="B21" s="137"/>
      <c r="C21" s="72">
        <f>SUM('Stavební rozpočet'!Z12:Z69)</f>
        <v>0</v>
      </c>
      <c r="D21" s="138"/>
      <c r="E21" s="139"/>
      <c r="F21" s="73"/>
      <c r="G21" s="138"/>
      <c r="H21" s="139"/>
      <c r="I21" s="73"/>
      <c r="J21" s="36"/>
    </row>
    <row r="22" spans="1:10" ht="16.5" customHeight="1">
      <c r="A22" s="136" t="s">
        <v>240</v>
      </c>
      <c r="B22" s="137"/>
      <c r="C22" s="72">
        <f>SUM(C14:C21)</f>
        <v>0</v>
      </c>
      <c r="D22" s="136" t="s">
        <v>250</v>
      </c>
      <c r="E22" s="137"/>
      <c r="F22" s="72">
        <f>SUM(F14:F21)</f>
        <v>0</v>
      </c>
      <c r="G22" s="136" t="s">
        <v>261</v>
      </c>
      <c r="H22" s="137"/>
      <c r="I22" s="72">
        <f>SUM(I14:I21)</f>
        <v>0</v>
      </c>
      <c r="J22" s="36"/>
    </row>
    <row r="23" spans="1:10" ht="15" customHeight="1">
      <c r="A23" s="8"/>
      <c r="B23" s="8"/>
      <c r="C23" s="70"/>
      <c r="D23" s="136" t="s">
        <v>251</v>
      </c>
      <c r="E23" s="137"/>
      <c r="F23" s="74">
        <v>0</v>
      </c>
      <c r="G23" s="136" t="s">
        <v>262</v>
      </c>
      <c r="H23" s="137"/>
      <c r="I23" s="72">
        <v>0</v>
      </c>
      <c r="J23" s="36"/>
    </row>
    <row r="24" spans="4:9" ht="15" customHeight="1">
      <c r="D24" s="8"/>
      <c r="E24" s="8"/>
      <c r="F24" s="75"/>
      <c r="G24" s="136" t="s">
        <v>263</v>
      </c>
      <c r="H24" s="137"/>
      <c r="I24" s="77"/>
    </row>
    <row r="25" spans="6:10" ht="15" customHeight="1">
      <c r="F25" s="76"/>
      <c r="G25" s="136" t="s">
        <v>264</v>
      </c>
      <c r="H25" s="137"/>
      <c r="I25" s="72">
        <v>0</v>
      </c>
      <c r="J25" s="36"/>
    </row>
    <row r="26" spans="1:9" ht="12.75">
      <c r="A26" s="62"/>
      <c r="B26" s="62"/>
      <c r="C26" s="62"/>
      <c r="G26" s="8"/>
      <c r="H26" s="8"/>
      <c r="I26" s="8"/>
    </row>
    <row r="27" spans="1:9" ht="15" customHeight="1">
      <c r="A27" s="131" t="s">
        <v>241</v>
      </c>
      <c r="B27" s="132"/>
      <c r="C27" s="78">
        <f>SUM('Stavební rozpočet'!AJ12:AJ69)</f>
        <v>0</v>
      </c>
      <c r="D27" s="71"/>
      <c r="E27" s="62"/>
      <c r="F27" s="62"/>
      <c r="G27" s="62"/>
      <c r="H27" s="62"/>
      <c r="I27" s="62"/>
    </row>
    <row r="28" spans="1:10" ht="15" customHeight="1">
      <c r="A28" s="131" t="s">
        <v>242</v>
      </c>
      <c r="B28" s="132"/>
      <c r="C28" s="78">
        <f>SUM('Stavební rozpočet'!AK12:AK69)</f>
        <v>0</v>
      </c>
      <c r="D28" s="131" t="s">
        <v>252</v>
      </c>
      <c r="E28" s="132"/>
      <c r="F28" s="78">
        <f>ROUND(C28*(15/100),2)</f>
        <v>0</v>
      </c>
      <c r="G28" s="131" t="s">
        <v>265</v>
      </c>
      <c r="H28" s="132"/>
      <c r="I28" s="78">
        <f>SUM(C27:C29)</f>
        <v>0</v>
      </c>
      <c r="J28" s="36"/>
    </row>
    <row r="29" spans="1:10" ht="15" customHeight="1">
      <c r="A29" s="131" t="s">
        <v>243</v>
      </c>
      <c r="B29" s="132"/>
      <c r="C29" s="78">
        <f>SUM('Stavební rozpočet'!AL12:AL69)</f>
        <v>0</v>
      </c>
      <c r="D29" s="131" t="s">
        <v>253</v>
      </c>
      <c r="E29" s="132"/>
      <c r="F29" s="78">
        <f>ROUND(C29*(21/100),2)</f>
        <v>0</v>
      </c>
      <c r="G29" s="131" t="s">
        <v>266</v>
      </c>
      <c r="H29" s="132"/>
      <c r="I29" s="78">
        <f>SUM(F28:F29)+I28</f>
        <v>0</v>
      </c>
      <c r="J29" s="36"/>
    </row>
    <row r="30" spans="1:9" ht="12.75">
      <c r="A30" s="66"/>
      <c r="B30" s="66"/>
      <c r="C30" s="66"/>
      <c r="D30" s="66"/>
      <c r="E30" s="66"/>
      <c r="F30" s="66"/>
      <c r="G30" s="66"/>
      <c r="H30" s="66"/>
      <c r="I30" s="66"/>
    </row>
    <row r="31" spans="1:10" ht="14.25" customHeight="1">
      <c r="A31" s="133" t="s">
        <v>244</v>
      </c>
      <c r="B31" s="134"/>
      <c r="C31" s="135"/>
      <c r="D31" s="133" t="s">
        <v>254</v>
      </c>
      <c r="E31" s="134"/>
      <c r="F31" s="135"/>
      <c r="G31" s="133" t="s">
        <v>267</v>
      </c>
      <c r="H31" s="134"/>
      <c r="I31" s="135"/>
      <c r="J31" s="37"/>
    </row>
    <row r="32" spans="1:10" ht="14.25" customHeight="1">
      <c r="A32" s="125"/>
      <c r="B32" s="126"/>
      <c r="C32" s="127"/>
      <c r="D32" s="125"/>
      <c r="E32" s="126"/>
      <c r="F32" s="127"/>
      <c r="G32" s="125"/>
      <c r="H32" s="126"/>
      <c r="I32" s="127"/>
      <c r="J32" s="37"/>
    </row>
    <row r="33" spans="1:10" ht="14.25" customHeight="1">
      <c r="A33" s="125"/>
      <c r="B33" s="126"/>
      <c r="C33" s="127"/>
      <c r="D33" s="125"/>
      <c r="E33" s="126"/>
      <c r="F33" s="127"/>
      <c r="G33" s="125"/>
      <c r="H33" s="126"/>
      <c r="I33" s="127"/>
      <c r="J33" s="37"/>
    </row>
    <row r="34" spans="1:10" ht="14.25" customHeight="1">
      <c r="A34" s="125"/>
      <c r="B34" s="126"/>
      <c r="C34" s="127"/>
      <c r="D34" s="125"/>
      <c r="E34" s="126"/>
      <c r="F34" s="127"/>
      <c r="G34" s="125"/>
      <c r="H34" s="126"/>
      <c r="I34" s="127"/>
      <c r="J34" s="37"/>
    </row>
    <row r="35" spans="1:10" ht="14.25" customHeight="1">
      <c r="A35" s="128" t="s">
        <v>245</v>
      </c>
      <c r="B35" s="129"/>
      <c r="C35" s="130"/>
      <c r="D35" s="128" t="s">
        <v>245</v>
      </c>
      <c r="E35" s="129"/>
      <c r="F35" s="130"/>
      <c r="G35" s="128" t="s">
        <v>245</v>
      </c>
      <c r="H35" s="129"/>
      <c r="I35" s="130"/>
      <c r="J35" s="37"/>
    </row>
    <row r="36" spans="1:9" ht="11.25" customHeight="1">
      <c r="A36" s="67" t="s">
        <v>49</v>
      </c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84"/>
      <c r="B37" s="85"/>
      <c r="C37" s="85"/>
      <c r="D37" s="85"/>
      <c r="E37" s="85"/>
      <c r="F37" s="85"/>
      <c r="G37" s="85"/>
      <c r="H37" s="85"/>
      <c r="I37" s="85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Viktorie Gabrielová</dc:creator>
  <cp:keywords/>
  <dc:description/>
  <cp:lastModifiedBy>Viktorie Gabrielová</cp:lastModifiedBy>
  <dcterms:created xsi:type="dcterms:W3CDTF">2023-05-24T13:55:35Z</dcterms:created>
  <dcterms:modified xsi:type="dcterms:W3CDTF">2023-05-25T08:47:44Z</dcterms:modified>
  <cp:category/>
  <cp:version/>
  <cp:contentType/>
  <cp:contentStatus/>
</cp:coreProperties>
</file>