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<sst xmlns="http://schemas.openxmlformats.org/spreadsheetml/2006/main" count="2612" uniqueCount="1052">
  <si>
    <t>Slepý stavební rozpočet</t>
  </si>
  <si>
    <t>Název stavby:</t>
  </si>
  <si>
    <t>ZATEPLENÍ OBJEKTU BD Č.P.3023</t>
  </si>
  <si>
    <t>Doba výstavby:</t>
  </si>
  <si>
    <t xml:space="preserve"> </t>
  </si>
  <si>
    <t>Objednatel:</t>
  </si>
  <si>
    <t>MĚSTO VARNSDORF</t>
  </si>
  <si>
    <t>Druh stavby:</t>
  </si>
  <si>
    <t>STAVEBNÍ PRÁCE</t>
  </si>
  <si>
    <t>Začátek výstavby:</t>
  </si>
  <si>
    <t>Projektant:</t>
  </si>
  <si>
    <t>ING.JIŘÍ DRAHOTA</t>
  </si>
  <si>
    <t>Lokalita:</t>
  </si>
  <si>
    <t>VARNSDORF,KMOCHOVA,Č.P.3023</t>
  </si>
  <si>
    <t>Konec výstavby:</t>
  </si>
  <si>
    <t>Zhotovitel:</t>
  </si>
  <si>
    <t>BUDE VYBRÁN VÝBĚROVÝM ŘÍZENÍM</t>
  </si>
  <si>
    <t>JKSO:</t>
  </si>
  <si>
    <t>Zpracováno dne:</t>
  </si>
  <si>
    <t>31.03.2020</t>
  </si>
  <si>
    <t>Zpracoval:</t>
  </si>
  <si>
    <t>IIČVDF</t>
  </si>
  <si>
    <t>Č</t>
  </si>
  <si>
    <t>Kód</t>
  </si>
  <si>
    <t>Zkrácený popis</t>
  </si>
  <si>
    <t>MJ</t>
  </si>
  <si>
    <t>Množství</t>
  </si>
  <si>
    <t>Cena/MJ</t>
  </si>
  <si>
    <t>Náklady (Kč)</t>
  </si>
  <si>
    <t>Cenová</t>
  </si>
  <si>
    <t>Rozměry</t>
  </si>
  <si>
    <t>(Kč)</t>
  </si>
  <si>
    <t>Dodávka</t>
  </si>
  <si>
    <t>Montáž</t>
  </si>
  <si>
    <t>Celkem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</si>
  <si>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</si>
  <si>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</si>
  <si>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</si>
  <si>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</si>
  <si>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</si>
  <si>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</si>
  <si>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</si>
  <si>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</si>
  <si>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</si>
  <si>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</si>
  <si>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</si>
  <si>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</si>
  <si>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</si>
  <si>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0</t>
  </si>
  <si>
    <t>Všeobecné konstrukce a práce</t>
  </si>
  <si>
    <t>1</t>
  </si>
  <si>
    <t>011123110</t>
  </si>
  <si>
    <t>Průzkumy a výtažné zkoušky</t>
  </si>
  <si>
    <t>soub</t>
  </si>
  <si>
    <t>RTS II / 2019</t>
  </si>
  <si>
    <t>0_</t>
  </si>
  <si>
    <t>_</t>
  </si>
  <si>
    <t>1   </t>
  </si>
  <si>
    <t>2</t>
  </si>
  <si>
    <t>011123120</t>
  </si>
  <si>
    <t>Dokumentace skutečného provedení</t>
  </si>
  <si>
    <t>3</t>
  </si>
  <si>
    <t>011123260</t>
  </si>
  <si>
    <t>Mimostaveništní doprava</t>
  </si>
  <si>
    <t>4</t>
  </si>
  <si>
    <t>011123510</t>
  </si>
  <si>
    <t>Územní vlivy</t>
  </si>
  <si>
    <t>1   zajištění proti účinkům větru,odvodnění při větších dešťových srážkách,vlivy klimatických podmínek</t>
  </si>
  <si>
    <t>5</t>
  </si>
  <si>
    <t>011123520</t>
  </si>
  <si>
    <t>Provozní vlivy</t>
  </si>
  <si>
    <t>1   práce za provozu,pohyb osob,městská doprava,parkování vozidel obyvatelů,atd.</t>
  </si>
  <si>
    <t>6</t>
  </si>
  <si>
    <t>011123610</t>
  </si>
  <si>
    <t>Zařízení staveniště</t>
  </si>
  <si>
    <t>1   přípravné práce,vybavení staveniště,pronájem ploch,skládky na staveništi</t>
  </si>
  <si>
    <t>   připojení na inž.sítě,potřebné oplocení,potřebné osvětlení,dopravní značení atd.</t>
  </si>
  <si>
    <t>   likvidace zařízení staveniště,úprava terénu a úklid</t>
  </si>
  <si>
    <t>12</t>
  </si>
  <si>
    <t>Odkopávky a prokopávky</t>
  </si>
  <si>
    <t>7</t>
  </si>
  <si>
    <t>121101102R00</t>
  </si>
  <si>
    <t>Sejmutí ornice s přemístěním přes 50 do 100 m</t>
  </si>
  <si>
    <t>m3</t>
  </si>
  <si>
    <t>12_</t>
  </si>
  <si>
    <t>1_</t>
  </si>
  <si>
    <t>(88,9+8*0,5+4*1)*0,2   </t>
  </si>
  <si>
    <t>13</t>
  </si>
  <si>
    <t>Hloubené vykopávky</t>
  </si>
  <si>
    <t>8</t>
  </si>
  <si>
    <t>139600011RA0</t>
  </si>
  <si>
    <t>Ruční výkop v hornině 1-2</t>
  </si>
  <si>
    <t>13_</t>
  </si>
  <si>
    <t>(88,9+4*1)*0,2*0,6   pro okapový chodník</t>
  </si>
  <si>
    <t>16</t>
  </si>
  <si>
    <t>Přemístění výkopku</t>
  </si>
  <si>
    <t>9</t>
  </si>
  <si>
    <t>167101101R00</t>
  </si>
  <si>
    <t>Nakládání výkopku z hor.1-4 v množství do 100 m3</t>
  </si>
  <si>
    <t>RTS I / 2020</t>
  </si>
  <si>
    <t>16_</t>
  </si>
  <si>
    <t>19,38+11,148   </t>
  </si>
  <si>
    <t>10</t>
  </si>
  <si>
    <t>162501102R00</t>
  </si>
  <si>
    <t>Vodorovné přemístění výkopku z hor.1-4 do 3000 m</t>
  </si>
  <si>
    <t>19,38+11,148   EKO SERVIS Varnsdorf</t>
  </si>
  <si>
    <t>17</t>
  </si>
  <si>
    <t>Konstrukce ze zemin</t>
  </si>
  <si>
    <t>11</t>
  </si>
  <si>
    <t>199000002R00</t>
  </si>
  <si>
    <t>Poplatek za skládku horniny 1- 4</t>
  </si>
  <si>
    <t>17_</t>
  </si>
  <si>
    <t>30,528   EKO SERVIS Varnsdorf</t>
  </si>
  <si>
    <t>18</t>
  </si>
  <si>
    <t>Povrchové úpravy terénu</t>
  </si>
  <si>
    <t>180404111R00</t>
  </si>
  <si>
    <t>Založení  trávníku výsevem na ornici</t>
  </si>
  <si>
    <t>m2</t>
  </si>
  <si>
    <t>18_</t>
  </si>
  <si>
    <t>(88,9+8*0,5+4*1)*1   </t>
  </si>
  <si>
    <t>31</t>
  </si>
  <si>
    <t>Zdi podpěrné a volné</t>
  </si>
  <si>
    <t>311271186RT1</t>
  </si>
  <si>
    <t>Zdivo z tvárnic porobeton pevnostní třídy P4-550 tl.200mm</t>
  </si>
  <si>
    <t>31_</t>
  </si>
  <si>
    <t>3_</t>
  </si>
  <si>
    <t>(29,25+14,5-0,4)*2*0,25   nadezdívka atik včetně nerezových kotev a hmoždinek do betonu</t>
  </si>
  <si>
    <t>41</t>
  </si>
  <si>
    <t>Stropy a stropní konstrukce (pro pozemní stavby)</t>
  </si>
  <si>
    <t>14</t>
  </si>
  <si>
    <t>416021121R00</t>
  </si>
  <si>
    <t>Podhledy SDK, kovová.kce CD. 1x deska RF 12,5 mm</t>
  </si>
  <si>
    <t>41_</t>
  </si>
  <si>
    <t>4_</t>
  </si>
  <si>
    <t>1,3*1   zaslepení montážního otvoru ve strojovně</t>
  </si>
  <si>
    <t>59</t>
  </si>
  <si>
    <t>Kryty pozemních komunikací, letišť a ploch dlážděných (předlažby)</t>
  </si>
  <si>
    <t>15</t>
  </si>
  <si>
    <t>596100030RAD</t>
  </si>
  <si>
    <t>Chodník z dlažby betonové, podklad štěrkodrť</t>
  </si>
  <si>
    <t>59_</t>
  </si>
  <si>
    <t>5_</t>
  </si>
  <si>
    <t>(88,9+4*1)*0,5   dlažba HBB 50x50x5cm</t>
  </si>
  <si>
    <t>998223011R00</t>
  </si>
  <si>
    <t>Přesun hmot, pozemní komunikace, kryt dlážděný</t>
  </si>
  <si>
    <t>t</t>
  </si>
  <si>
    <t>28,698   </t>
  </si>
  <si>
    <t>61</t>
  </si>
  <si>
    <t>Úprava povrchů vnitřní</t>
  </si>
  <si>
    <t>612471433R00</t>
  </si>
  <si>
    <t>Úprava stěn 1x ručním nanášením 5mm SO12</t>
  </si>
  <si>
    <t>61_</t>
  </si>
  <si>
    <t>6_</t>
  </si>
  <si>
    <t>(4,65+4,65+4,67+4,67)*2,8-1,6   omítka ve strojovně výtahu</t>
  </si>
  <si>
    <t>62</t>
  </si>
  <si>
    <t>Úprava povrchů vnější</t>
  </si>
  <si>
    <t>622311522RU1</t>
  </si>
  <si>
    <t>Zateplovací systém ETICS, sokl, XPS tl. 100 mm s mozaikovou omítkou 5,5 kg /m2</t>
  </si>
  <si>
    <t>62_</t>
  </si>
  <si>
    <t>88,9*0,45   iz.desky budou kotveny 8ks/m2 talířovými hmoždinkami pro zápustnou montáž včetně zátek</t>
  </si>
  <si>
    <t>19</t>
  </si>
  <si>
    <t>622311522RV1</t>
  </si>
  <si>
    <t>Zateplovací systém ETICS, sokl, XPS tl. 100 mm zakončený stěrkou a výztužnou tkaninou</t>
  </si>
  <si>
    <t>88,9*0,15   </t>
  </si>
  <si>
    <t>20</t>
  </si>
  <si>
    <t>622311024R00</t>
  </si>
  <si>
    <t>Založení na montážní lať</t>
  </si>
  <si>
    <t>m</t>
  </si>
  <si>
    <t>88,9   </t>
  </si>
  <si>
    <t>21</t>
  </si>
  <si>
    <t>622311111R00</t>
  </si>
  <si>
    <t>Dilatační profil KZS průběžný</t>
  </si>
  <si>
    <t>34,75*2+1,25*2   </t>
  </si>
  <si>
    <t>22</t>
  </si>
  <si>
    <t>622311732R00</t>
  </si>
  <si>
    <t>Zatepl.syst. etics, fasáda, miner.desky PV 100 mm soklová část</t>
  </si>
  <si>
    <t>12,55*0,85+1,8*0,8   sever</t>
  </si>
  <si>
    <t>7,2*0,85+14,95*0,8+7,2*0,75-1,2*0,55*4-1,8*0,55*3   východ</t>
  </si>
  <si>
    <t>12,55*0,7+0,1*0,6   jih</t>
  </si>
  <si>
    <t>(14,95+0,25*2)*0,85+(14,4+0,25*4)*0,8-1,2*0,55*4-1,8*0,55*4   západ</t>
  </si>
  <si>
    <t>23</t>
  </si>
  <si>
    <t>622311733R00</t>
  </si>
  <si>
    <t>Zatepl.syst. ETICS, fasáda, miner.desky PV 120 mm hlavní stěny</t>
  </si>
  <si>
    <t>14,5*34,75   sever</t>
  </si>
  <si>
    <t>29,5*34,75-1,1*1,45*59-2,3*1,45*36   východ</t>
  </si>
  <si>
    <t>14,5*34,75-1,6*0,9   jih</t>
  </si>
  <si>
    <t>29,5*34,75-6,65*33,6-2,45*33,6-3,65*33,6-1,1*1,45*24-2,3*1,45*23   západ</t>
  </si>
  <si>
    <t>24</t>
  </si>
  <si>
    <t>622311523R00</t>
  </si>
  <si>
    <t>Zateplovací systém ETICS, XPS tl. 120 mm hlavní stěny u střech nad vstupy</t>
  </si>
  <si>
    <t>(2,7+3,55)*0,2   </t>
  </si>
  <si>
    <t>25</t>
  </si>
  <si>
    <t>629481111R00</t>
  </si>
  <si>
    <t>Příplatek na lepidlo(nerovnosti)</t>
  </si>
  <si>
    <t>57,675+2299,01+1,25   zvýšená spotřeba za lepidlo 4kg/m2</t>
  </si>
  <si>
    <t>26</t>
  </si>
  <si>
    <t>622311754R00</t>
  </si>
  <si>
    <t>Zatepl.syst.ETICS, ostění, miner.desky PV 30-50mm</t>
  </si>
  <si>
    <t>0,6*2*15*0,2+(1,45*2*95+1,45*2*47)*0,25   ostění oken v žb stěnách</t>
  </si>
  <si>
    <t>27</t>
  </si>
  <si>
    <t>622311650RT5</t>
  </si>
  <si>
    <t>ETICS, povrchová úprava ostění stěn a stropu bez MV</t>
  </si>
  <si>
    <t>(1,8*7+1,2*8)*0,2+(1,2*59+2,4*36)*0,25+(1,2*24+2,4*23)*0,25   v žb stěnách</t>
  </si>
  <si>
    <t>((2,35*2+0,9)*4+(1,45*2+2,4)*2+(1,45*2+1,2)*2)*0,1*12   ostění a nadpraží oken bez MV ve stěnách lodžií</t>
  </si>
  <si>
    <t>(0,8+0,15)*2*2,65+(0,9*2+3)*2,5-2,4*2,15+0,35*2*0,15+(0,9*2+3,5)*0,15   hlavní vstup,stěna pod rampou</t>
  </si>
  <si>
    <t>(2,1*2*2,4)*0,15   ostění a nadpraží dveří</t>
  </si>
  <si>
    <t>3,2*1   strop markýzy</t>
  </si>
  <si>
    <t>(1,2+2,7)*2*1,2   zeď pod rampou</t>
  </si>
  <si>
    <t>(0,8+0,15)*2*2,65+(0,9*2+2,05)*2,5-1*2,15+0,35*2*0,15+(0,9*2+2,65)*0,15   zadní vstup stěny</t>
  </si>
  <si>
    <t>(2,15*2*1)*0,45   ostění a nadpraží</t>
  </si>
  <si>
    <t>2,35*1   strop markýzy</t>
  </si>
  <si>
    <t>(0,3+1,7)*1,5   NN pilíř</t>
  </si>
  <si>
    <t>(5,15+5,2)*2*2,5+(5,25+5,3)*2*0,3-0,6*1,2-0,9*2   strojovna na střeše stěny</t>
  </si>
  <si>
    <t>(2*2+0,9+0,6*2+1,2)*0,15   ostění a nadpraží</t>
  </si>
  <si>
    <t>(4,8+3,3+3,2+4,75)*12   stropy lodžií stěrka s omítkou</t>
  </si>
  <si>
    <t>28</t>
  </si>
  <si>
    <t>622325120RU1</t>
  </si>
  <si>
    <t>NN pilíř stěrka s Marmolitem</t>
  </si>
  <si>
    <t>(0,3+1,7)*0,4   </t>
  </si>
  <si>
    <t>29</t>
  </si>
  <si>
    <t>938902122R00</t>
  </si>
  <si>
    <t>Čištění ploch betonových konstrukcí tlakovou vodou</t>
  </si>
  <si>
    <t>2357,935   </t>
  </si>
  <si>
    <t>30</t>
  </si>
  <si>
    <t>627456135R00</t>
  </si>
  <si>
    <t>Začištění poškozeného betonového zdiva reprofilační maltou předpokládaný rozsah</t>
  </si>
  <si>
    <t>120   </t>
  </si>
  <si>
    <t>620991121R00</t>
  </si>
  <si>
    <t>Zakrývání výplní vnějších otvorů z lešení</t>
  </si>
  <si>
    <t>1,2*0,55*4+1,8*0,55*3+1,2*0,55*4+1,8*0,55*4   </t>
  </si>
  <si>
    <t>1,1*1,45*59+2,3*1,45*36+1,6*0,9   </t>
  </si>
  <si>
    <t>1,1*1,45*24+2,3*1,45*23   </t>
  </si>
  <si>
    <t>32</t>
  </si>
  <si>
    <t>622319051RT1</t>
  </si>
  <si>
    <t>Montáž lišt profilem s tkaninou</t>
  </si>
  <si>
    <t>34,75*6+33,6*8+1,25*12+1,2*4+3*4*3   rohy</t>
  </si>
  <si>
    <t>(0,6*2)*(8+7+1)+(1,45*2)*(59+48+36+47)   ostění oken</t>
  </si>
  <si>
    <t>(2,35*2)*48+(2,15*2)+(2*2)*1   ostění dveří</t>
  </si>
  <si>
    <t>(29,5+14,5)*2+0,9*4+3,5+2,65+5,35*4+3,75*26+2,5*26   lišty s okapnicí -okapy</t>
  </si>
  <si>
    <t>1,2*(8+1+59+48)+1,8*7+2,4+(36+47)   nadpraží oken</t>
  </si>
  <si>
    <t>0,9*48+2,4+1+0,9   nadpraží dveří</t>
  </si>
  <si>
    <t>1,2*(1+59+48)+2,4*(36+47)+0,9*48   parapetní lišty</t>
  </si>
  <si>
    <t>921,2   APU lišta u oken</t>
  </si>
  <si>
    <t>285,7   APU lišta u dveří</t>
  </si>
  <si>
    <t>33</t>
  </si>
  <si>
    <t>620991005R00</t>
  </si>
  <si>
    <t>Začišťovací okenní lišta parapetní</t>
  </si>
  <si>
    <t>372   </t>
  </si>
  <si>
    <t>34</t>
  </si>
  <si>
    <t>620991004R00</t>
  </si>
  <si>
    <t>Začišťovací okenní lišta APU</t>
  </si>
  <si>
    <t>921,2   okna</t>
  </si>
  <si>
    <t>285,7   dveře</t>
  </si>
  <si>
    <t>35</t>
  </si>
  <si>
    <t>55392762</t>
  </si>
  <si>
    <t>Lišta rohová s tkaninou</t>
  </si>
  <si>
    <t>34,75*6+33,6*8+1,25*12+1,2*4+3*4*3   </t>
  </si>
  <si>
    <t>570   </t>
  </si>
  <si>
    <t>233,9   </t>
  </si>
  <si>
    <t>36</t>
  </si>
  <si>
    <t>28350261</t>
  </si>
  <si>
    <t>Lišta s okapničkou</t>
  </si>
  <si>
    <t>281,65   okapy</t>
  </si>
  <si>
    <t>237,2   nadpraží oken</t>
  </si>
  <si>
    <t>47,5   nadpraží dveří</t>
  </si>
  <si>
    <t>37</t>
  </si>
  <si>
    <t>622391142R00</t>
  </si>
  <si>
    <t>Příplatek hm.s odelovým trnem pro zápustnou montáž talířové hmoždinky  8 ks na 1m2</t>
  </si>
  <si>
    <t>1730   </t>
  </si>
  <si>
    <t>38</t>
  </si>
  <si>
    <t>999281212R00</t>
  </si>
  <si>
    <t>Přesun hmot, opravy vněj. plášťů výšky do 36 m</t>
  </si>
  <si>
    <t>81,871   </t>
  </si>
  <si>
    <t>763</t>
  </si>
  <si>
    <t>Úpravy stěny lodžií</t>
  </si>
  <si>
    <t>39</t>
  </si>
  <si>
    <t>762111811R00</t>
  </si>
  <si>
    <t>Demontáž stěn SO2aSO3-palubky,vata 100mm, a rošt</t>
  </si>
  <si>
    <t>763_</t>
  </si>
  <si>
    <t>76_</t>
  </si>
  <si>
    <t>(4,05*2+2,85*2+1*6)*2,65*12-0,9*2,35*48-2,4*1,45*24-1,2*1,45*24   </t>
  </si>
  <si>
    <t>40</t>
  </si>
  <si>
    <t>767112811R00</t>
  </si>
  <si>
    <t>Demontáž plechového obložení stěn mezi lodžiemi včetně podkonstrukce</t>
  </si>
  <si>
    <t>(1,1+0,45+1,1)*33,6   </t>
  </si>
  <si>
    <t>762134122RT2</t>
  </si>
  <si>
    <t>Montáž bednění stěn, OSB deska,parotěs,min.vata dle PD SO2</t>
  </si>
  <si>
    <t>(4,05*2+2,85*2)*2,65*12-0,9*2,35*48-2,4*1,45*24-1,2*1,45*24   </t>
  </si>
  <si>
    <t>42</t>
  </si>
  <si>
    <t>Zatepl.syst. ETICS, fasáda, miner.desky PV 100 mm</t>
  </si>
  <si>
    <t>212,04   SO2</t>
  </si>
  <si>
    <t>43</t>
  </si>
  <si>
    <t>622311522R00</t>
  </si>
  <si>
    <t>Zateplovací systém ETICS, sokl, XPS tl. 100 mm na soklu</t>
  </si>
  <si>
    <t>(4,05*2+2,85*2)*0,2*12   SO2</t>
  </si>
  <si>
    <t>44</t>
  </si>
  <si>
    <t>622311735RT3</t>
  </si>
  <si>
    <t>Zatepl.syst. ETICS, fasáda, miner.desky PV 160 mm SO3</t>
  </si>
  <si>
    <t>1*2,45*6*12   </t>
  </si>
  <si>
    <t>45</t>
  </si>
  <si>
    <t>622311525RU1</t>
  </si>
  <si>
    <t>Zateplovací systém ETICS, sokl, XPS tl. 150 mm SO3</t>
  </si>
  <si>
    <t>1*0,2*6*12   </t>
  </si>
  <si>
    <t>46</t>
  </si>
  <si>
    <t>1,05*2,45*2*12   provedení stěn mezilodžiemi</t>
  </si>
  <si>
    <t>47</t>
  </si>
  <si>
    <t>622311730R00</t>
  </si>
  <si>
    <t>Zatepl.syst. ETICS, fasáda, miner.desky PV 50 mm</t>
  </si>
  <si>
    <t>(0,45*6+0,25*2+0,35)*2,45*12   boky lodžií u zábradlí</t>
  </si>
  <si>
    <t>48</t>
  </si>
  <si>
    <t>Zateplovací systém ETICS, stěna XPS tl. 100 mm</t>
  </si>
  <si>
    <t>1,05*0,2*2*12   provedení stěn mezi lodžiemi</t>
  </si>
  <si>
    <t>49</t>
  </si>
  <si>
    <t>622311519R00</t>
  </si>
  <si>
    <t>Zateplovací systém ETICS, stěn, XPS tl. 50 mm</t>
  </si>
  <si>
    <t>(0,45*6+0,25*2+0,35)*0,2*12+(3,75+2,55+2,45+3,65)*12   boky soklu a čela desek lodžií u zábradlí</t>
  </si>
  <si>
    <t>50</t>
  </si>
  <si>
    <t>37,028   </t>
  </si>
  <si>
    <t>711</t>
  </si>
  <si>
    <t>Izolace proti vodě</t>
  </si>
  <si>
    <t>51</t>
  </si>
  <si>
    <t>711404101R00</t>
  </si>
  <si>
    <t>Komponentní tekutý hydroizolační základní nátěr  na bázi polyuretanu</t>
  </si>
  <si>
    <t>711_</t>
  </si>
  <si>
    <t>71_</t>
  </si>
  <si>
    <t>5,35*5,375   vyztužený  rohoží za skelných vláken</t>
  </si>
  <si>
    <t>52</t>
  </si>
  <si>
    <t>711404111R00</t>
  </si>
  <si>
    <t>Komponentní tekutý  vrchní nátěr pro tekuté hydroizolační systémy na bázi polyuretanu</t>
  </si>
  <si>
    <t>5,35*5,375   střecha strojovny dle PD včetně složitosti-ocelová konstrukce</t>
  </si>
  <si>
    <t>53</t>
  </si>
  <si>
    <t>711212111R00</t>
  </si>
  <si>
    <t>Penetrační nátěr na bázi epoxydu</t>
  </si>
  <si>
    <t>5,35*5,375   střecha strojovny</t>
  </si>
  <si>
    <t>54</t>
  </si>
  <si>
    <t>712500831R00</t>
  </si>
  <si>
    <t>Odstranění zbytků nátěrů asfaltových pasů</t>
  </si>
  <si>
    <t>RTS II / 2018</t>
  </si>
  <si>
    <t>55</t>
  </si>
  <si>
    <t>998711103R00</t>
  </si>
  <si>
    <t>Přesun hmot pro izolace proti vodě, výšky do 60 m</t>
  </si>
  <si>
    <t>0,475   </t>
  </si>
  <si>
    <t>712</t>
  </si>
  <si>
    <t>Izolace střech (živičné krytiny)</t>
  </si>
  <si>
    <t>56</t>
  </si>
  <si>
    <t>712491176R00</t>
  </si>
  <si>
    <t>Připevnění izolace kotvicími terči včetně dodávky  polyamidových teleskopů dle PD</t>
  </si>
  <si>
    <t>kus</t>
  </si>
  <si>
    <t>712_</t>
  </si>
  <si>
    <t xml:space="preserve">3058   mechanicky kotvené v podélném a příčném přesahu pomocí střešních šroubů a polyamidových teleskopů </t>
  </si>
  <si>
    <t>57</t>
  </si>
  <si>
    <t>712990816RT1</t>
  </si>
  <si>
    <t>Příplatek za  provizorní zakrývání střech ochranými plachtami v průběhu výstavby</t>
  </si>
  <si>
    <t>375,50   </t>
  </si>
  <si>
    <t>28,76   střecha strojovny</t>
  </si>
  <si>
    <t>58</t>
  </si>
  <si>
    <t>712391587R00</t>
  </si>
  <si>
    <t>Celoplošné nalepení  pásů samolepících</t>
  </si>
  <si>
    <t>62852269</t>
  </si>
  <si>
    <t>Pás modif. asfalt samolep SBS modifikovaný s vložkoum ze skleněné rohože ,tl.3mm</t>
  </si>
  <si>
    <t>;ztratné 15%; 56,325   </t>
  </si>
  <si>
    <t>60</t>
  </si>
  <si>
    <t>712341559RT1</t>
  </si>
  <si>
    <t>Povlaková krytina střech do 10°, NAIP přitavením</t>
  </si>
  <si>
    <t>628522531</t>
  </si>
  <si>
    <t>Pás modifikovaný asfalt s vložkou ze skelné tkaniny a polyesterové rohože</t>
  </si>
  <si>
    <t>375,50   s břidličným posypem tl.4mm plnoplošně nataven</t>
  </si>
  <si>
    <t>998713104R00</t>
  </si>
  <si>
    <t>Přesun hmot pro izolace tepelné, výšky do 36 m</t>
  </si>
  <si>
    <t>4,186   </t>
  </si>
  <si>
    <t>713</t>
  </si>
  <si>
    <t>Izolace tepelné</t>
  </si>
  <si>
    <t>63</t>
  </si>
  <si>
    <t>713121121R00</t>
  </si>
  <si>
    <t>Izolace tepelná podlah na sucho, dvouvrstvá</t>
  </si>
  <si>
    <t>713_</t>
  </si>
  <si>
    <t>4,65*4,67   strojovna výtahu STR11</t>
  </si>
  <si>
    <t>64</t>
  </si>
  <si>
    <t>28376309</t>
  </si>
  <si>
    <t>Deska polystyrén  EPS 150 S 1000x500x150 mm</t>
  </si>
  <si>
    <t>4,65*4,67*2   </t>
  </si>
  <si>
    <t>65</t>
  </si>
  <si>
    <t>713141313R00</t>
  </si>
  <si>
    <t>Izolace tepelná střech do tl.200 mm,2vrstvy,kotvy</t>
  </si>
  <si>
    <t>66</t>
  </si>
  <si>
    <t>28375766.A</t>
  </si>
  <si>
    <t>Deska izolační polystyrén  EPS 150-S tl.100mm</t>
  </si>
  <si>
    <t>375,50*0,2   dvě vrstvy po 100mm</t>
  </si>
  <si>
    <t>;ztratné 8%; 6,008   </t>
  </si>
  <si>
    <t>67</t>
  </si>
  <si>
    <t>998713103R00</t>
  </si>
  <si>
    <t>1,752   </t>
  </si>
  <si>
    <t>721</t>
  </si>
  <si>
    <t>Vnitřní kanalizace</t>
  </si>
  <si>
    <t>68</t>
  </si>
  <si>
    <t>721273200RT3</t>
  </si>
  <si>
    <t>Souprava ventilační střešní HL DN 150 PVC</t>
  </si>
  <si>
    <t>721_</t>
  </si>
  <si>
    <t>72_</t>
  </si>
  <si>
    <t>5   s nádstavcem připojení</t>
  </si>
  <si>
    <t>69</t>
  </si>
  <si>
    <t>55162207.A</t>
  </si>
  <si>
    <t xml:space="preserve"> střešní vtok svislý výrobek č.1 viz výkres střechy s montáží</t>
  </si>
  <si>
    <t>2   </t>
  </si>
  <si>
    <t>70</t>
  </si>
  <si>
    <t>721110806R00</t>
  </si>
  <si>
    <t>Demontáž potrubí střešní vpusť</t>
  </si>
  <si>
    <t>71</t>
  </si>
  <si>
    <t>721273144R00</t>
  </si>
  <si>
    <t>Demontáž hlavice odvětrání</t>
  </si>
  <si>
    <t>5   </t>
  </si>
  <si>
    <t>728</t>
  </si>
  <si>
    <t>Vzduchotechnika-úprava vzduchotechnických objektů</t>
  </si>
  <si>
    <t>72</t>
  </si>
  <si>
    <t>713131131R00</t>
  </si>
  <si>
    <t>Izolace tepelná  lepením-úprava VZT objektů na střeše výkres č.20</t>
  </si>
  <si>
    <t>728_</t>
  </si>
  <si>
    <t>(1,25+0,95)*2*0,2*5   včetně XPS 100mm stěny</t>
  </si>
  <si>
    <t>1,25*1,15*5   vodorovné,sraženy hrany po obvodu</t>
  </si>
  <si>
    <t>73</t>
  </si>
  <si>
    <t>767135 R-05</t>
  </si>
  <si>
    <t>kotevní rám -montáž a dodávka-tenkostěnné pozinkované profily L 60x60x5mm</t>
  </si>
  <si>
    <t>(0,95+1,05)*2*5   úprava sběrných komor VZT</t>
  </si>
  <si>
    <t>74</t>
  </si>
  <si>
    <t>31171801.A</t>
  </si>
  <si>
    <t>Kotva chemická - ampule maxima M10</t>
  </si>
  <si>
    <t>8*5   </t>
  </si>
  <si>
    <t>75</t>
  </si>
  <si>
    <t>766111110R00</t>
  </si>
  <si>
    <t>Bednění boků deskami z vodovzdorné překližky tl.18mm včetně vrutů</t>
  </si>
  <si>
    <t>(0,95+1,05)*2*0,5*5   včetně materiálů</t>
  </si>
  <si>
    <t>76</t>
  </si>
  <si>
    <t>766111210R00</t>
  </si>
  <si>
    <t>Bednění střech deskami z vodovzdorné překližky tl.30mm včetně vrutů</t>
  </si>
  <si>
    <t>1,05*1,05*5   včetně materiálů</t>
  </si>
  <si>
    <t>77</t>
  </si>
  <si>
    <t>762112110R00</t>
  </si>
  <si>
    <t>Montáž a dodávka hranolků v rozích</t>
  </si>
  <si>
    <t>(0,95+1,05)*2*5+0,4*4*5   včetně hranolků 50/50</t>
  </si>
  <si>
    <t>78</t>
  </si>
  <si>
    <t>712211559R00</t>
  </si>
  <si>
    <t>Podkladní strukturovaná folie  včetně materiálu</t>
  </si>
  <si>
    <t>1,05*1,15*5   pod plechovou krytinu střechy</t>
  </si>
  <si>
    <t>79</t>
  </si>
  <si>
    <t>713131131RT2</t>
  </si>
  <si>
    <t>Izolace tepelná stěn lepením ETICS EPS 100F opatřen asf.pásy</t>
  </si>
  <si>
    <t>(1,05+1,15)*0,45*5   </t>
  </si>
  <si>
    <t>80</t>
  </si>
  <si>
    <t>728611218R00</t>
  </si>
  <si>
    <t>1.1 Montáž a dodávka střešního ventilátoru</t>
  </si>
  <si>
    <t>5   zařízení č.1-větrání soc.zařízení</t>
  </si>
  <si>
    <t>   odvod 990m3/h,disp.tlak 350Pa,příkon 180W,napětí 230V,akustický tlak ve 3m 51 dB(A)</t>
  </si>
  <si>
    <t>81</t>
  </si>
  <si>
    <t>728312115R00</t>
  </si>
  <si>
    <t>1.2 montáže a dodávka soklový  tlumič hluku</t>
  </si>
  <si>
    <t>82</t>
  </si>
  <si>
    <t>728616212R00</t>
  </si>
  <si>
    <t>1.3 montáž a dodávka volné příruby</t>
  </si>
  <si>
    <t>83</t>
  </si>
  <si>
    <t>728413521R00</t>
  </si>
  <si>
    <t>1.4Montáž a dodávka talířového ventilu kruhového do d 100 mm s el.pohonem</t>
  </si>
  <si>
    <t>110   </t>
  </si>
  <si>
    <t>84</t>
  </si>
  <si>
    <t>728415811R00</t>
  </si>
  <si>
    <t>1.5 Demontáž mřížky větrací nebo ventilační  na soc.zařízení</t>
  </si>
  <si>
    <t>85</t>
  </si>
  <si>
    <t>728611857R00</t>
  </si>
  <si>
    <t>1.6 Dmtž ventilátoru včetně podstavců</t>
  </si>
  <si>
    <t>86</t>
  </si>
  <si>
    <t>728212411R00</t>
  </si>
  <si>
    <t>1.6Případná úpravan napojení na stávající páteřní rozvod</t>
  </si>
  <si>
    <t>87</t>
  </si>
  <si>
    <t>904      R00</t>
  </si>
  <si>
    <t>1.6 technický dozor</t>
  </si>
  <si>
    <t>h</t>
  </si>
  <si>
    <t>6   </t>
  </si>
  <si>
    <t>88</t>
  </si>
  <si>
    <t>728414612R00</t>
  </si>
  <si>
    <t>2.1 Montáž a dodávka digestoře s ventilátorem,tukovým filtrem a osvětlením</t>
  </si>
  <si>
    <t>55   odvod 230m3/h,přikon 180 w,napětí 230 V</t>
  </si>
  <si>
    <t>89</t>
  </si>
  <si>
    <t>728314115R00</t>
  </si>
  <si>
    <t>2.2 Montáž a dodávka protidešť. žaluzie</t>
  </si>
  <si>
    <t>90</t>
  </si>
  <si>
    <t>728115111R00</t>
  </si>
  <si>
    <t>2.3 ohebné potrubí 125 montáž a dodávka</t>
  </si>
  <si>
    <t>55   </t>
  </si>
  <si>
    <t>91</t>
  </si>
  <si>
    <t>728414862R00</t>
  </si>
  <si>
    <t>2.4 Demontáž digestoře</t>
  </si>
  <si>
    <t>92</t>
  </si>
  <si>
    <t>2.5 případná úprava napojení na stávající páteřní rozvod</t>
  </si>
  <si>
    <t>93</t>
  </si>
  <si>
    <t>2.6-technický dozor</t>
  </si>
  <si>
    <t>94</t>
  </si>
  <si>
    <t>998725104R00</t>
  </si>
  <si>
    <t>Přesun hmot pro VZT, výšky do 36 m</t>
  </si>
  <si>
    <t>1,446   </t>
  </si>
  <si>
    <t>762</t>
  </si>
  <si>
    <t>Konstrukce tesařské</t>
  </si>
  <si>
    <t>95</t>
  </si>
  <si>
    <t>762512115R00</t>
  </si>
  <si>
    <t>Položení podlahových desek na pero a drážku</t>
  </si>
  <si>
    <t>762_</t>
  </si>
  <si>
    <t>96</t>
  </si>
  <si>
    <t>60726016.A</t>
  </si>
  <si>
    <t>Deska dřevoštěpková OSB 3 N - 4PD tl. 22 mm</t>
  </si>
  <si>
    <t>4,65*4,67   </t>
  </si>
  <si>
    <t>;ztratné 8%; 1,73724   </t>
  </si>
  <si>
    <t>97</t>
  </si>
  <si>
    <t>Položení  desek na pero a drážku-atiky</t>
  </si>
  <si>
    <t>(39,5+14,5-0,7)*2*0,35   </t>
  </si>
  <si>
    <t>98</t>
  </si>
  <si>
    <t>998762104R00</t>
  </si>
  <si>
    <t>Přesun hmot pro tesařské konstrukce, výšky do 36 m</t>
  </si>
  <si>
    <t>0,327   </t>
  </si>
  <si>
    <t>764</t>
  </si>
  <si>
    <t>Konstrukce klempířské</t>
  </si>
  <si>
    <t>99</t>
  </si>
  <si>
    <t>764211441RT2</t>
  </si>
  <si>
    <t>Krytina hladká z Ti Zn, tl.0,7mm</t>
  </si>
  <si>
    <t>764_</t>
  </si>
  <si>
    <t>1,05*1,15*5   </t>
  </si>
  <si>
    <t>100</t>
  </si>
  <si>
    <t>59160889.A3</t>
  </si>
  <si>
    <t>Výlez na střechu 80x110 výrobek  výkres č.6 dle PD s osazením</t>
  </si>
  <si>
    <t>101</t>
  </si>
  <si>
    <t>764410850R00</t>
  </si>
  <si>
    <t>Demontáž oplechování parapetů,rš od 100 do 330 mm</t>
  </si>
  <si>
    <t>102</t>
  </si>
  <si>
    <t>764410340R00</t>
  </si>
  <si>
    <t>Oplechování parapetů-exterierový lakovaný ocel pozinkovaný š.250mm</t>
  </si>
  <si>
    <t>(1,2*6)*12   s plastovými bočnicemi</t>
  </si>
  <si>
    <t>(2,4*4)*12   </t>
  </si>
  <si>
    <t>103</t>
  </si>
  <si>
    <t>764410420R00</t>
  </si>
  <si>
    <t>Oplechování parapetů exterierový lakovaný ocel pozinkovaný š.130</t>
  </si>
  <si>
    <t>2,4*2*12   s plastovými bočnicemi</t>
  </si>
  <si>
    <t>1,2*2*12   </t>
  </si>
  <si>
    <t>104</t>
  </si>
  <si>
    <t>764918931R00</t>
  </si>
  <si>
    <t>Stěnová tmelící lišta z ocel. lakovaného plechu rš.350</t>
  </si>
  <si>
    <t>(39,5+14,5)*2   </t>
  </si>
  <si>
    <t>105</t>
  </si>
  <si>
    <t>764918934R00</t>
  </si>
  <si>
    <t>Krycí lišta  z  ocel. lakovaného plechu</t>
  </si>
  <si>
    <t>108   </t>
  </si>
  <si>
    <t>106</t>
  </si>
  <si>
    <t>60726014.A</t>
  </si>
  <si>
    <t>Deska dřevoštěpková OSB 3 N - 4PD tl. 18 mm</t>
  </si>
  <si>
    <t>37,31   atika</t>
  </si>
  <si>
    <t>;ztratné 8%; 2,9848   </t>
  </si>
  <si>
    <t>107</t>
  </si>
  <si>
    <t>764354292R00</t>
  </si>
  <si>
    <t>1/K přítlačná lišta rš.50</t>
  </si>
  <si>
    <t>45,5   dle PD</t>
  </si>
  <si>
    <t>108</t>
  </si>
  <si>
    <t>764354391R00</t>
  </si>
  <si>
    <t>2/K krycí lišta rš.150</t>
  </si>
  <si>
    <t>109</t>
  </si>
  <si>
    <t>764354392R00</t>
  </si>
  <si>
    <t>3/K stahovací objímka dl.500</t>
  </si>
  <si>
    <t>5   dle PD</t>
  </si>
  <si>
    <t>110</t>
  </si>
  <si>
    <t>764323220R00</t>
  </si>
  <si>
    <t>4/K oplechování okapů Pz,  rš 250 mm</t>
  </si>
  <si>
    <t>21,5   dle PD</t>
  </si>
  <si>
    <t>111</t>
  </si>
  <si>
    <t>8/K oplechování okapů Pz,  rš 250 mm</t>
  </si>
  <si>
    <t>148,8   okapnice lodžií dle PD</t>
  </si>
  <si>
    <t>112</t>
  </si>
  <si>
    <t>764391210R00</t>
  </si>
  <si>
    <t>5/K závětrná lišta z Pz plechu, rš 250 mm</t>
  </si>
  <si>
    <t>88   dle PD</t>
  </si>
  <si>
    <t>113</t>
  </si>
  <si>
    <t>764393210R00</t>
  </si>
  <si>
    <t>6/K oplechování stříšky přípojková skříň rš.500</t>
  </si>
  <si>
    <t>1,75   dle PD</t>
  </si>
  <si>
    <t>114</t>
  </si>
  <si>
    <t>764393292R00</t>
  </si>
  <si>
    <t>7/K krycí lišta přípojkové skříně Pz rš 150mm</t>
  </si>
  <si>
    <t>115</t>
  </si>
  <si>
    <t>764259431R00</t>
  </si>
  <si>
    <t>9/K kotlík čtyřhran. pro žlaby Ti Zn 200/60</t>
  </si>
  <si>
    <t>2   dle PD</t>
  </si>
  <si>
    <t>116</t>
  </si>
  <si>
    <t>764541410R00</t>
  </si>
  <si>
    <t>10/K  chrlič z Ti-Zn,D 60 z kruhové trouby</t>
  </si>
  <si>
    <t>117</t>
  </si>
  <si>
    <t>764251602R00</t>
  </si>
  <si>
    <t>12/K žlab podokapní hranatý TiZn  rš. 200 mm</t>
  </si>
  <si>
    <t>6,2   dle PD</t>
  </si>
  <si>
    <t>118</t>
  </si>
  <si>
    <t>764251631R00</t>
  </si>
  <si>
    <t>13/K čelo žlabu hranatého TiZn  pro rš.200 mm</t>
  </si>
  <si>
    <t>4   dle PD</t>
  </si>
  <si>
    <t>119</t>
  </si>
  <si>
    <t>764521450R00</t>
  </si>
  <si>
    <t>15/K oplechování markýzy,krycí lišta rš.330mm</t>
  </si>
  <si>
    <t>6,20   dle PD</t>
  </si>
  <si>
    <t>120</t>
  </si>
  <si>
    <t>764211401R00</t>
  </si>
  <si>
    <t>Krytina hladká z Ti Zn střechy markýz nad vstupy</t>
  </si>
  <si>
    <t>2,4+3,2   dle PD</t>
  </si>
  <si>
    <t>121</t>
  </si>
  <si>
    <t>28651131</t>
  </si>
  <si>
    <t>11/K koleno odpadní kruhové D70</t>
  </si>
  <si>
    <t>122</t>
  </si>
  <si>
    <t>553442381</t>
  </si>
  <si>
    <t>14/K hák nerezový hranatý pro rš.200</t>
  </si>
  <si>
    <t>9   dle PD</t>
  </si>
  <si>
    <t>123</t>
  </si>
  <si>
    <t>998764104R00</t>
  </si>
  <si>
    <t>Přesun hmot pro klempířské konstr., výšky do 36 m</t>
  </si>
  <si>
    <t>2,109   </t>
  </si>
  <si>
    <t>767</t>
  </si>
  <si>
    <t>Konstrukce doplňkové stavební (zámečnické)</t>
  </si>
  <si>
    <t>124</t>
  </si>
  <si>
    <t>767222210R00</t>
  </si>
  <si>
    <t>Montáž a dodávka ocelový tenkostěnný profil U 140/60/5</t>
  </si>
  <si>
    <t>767_</t>
  </si>
  <si>
    <t>3,7*24+2,5*24   úprava čel stropních desek lodžií výkres č.19</t>
  </si>
  <si>
    <t>125</t>
  </si>
  <si>
    <t>31171802.A</t>
  </si>
  <si>
    <t>Kotva chemická - ampule maxima M12</t>
  </si>
  <si>
    <t>4*24+3*24   </t>
  </si>
  <si>
    <t>126</t>
  </si>
  <si>
    <t>627991005R00</t>
  </si>
  <si>
    <t>Vlepení přířezu XPX tl.60mm do U profilu</t>
  </si>
  <si>
    <t>3,7*24+2,5*24   </t>
  </si>
  <si>
    <t>127</t>
  </si>
  <si>
    <t>764325220R00</t>
  </si>
  <si>
    <t>Oplechování Pz okapů,  rš 250 mm-lepená k podkladu</t>
  </si>
  <si>
    <t>3,7*24+2,5*24   lakovaný Pz plech</t>
  </si>
  <si>
    <t>128</t>
  </si>
  <si>
    <t>767222120R00</t>
  </si>
  <si>
    <t>Montáž a dodávka ocelový tenkostěnný profil U 120/60/5mm,žárově zinkovaný</t>
  </si>
  <si>
    <t>33,6   úprava čela stěny mezi lodžiemi výkres č.21</t>
  </si>
  <si>
    <t>129</t>
  </si>
  <si>
    <t>18   </t>
  </si>
  <si>
    <t>130</t>
  </si>
  <si>
    <t>762114110RT2</t>
  </si>
  <si>
    <t>M.konstr.stěn z řez.hraněn.do 120cm2 ocel.spojkami</t>
  </si>
  <si>
    <t>33,6*2   včetně hranolků 30/50mm v rozích</t>
  </si>
  <si>
    <t>131</t>
  </si>
  <si>
    <t>Bednění deskami vodovzdorné překližky tl.15mm včetně vrutů</t>
  </si>
  <si>
    <t>(2*0,17+0,15)*33,6   včetně materiálů</t>
  </si>
  <si>
    <t>132</t>
  </si>
  <si>
    <t>762222141R00</t>
  </si>
  <si>
    <t>Montáž zábradlí rovného, sloupky osově do 1,5 m</t>
  </si>
  <si>
    <t>3,7*2   zadní schodiště</t>
  </si>
  <si>
    <t>133</t>
  </si>
  <si>
    <t>767841115R00</t>
  </si>
  <si>
    <t>Kotvení stožárů dle PD</t>
  </si>
  <si>
    <t>1   poznámka č.4 střecha</t>
  </si>
  <si>
    <t>134</t>
  </si>
  <si>
    <t>767193802R00</t>
  </si>
  <si>
    <t>Demontáž větracích mřížek</t>
  </si>
  <si>
    <t>110+1   </t>
  </si>
  <si>
    <t>135</t>
  </si>
  <si>
    <t>767221 R-8</t>
  </si>
  <si>
    <t>Montáž a dodávka zábradlí 2550x1100 dvě buňky</t>
  </si>
  <si>
    <t>12*2   dle PD</t>
  </si>
  <si>
    <t>136</t>
  </si>
  <si>
    <t>767221 R-9</t>
  </si>
  <si>
    <t>Přídavný zasklívací systém s výhybkou 2550x1100</t>
  </si>
  <si>
    <t>137</t>
  </si>
  <si>
    <t>767221 R-10</t>
  </si>
  <si>
    <t>montáž a dodávka  Al.zábradlí 3750x1100 tři buňky</t>
  </si>
  <si>
    <t>138</t>
  </si>
  <si>
    <t>767222 R-11</t>
  </si>
  <si>
    <t>přídavný zasklívací systém s výhybkou 3750x1100</t>
  </si>
  <si>
    <t>139</t>
  </si>
  <si>
    <t>767584811R00</t>
  </si>
  <si>
    <t>Demontáž mřížek-větrací otvory</t>
  </si>
  <si>
    <t>140   </t>
  </si>
  <si>
    <t>140</t>
  </si>
  <si>
    <t>641960000R00</t>
  </si>
  <si>
    <t>Těsnění  větracích otvorů   PU pěnou</t>
  </si>
  <si>
    <t>140*0,10   cca 100mm jeden otvor</t>
  </si>
  <si>
    <t>141</t>
  </si>
  <si>
    <t>998767104R00</t>
  </si>
  <si>
    <t>Přesun hmot pro zámečnické konstr., výšky do 36 m</t>
  </si>
  <si>
    <t>12,645   </t>
  </si>
  <si>
    <t>771</t>
  </si>
  <si>
    <t>Podlahy z dlaždic</t>
  </si>
  <si>
    <t>142</t>
  </si>
  <si>
    <t>771575104R00</t>
  </si>
  <si>
    <t>Montáž podlah keram.,režné hladké, tmel, s úpravou podkladu</t>
  </si>
  <si>
    <t>771_</t>
  </si>
  <si>
    <t>77_</t>
  </si>
  <si>
    <t>(4,8+3,3+3,2+4,75)*12   lodžie dle PD</t>
  </si>
  <si>
    <t>3*0,8+2,05*0,8   vstupy dle PD</t>
  </si>
  <si>
    <t>143</t>
  </si>
  <si>
    <t>771411014R00</t>
  </si>
  <si>
    <t>Obklad soklíků rovných do MC,20x10,H 10 cm</t>
  </si>
  <si>
    <t>1,26*8*12   lodžie</t>
  </si>
  <si>
    <t>(3,8+2+2,55+3,75)*12   </t>
  </si>
  <si>
    <t>-4*0,9   </t>
  </si>
  <si>
    <t>2,05+0,8+0,8-1   zadní vstup</t>
  </si>
  <si>
    <t>3+0,8+0,8-2,4   hlavní vstup</t>
  </si>
  <si>
    <t>144</t>
  </si>
  <si>
    <t>597642060</t>
  </si>
  <si>
    <t>Dlažba keramická plný střep protiskluzná  matná 300x300x9 mm</t>
  </si>
  <si>
    <t>26,74   sokl</t>
  </si>
  <si>
    <t>196,64   plochy dlažby dle PD</t>
  </si>
  <si>
    <t>;ztratné 6%; 13,4028   </t>
  </si>
  <si>
    <t>145</t>
  </si>
  <si>
    <t>771275511R00</t>
  </si>
  <si>
    <t>Montáž keram.dlaždic a schodovek na zadní schodiště dle PD</t>
  </si>
  <si>
    <t>7*0,28   </t>
  </si>
  <si>
    <t>146</t>
  </si>
  <si>
    <t>59764240</t>
  </si>
  <si>
    <t>Dlažba matná schodovka</t>
  </si>
  <si>
    <t>1,96   </t>
  </si>
  <si>
    <t>;ztratné 8%; 0,1568   </t>
  </si>
  <si>
    <t>147</t>
  </si>
  <si>
    <t>781670116RA0</t>
  </si>
  <si>
    <t>Obklad parapetu,v suterénu</t>
  </si>
  <si>
    <t>1,2*8+1,8*7   </t>
  </si>
  <si>
    <t>148</t>
  </si>
  <si>
    <t>00572100</t>
  </si>
  <si>
    <t>Obklad vnější keramický</t>
  </si>
  <si>
    <t>22,2   </t>
  </si>
  <si>
    <t>;ztratné 8%; 1,776   </t>
  </si>
  <si>
    <t>149</t>
  </si>
  <si>
    <t>998771104R00</t>
  </si>
  <si>
    <t>Přesun hmot pro podlahy z dlaždic, výšky do 36 m</t>
  </si>
  <si>
    <t>7,215   </t>
  </si>
  <si>
    <t>783</t>
  </si>
  <si>
    <t>Nátěry</t>
  </si>
  <si>
    <t>150</t>
  </si>
  <si>
    <t>783222941RT1</t>
  </si>
  <si>
    <t>Údržba, nátěr syntetický kovových konstr.samozákladující barva</t>
  </si>
  <si>
    <t>783_</t>
  </si>
  <si>
    <t>78_</t>
  </si>
  <si>
    <t>1*2*2   dveře strojovny</t>
  </si>
  <si>
    <t>1,35*1,5   dvířka skříně NN</t>
  </si>
  <si>
    <t>151</t>
  </si>
  <si>
    <t>783425150R00</t>
  </si>
  <si>
    <t>Nátěr syntetický potrubí do DN 100 mm  Z + 2x</t>
  </si>
  <si>
    <t>7   anténní stožár s odrezivěním a očištěním</t>
  </si>
  <si>
    <t>152</t>
  </si>
  <si>
    <t>783424140R00</t>
  </si>
  <si>
    <t>Nátěr syntetický potrubí do DN 50 mm  Z + 2x</t>
  </si>
  <si>
    <t>(3+10)*2   zábradlí rampy hlavního vstupu</t>
  </si>
  <si>
    <t>Hodinové zúčtovací sazby (HZS)</t>
  </si>
  <si>
    <t>153</t>
  </si>
  <si>
    <t>900      R03</t>
  </si>
  <si>
    <t>HZS</t>
  </si>
  <si>
    <t>90_</t>
  </si>
  <si>
    <t>9_</t>
  </si>
  <si>
    <t>80   </t>
  </si>
  <si>
    <t>Lešení a stavební výtahy</t>
  </si>
  <si>
    <t>154</t>
  </si>
  <si>
    <t>941941042R00</t>
  </si>
  <si>
    <t>Montáž lešení leh.řad.s podlahami,š.1,2 m, H 30 m</t>
  </si>
  <si>
    <t>94_</t>
  </si>
  <si>
    <t>(29,5+1+1)*2*36   </t>
  </si>
  <si>
    <t>(14,5+1+1)*2*36   </t>
  </si>
  <si>
    <t>155</t>
  </si>
  <si>
    <t>941941292R00</t>
  </si>
  <si>
    <t>Příplatek za každý měsíc použití lešení k pol.1042</t>
  </si>
  <si>
    <t>3456*5   </t>
  </si>
  <si>
    <t>156</t>
  </si>
  <si>
    <t>941941842R00</t>
  </si>
  <si>
    <t>Demontáž lešení leh.řad.s podlahami,š.1,2 m,H 30 m</t>
  </si>
  <si>
    <t>3456   </t>
  </si>
  <si>
    <t>157</t>
  </si>
  <si>
    <t>944944011R00</t>
  </si>
  <si>
    <t>Montáž ochranné sítě z umělých vláken</t>
  </si>
  <si>
    <t>158</t>
  </si>
  <si>
    <t>944944033R00</t>
  </si>
  <si>
    <t>Příplatek za každý měsíc použití sítí k pol. 4013</t>
  </si>
  <si>
    <t>159</t>
  </si>
  <si>
    <t>944945013R00</t>
  </si>
  <si>
    <t>Montáž záchytné stříšky H 4,5 m, šířky nad 2 m</t>
  </si>
  <si>
    <t>8   </t>
  </si>
  <si>
    <t>160</t>
  </si>
  <si>
    <t>944945813R00</t>
  </si>
  <si>
    <t>Demontáž záchytné stříšky H 4,5 m, šířky nad 2 m</t>
  </si>
  <si>
    <t>161</t>
  </si>
  <si>
    <t>998009101R00</t>
  </si>
  <si>
    <t>Přesun hmot lešení samostatně budovaného</t>
  </si>
  <si>
    <t>80,576   </t>
  </si>
  <si>
    <t>Různé dokončovací konstrukce a práce na pozemních stavbách</t>
  </si>
  <si>
    <t>162</t>
  </si>
  <si>
    <t>953941511R00</t>
  </si>
  <si>
    <t>Osazení  a dodávka věšáku na prádlo dle PD</t>
  </si>
  <si>
    <t>95_</t>
  </si>
  <si>
    <t>48   hliníkový lodžiový sušák na prádlo s pohyblivými jezdci pro minimálně 5 šňůr,</t>
  </si>
  <si>
    <t>   včetně kotev pro zateplené stěny</t>
  </si>
  <si>
    <t>163</t>
  </si>
  <si>
    <t>953761 R-06</t>
  </si>
  <si>
    <t>čtyřkomorová hnízdní budka pro rorýse</t>
  </si>
  <si>
    <t>164</t>
  </si>
  <si>
    <t>5534301661</t>
  </si>
  <si>
    <t>Větrací mřížka 150/150mm se síťkou s osazením</t>
  </si>
  <si>
    <t>110   kovová</t>
  </si>
  <si>
    <t>165</t>
  </si>
  <si>
    <t>5534301662</t>
  </si>
  <si>
    <t>Větrací mřížka s osazením 250/250mm se síťkou</t>
  </si>
  <si>
    <t>1   kovová</t>
  </si>
  <si>
    <t>166</t>
  </si>
  <si>
    <t>53395426</t>
  </si>
  <si>
    <t>Kotva nerezová chemická s okem průměr 40mm pro kotvení baneru</t>
  </si>
  <si>
    <t>20   </t>
  </si>
  <si>
    <t>167</t>
  </si>
  <si>
    <t>767200002RA0</t>
  </si>
  <si>
    <t>Zábradlí schodišťové dle PD, nátěry</t>
  </si>
  <si>
    <t>3,75*3   zadní vstup</t>
  </si>
  <si>
    <t>168</t>
  </si>
  <si>
    <t>952901114R00</t>
  </si>
  <si>
    <t>Vyčištění budov o výšce podlaží nad 4 m</t>
  </si>
  <si>
    <t>236+150   </t>
  </si>
  <si>
    <t>169</t>
  </si>
  <si>
    <t>999281112R00</t>
  </si>
  <si>
    <t>Přesun hmot pro opravy a údržbu do výšky 36 m</t>
  </si>
  <si>
    <t>0,643   </t>
  </si>
  <si>
    <t>Prorážení otvorů a ostatní bourací práce</t>
  </si>
  <si>
    <t>170</t>
  </si>
  <si>
    <t>970051130R00</t>
  </si>
  <si>
    <t>Vrtání jádrové do ŽB do D 130 mm</t>
  </si>
  <si>
    <t>97_</t>
  </si>
  <si>
    <t>12*0,28   vyvrtání větracích otvorů profilu 120mm v obvodovém panelu</t>
  </si>
  <si>
    <t>M21</t>
  </si>
  <si>
    <t>Elektromontáže</t>
  </si>
  <si>
    <t>171</t>
  </si>
  <si>
    <t>210100381R00</t>
  </si>
  <si>
    <t>Kontrola stavu a úprava napojovacího bodu</t>
  </si>
  <si>
    <t>hod</t>
  </si>
  <si>
    <t>M21_</t>
  </si>
  <si>
    <t>16   dle PD</t>
  </si>
  <si>
    <t>172</t>
  </si>
  <si>
    <t>210191503R00</t>
  </si>
  <si>
    <t>přípojnice hlavního pospojení</t>
  </si>
  <si>
    <t>1   včetně materiálu</t>
  </si>
  <si>
    <t>173</t>
  </si>
  <si>
    <t>210010003RU2</t>
  </si>
  <si>
    <t>Trubka ohebná pod omítku, vnější průměr 23mm</t>
  </si>
  <si>
    <t>320   včetně materiálů</t>
  </si>
  <si>
    <t>174</t>
  </si>
  <si>
    <t>210010004RU2</t>
  </si>
  <si>
    <t>Trubka ohebná pod omítku, vnější průměr 36 mm</t>
  </si>
  <si>
    <t>40   včetně materiálu</t>
  </si>
  <si>
    <t>175</t>
  </si>
  <si>
    <t>210010001R00</t>
  </si>
  <si>
    <t>Trubka ohebná pod omítku, d29 uložená pevně</t>
  </si>
  <si>
    <t>280   včetně materiálu</t>
  </si>
  <si>
    <t>176</t>
  </si>
  <si>
    <t>210010324RT2</t>
  </si>
  <si>
    <t>Krabice přístrojová KP, 68/1</t>
  </si>
  <si>
    <t>70   včetně materiálu</t>
  </si>
  <si>
    <t>177</t>
  </si>
  <si>
    <t>210010311RT1</t>
  </si>
  <si>
    <t>Krabice univerzální KU,  68/2-1903</t>
  </si>
  <si>
    <t>178</t>
  </si>
  <si>
    <t>210010323RT1</t>
  </si>
  <si>
    <t>Krabice odbočná KO, se zapojením, čtvercová</t>
  </si>
  <si>
    <t>36   včetně materiálu</t>
  </si>
  <si>
    <t>179</t>
  </si>
  <si>
    <t>210010323RT3</t>
  </si>
  <si>
    <t>5   včetně materiálu</t>
  </si>
  <si>
    <t>180</t>
  </si>
  <si>
    <t>210290R-01</t>
  </si>
  <si>
    <t>Úprava stávajících rozvodů</t>
  </si>
  <si>
    <t>35   </t>
  </si>
  <si>
    <t>181</t>
  </si>
  <si>
    <t>210020503R00</t>
  </si>
  <si>
    <t>Žlab kabelový +kolena spoj.materiál 65/50mm</t>
  </si>
  <si>
    <t>182</t>
  </si>
  <si>
    <t>210800505RT1</t>
  </si>
  <si>
    <t>Vodič H07V-U (CY) 2,0 mm2 uložený v trubkách</t>
  </si>
  <si>
    <t>540   včetně materiálu</t>
  </si>
  <si>
    <t>183</t>
  </si>
  <si>
    <t>210800105RT1</t>
  </si>
  <si>
    <t>Kabel CYKY 750 V 3x1,5 mm2 uložený pod omítkou</t>
  </si>
  <si>
    <t>1090   včetně materiálu</t>
  </si>
  <si>
    <t>184</t>
  </si>
  <si>
    <t>210100001R00</t>
  </si>
  <si>
    <t>Ukončení vodičů v rozvaděči + zapojení do 2,5 mm2</t>
  </si>
  <si>
    <t>422   </t>
  </si>
  <si>
    <t>185</t>
  </si>
  <si>
    <t>210220321R00</t>
  </si>
  <si>
    <t>Svorka na potrubí Bernard, včetně Cu pásku</t>
  </si>
  <si>
    <t>70   </t>
  </si>
  <si>
    <t>186</t>
  </si>
  <si>
    <t>210100034R00</t>
  </si>
  <si>
    <t>Montáž pospojení</t>
  </si>
  <si>
    <t>187</t>
  </si>
  <si>
    <t>Sada pospojení</t>
  </si>
  <si>
    <t>188</t>
  </si>
  <si>
    <t>210110001RT2</t>
  </si>
  <si>
    <t>Spínač nástěnný jednopól.- řaz. 1, obyč.prostředí</t>
  </si>
  <si>
    <t>23   </t>
  </si>
  <si>
    <t>189</t>
  </si>
  <si>
    <t>210110003RT1</t>
  </si>
  <si>
    <t>Spínač nástěnný seriový - řaz. 5, obyč.prostředí</t>
  </si>
  <si>
    <t>36   </t>
  </si>
  <si>
    <t>190</t>
  </si>
  <si>
    <t>210205R-04</t>
  </si>
  <si>
    <t>dokumentace skutečného provedení stavby</t>
  </si>
  <si>
    <t>191</t>
  </si>
  <si>
    <t>210205R-05</t>
  </si>
  <si>
    <t>Koordinace vypnutí stavby ,prozatimní napájení staveništního rozvaděče</t>
  </si>
  <si>
    <t>192</t>
  </si>
  <si>
    <t>210205R-06</t>
  </si>
  <si>
    <t>práce ve výšce</t>
  </si>
  <si>
    <t>193</t>
  </si>
  <si>
    <t>210205105R00</t>
  </si>
  <si>
    <t>Ekologická likvidace odpadů</t>
  </si>
  <si>
    <t>194</t>
  </si>
  <si>
    <t>210220002RT2</t>
  </si>
  <si>
    <t>Vedení uzemňovací na povrchu FeZn D 10 mm</t>
  </si>
  <si>
    <t>195</t>
  </si>
  <si>
    <t>210220301R00</t>
  </si>
  <si>
    <t>Svorka hromosvodová do 4 šroubů /SS, SZ, SO/</t>
  </si>
  <si>
    <t>175   </t>
  </si>
  <si>
    <t>15   </t>
  </si>
  <si>
    <t>196</t>
  </si>
  <si>
    <t>6   včetně materiálu</t>
  </si>
  <si>
    <t>197</t>
  </si>
  <si>
    <t>210220001RT1</t>
  </si>
  <si>
    <t>Vedení uzemňovací na povrchu FeZn do 120 mm2</t>
  </si>
  <si>
    <t>20   včetně pásku</t>
  </si>
  <si>
    <t>198</t>
  </si>
  <si>
    <t>210220010R00</t>
  </si>
  <si>
    <t>podružný materiál</t>
  </si>
  <si>
    <t>199</t>
  </si>
  <si>
    <t>210220101RT3</t>
  </si>
  <si>
    <t>Vodiče svodové FeZn D do 10,Al 10,Cu 8 +podpěry</t>
  </si>
  <si>
    <t>620   </t>
  </si>
  <si>
    <t>200</t>
  </si>
  <si>
    <t>910      R00</t>
  </si>
  <si>
    <t>Hzs - celková prohlídka el.rozvodu a zařízení do 2mil</t>
  </si>
  <si>
    <t>201</t>
  </si>
  <si>
    <t>905      R01</t>
  </si>
  <si>
    <t>Hzs- elektrorevize provoz.souboru a st.obj.</t>
  </si>
  <si>
    <t>202</t>
  </si>
  <si>
    <t>34561406</t>
  </si>
  <si>
    <t>Svorka WAGO 273-105 5x2,5</t>
  </si>
  <si>
    <t>203</t>
  </si>
  <si>
    <t>35441846</t>
  </si>
  <si>
    <t>Štítek označení</t>
  </si>
  <si>
    <t>72   </t>
  </si>
  <si>
    <t>204</t>
  </si>
  <si>
    <t>283551501</t>
  </si>
  <si>
    <t>Páska stahovací kabelová</t>
  </si>
  <si>
    <t>100kus</t>
  </si>
  <si>
    <t>50   </t>
  </si>
  <si>
    <t>205</t>
  </si>
  <si>
    <t>210800101RT1</t>
  </si>
  <si>
    <t>Kabel CYKY 750 V 2x1,5 mm2 uložený pod omítkou</t>
  </si>
  <si>
    <t>620   včetně materiálu</t>
  </si>
  <si>
    <t>206</t>
  </si>
  <si>
    <t>100   včetně materiálu</t>
  </si>
  <si>
    <t>207</t>
  </si>
  <si>
    <t>210220212RT2</t>
  </si>
  <si>
    <t>Tyč jímací s upev. na střeše 1,5m vč.svorky</t>
  </si>
  <si>
    <t>208</t>
  </si>
  <si>
    <t>210220211R00</t>
  </si>
  <si>
    <t>Jímač tyčový d=2,6 vč.stojanu a příslušenství</t>
  </si>
  <si>
    <t>209</t>
  </si>
  <si>
    <t>Svorka hromosvodová zkušební v krabicido 2 šroubů /SS, SZ, SO/</t>
  </si>
  <si>
    <t>210</t>
  </si>
  <si>
    <t>971033141R00</t>
  </si>
  <si>
    <t>Vybourání otvorů zeď cihel. d=6 cm, tl. 30 cm, MVC</t>
  </si>
  <si>
    <t>210   </t>
  </si>
  <si>
    <t>211</t>
  </si>
  <si>
    <t>12   </t>
  </si>
  <si>
    <t>212</t>
  </si>
  <si>
    <t>973031324R00</t>
  </si>
  <si>
    <t>Vysekání kapes zeď cihel. MVC, pl. 0,1m2, hl. 15cm</t>
  </si>
  <si>
    <t>213</t>
  </si>
  <si>
    <t>974082R-18</t>
  </si>
  <si>
    <t>Demontáže umakartové stěny a stropu</t>
  </si>
  <si>
    <t>140   stěny</t>
  </si>
  <si>
    <t>140   strop</t>
  </si>
  <si>
    <t>214</t>
  </si>
  <si>
    <t>713552131R00</t>
  </si>
  <si>
    <t>Protipož. ucpávkavč.kontroly a certifikace</t>
  </si>
  <si>
    <t>215</t>
  </si>
  <si>
    <t>713141R-19</t>
  </si>
  <si>
    <t>Izolace průchodu střechou</t>
  </si>
  <si>
    <t>ks</t>
  </si>
  <si>
    <t>216</t>
  </si>
  <si>
    <t>210130401R00</t>
  </si>
  <si>
    <t>Relé časové 8min/230/12V</t>
  </si>
  <si>
    <t>96   </t>
  </si>
  <si>
    <t>217</t>
  </si>
  <si>
    <t>210220R-20</t>
  </si>
  <si>
    <t>Sonda přítomnosti základového zemniče</t>
  </si>
  <si>
    <t>218</t>
  </si>
  <si>
    <t>900      RT3</t>
  </si>
  <si>
    <t>HZS-stavební přípomoce-zához rýh pro vodiče,hrubá a finální štuková</t>
  </si>
  <si>
    <t>40   </t>
  </si>
  <si>
    <t>219</t>
  </si>
  <si>
    <t>904      R01</t>
  </si>
  <si>
    <t>Hzs-oživení a parametrizace el.části VZT</t>
  </si>
  <si>
    <t>20   70 ks</t>
  </si>
  <si>
    <t>220</t>
  </si>
  <si>
    <t>952901111R00</t>
  </si>
  <si>
    <t>Vyčištění budov o výšce podlaží do 4 m</t>
  </si>
  <si>
    <t>1   úklid po elektromontážích</t>
  </si>
  <si>
    <t>Celkem:</t>
  </si>
  <si>
    <t>Poznámka:</t>
  </si>
  <si>
    <t>Slepý stavební rozpočet - rekapitulace</t>
  </si>
  <si>
    <t>Náklady (Kč) - dodávka</t>
  </si>
  <si>
    <t>Náklady (Kč) - Montáž</t>
  </si>
  <si>
    <t>Náklady (Kč) - celkem</t>
  </si>
  <si>
    <t>T</t>
  </si>
  <si>
    <t>Krycí list slepého rozpočtu</t>
  </si>
  <si>
    <t>IČ/DIČ: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</si>
  <si>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</si>
  <si>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</si>
  <si>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</si>
  <si>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</si>
  <si>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</si>
  <si>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</si>
  <si>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</si>
  <si>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</si>
  <si>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</si>
  <si>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</si>
  <si>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</si>
  <si>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</si>
  <si>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Bez pevné podl.</t>
  </si>
  <si>
    <t>Mimostav. doprava</t>
  </si>
  <si>
    <t>PSV</t>
  </si>
  <si>
    <t>Kulturní památka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</si>
  <si>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</si>
  <si>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</si>
  <si>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</si>
  <si>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</si>
  <si>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</si>
  <si>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</si>
  <si>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</si>
  <si>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</si>
  <si>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</si>
  <si>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</si>
  <si>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ORN celkem</t>
  </si>
  <si>
    <t>ORN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</si>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</sst>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1">
    <font>
      <sz val="10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8">
    <xf numFmtId="164" fontId="0" fillId="0" borderId="0" xfId="0" applyAlignment="1">
      <alignment/>
    </xf>
    <xf numFmtId="165" fontId="1" fillId="0" borderId="1" xfId="0" applyNumberFormat="1" applyFont="1" applyFill="1" applyBorder="1" applyAlignment="1" applyProtection="1">
      <alignment horizontal="center"/>
      <protection/>
    </xf>
    <xf numFmtId="164" fontId="2" fillId="0" borderId="2" xfId="0" applyNumberFormat="1" applyFont="1" applyFill="1" applyBorder="1" applyAlignment="1" applyProtection="1">
      <alignment horizontal="left" vertical="center" wrapText="1"/>
      <protection/>
    </xf>
    <xf numFmtId="164" fontId="3" fillId="0" borderId="3" xfId="0" applyNumberFormat="1" applyFont="1" applyFill="1" applyBorder="1" applyAlignment="1" applyProtection="1">
      <alignment horizontal="left" vertical="center" wrapText="1"/>
      <protection/>
    </xf>
    <xf numFmtId="165" fontId="2" fillId="0" borderId="3" xfId="0" applyNumberFormat="1" applyFont="1" applyFill="1" applyBorder="1" applyAlignment="1" applyProtection="1">
      <alignment horizontal="left" vertical="center"/>
      <protection/>
    </xf>
    <xf numFmtId="164" fontId="2" fillId="0" borderId="3" xfId="0" applyNumberFormat="1" applyFont="1" applyFill="1" applyBorder="1" applyAlignment="1" applyProtection="1">
      <alignment horizontal="left" vertical="center" wrapText="1"/>
      <protection/>
    </xf>
    <xf numFmtId="164" fontId="2" fillId="0" borderId="4" xfId="0" applyNumberFormat="1" applyFont="1" applyFill="1" applyBorder="1" applyAlignment="1" applyProtection="1">
      <alignment horizontal="left" vertical="center" wrapText="1"/>
      <protection/>
    </xf>
    <xf numFmtId="164" fontId="2" fillId="0" borderId="5" xfId="0" applyNumberFormat="1" applyFont="1" applyFill="1" applyBorder="1" applyAlignment="1" applyProtection="1">
      <alignment vertical="center"/>
      <protection/>
    </xf>
    <xf numFmtId="164" fontId="2" fillId="0" borderId="5" xfId="0" applyNumberFormat="1" applyFont="1" applyFill="1" applyBorder="1" applyAlignment="1" applyProtection="1">
      <alignment horizontal="left" vertical="center" wrapText="1"/>
      <protection/>
    </xf>
    <xf numFmtId="164" fontId="2" fillId="0" borderId="0" xfId="0" applyNumberFormat="1" applyFont="1" applyFill="1" applyBorder="1" applyAlignment="1" applyProtection="1">
      <alignment horizontal="left" vertical="center" wrapText="1"/>
      <protection/>
    </xf>
    <xf numFmtId="165" fontId="2" fillId="0" borderId="0" xfId="0" applyNumberFormat="1" applyFont="1" applyFill="1" applyBorder="1" applyAlignment="1" applyProtection="1">
      <alignment horizontal="left" vertical="center"/>
      <protection/>
    </xf>
    <xf numFmtId="164" fontId="2" fillId="0" borderId="6" xfId="0" applyNumberFormat="1" applyFont="1" applyFill="1" applyBorder="1" applyAlignment="1" applyProtection="1">
      <alignment horizontal="left" vertical="center" wrapText="1"/>
      <protection/>
    </xf>
    <xf numFmtId="164" fontId="2" fillId="0" borderId="7" xfId="0" applyNumberFormat="1" applyFont="1" applyFill="1" applyBorder="1" applyAlignment="1" applyProtection="1">
      <alignment horizontal="left" vertical="center" wrapText="1"/>
      <protection/>
    </xf>
    <xf numFmtId="164" fontId="2" fillId="0" borderId="8" xfId="0" applyNumberFormat="1" applyFont="1" applyFill="1" applyBorder="1" applyAlignment="1" applyProtection="1">
      <alignment horizontal="left" vertical="center" wrapText="1"/>
      <protection/>
    </xf>
    <xf numFmtId="165" fontId="2" fillId="0" borderId="8" xfId="0" applyNumberFormat="1" applyFont="1" applyFill="1" applyBorder="1" applyAlignment="1" applyProtection="1">
      <alignment horizontal="left" vertical="center"/>
      <protection/>
    </xf>
    <xf numFmtId="164" fontId="2" fillId="0" borderId="9" xfId="0" applyNumberFormat="1" applyFont="1" applyFill="1" applyBorder="1" applyAlignment="1" applyProtection="1">
      <alignment horizontal="left" vertical="center" wrapText="1"/>
      <protection/>
    </xf>
    <xf numFmtId="165" fontId="3" fillId="0" borderId="10" xfId="0" applyNumberFormat="1" applyFont="1" applyFill="1" applyBorder="1" applyAlignment="1" applyProtection="1">
      <alignment horizontal="left" vertical="center"/>
      <protection/>
    </xf>
    <xf numFmtId="165" fontId="3" fillId="0" borderId="11" xfId="0" applyNumberFormat="1" applyFont="1" applyFill="1" applyBorder="1" applyAlignment="1" applyProtection="1">
      <alignment horizontal="left" vertical="center"/>
      <protection/>
    </xf>
    <xf numFmtId="165" fontId="3" fillId="0" borderId="11" xfId="0" applyNumberFormat="1" applyFont="1" applyFill="1" applyBorder="1" applyAlignment="1" applyProtection="1">
      <alignment horizontal="center" vertical="center"/>
      <protection/>
    </xf>
    <xf numFmtId="165" fontId="3" fillId="0" borderId="12" xfId="0" applyNumberFormat="1" applyFont="1" applyFill="1" applyBorder="1" applyAlignment="1" applyProtection="1">
      <alignment horizontal="center" vertical="center"/>
      <protection/>
    </xf>
    <xf numFmtId="165" fontId="3" fillId="0" borderId="13" xfId="0" applyNumberFormat="1" applyFont="1" applyFill="1" applyBorder="1" applyAlignment="1" applyProtection="1">
      <alignment horizontal="center" vertical="center"/>
      <protection/>
    </xf>
    <xf numFmtId="165" fontId="3" fillId="0" borderId="14" xfId="0" applyNumberFormat="1" applyFont="1" applyFill="1" applyBorder="1" applyAlignment="1" applyProtection="1">
      <alignment horizontal="center" vertical="center"/>
      <protection/>
    </xf>
    <xf numFmtId="164" fontId="2" fillId="0" borderId="15" xfId="0" applyNumberFormat="1" applyFont="1" applyFill="1" applyBorder="1" applyAlignment="1" applyProtection="1">
      <alignment vertical="center"/>
      <protection/>
    </xf>
    <xf numFmtId="165" fontId="2" fillId="0" borderId="16" xfId="0" applyNumberFormat="1" applyFont="1" applyFill="1" applyBorder="1" applyAlignment="1" applyProtection="1">
      <alignment horizontal="left" vertical="center"/>
      <protection/>
    </xf>
    <xf numFmtId="165" fontId="2" fillId="0" borderId="17" xfId="0" applyNumberFormat="1" applyFont="1" applyFill="1" applyBorder="1" applyAlignment="1" applyProtection="1">
      <alignment horizontal="left" vertical="center"/>
      <protection/>
    </xf>
    <xf numFmtId="165" fontId="3" fillId="0" borderId="17" xfId="0" applyNumberFormat="1" applyFont="1" applyFill="1" applyBorder="1" applyAlignment="1" applyProtection="1">
      <alignment horizontal="left" vertical="center"/>
      <protection/>
    </xf>
    <xf numFmtId="165" fontId="3" fillId="0" borderId="18" xfId="0" applyNumberFormat="1" applyFont="1" applyFill="1" applyBorder="1" applyAlignment="1" applyProtection="1">
      <alignment horizontal="center" vertical="center"/>
      <protection/>
    </xf>
    <xf numFmtId="165" fontId="3" fillId="0" borderId="19" xfId="0" applyNumberFormat="1" applyFont="1" applyFill="1" applyBorder="1" applyAlignment="1" applyProtection="1">
      <alignment horizontal="center" vertical="center"/>
      <protection/>
    </xf>
    <xf numFmtId="165" fontId="3" fillId="0" borderId="20" xfId="0" applyNumberFormat="1" applyFont="1" applyFill="1" applyBorder="1" applyAlignment="1" applyProtection="1">
      <alignment horizontal="center" vertical="center"/>
      <protection/>
    </xf>
    <xf numFmtId="165" fontId="3" fillId="0" borderId="21" xfId="0" applyNumberFormat="1" applyFont="1" applyFill="1" applyBorder="1" applyAlignment="1" applyProtection="1">
      <alignment horizontal="center" vertical="center"/>
      <protection/>
    </xf>
    <xf numFmtId="165" fontId="3" fillId="0" borderId="22" xfId="0" applyNumberFormat="1" applyFont="1" applyFill="1" applyBorder="1" applyAlignment="1" applyProtection="1">
      <alignment horizontal="center" vertical="center"/>
      <protection/>
    </xf>
    <xf numFmtId="165" fontId="3" fillId="2" borderId="0" xfId="0" applyNumberFormat="1" applyFont="1" applyFill="1" applyBorder="1" applyAlignment="1" applyProtection="1">
      <alignment horizontal="right" vertical="center"/>
      <protection/>
    </xf>
    <xf numFmtId="165" fontId="2" fillId="2" borderId="23" xfId="0" applyNumberFormat="1" applyFont="1" applyFill="1" applyBorder="1" applyAlignment="1" applyProtection="1">
      <alignment horizontal="left" vertical="center"/>
      <protection/>
    </xf>
    <xf numFmtId="165" fontId="3" fillId="2" borderId="23" xfId="0" applyNumberFormat="1" applyFont="1" applyFill="1" applyBorder="1" applyAlignment="1" applyProtection="1">
      <alignment horizontal="left" vertical="center"/>
      <protection/>
    </xf>
    <xf numFmtId="166" fontId="3" fillId="2" borderId="23" xfId="0" applyNumberFormat="1" applyFont="1" applyFill="1" applyBorder="1" applyAlignment="1" applyProtection="1">
      <alignment horizontal="right" vertical="center"/>
      <protection/>
    </xf>
    <xf numFmtId="165" fontId="3" fillId="2" borderId="23" xfId="0" applyNumberFormat="1" applyFont="1" applyFill="1" applyBorder="1" applyAlignment="1" applyProtection="1">
      <alignment horizontal="right" vertical="center"/>
      <protection/>
    </xf>
    <xf numFmtId="166" fontId="3" fillId="2" borderId="0" xfId="0" applyNumberFormat="1" applyFont="1" applyFill="1" applyBorder="1" applyAlignment="1" applyProtection="1">
      <alignment horizontal="right" vertical="center"/>
      <protection/>
    </xf>
    <xf numFmtId="166" fontId="2" fillId="0" borderId="0" xfId="0" applyNumberFormat="1" applyFont="1" applyFill="1" applyBorder="1" applyAlignment="1" applyProtection="1">
      <alignment horizontal="right" vertical="center"/>
      <protection/>
    </xf>
    <xf numFmtId="165" fontId="2" fillId="0" borderId="0" xfId="0" applyNumberFormat="1" applyFont="1" applyFill="1" applyBorder="1" applyAlignment="1" applyProtection="1">
      <alignment horizontal="right" vertical="center"/>
      <protection/>
    </xf>
    <xf numFmtId="165" fontId="4" fillId="0" borderId="0" xfId="0" applyNumberFormat="1" applyFont="1" applyFill="1" applyBorder="1" applyAlignment="1" applyProtection="1">
      <alignment horizontal="left" vertical="center"/>
      <protection/>
    </xf>
    <xf numFmtId="166" fontId="4" fillId="0" borderId="0" xfId="0" applyNumberFormat="1" applyFont="1" applyFill="1" applyBorder="1" applyAlignment="1" applyProtection="1">
      <alignment horizontal="right" vertical="center"/>
      <protection/>
    </xf>
    <xf numFmtId="165" fontId="2" fillId="2" borderId="0" xfId="0" applyNumberFormat="1" applyFont="1" applyFill="1" applyBorder="1" applyAlignment="1" applyProtection="1">
      <alignment horizontal="left" vertical="center"/>
      <protection/>
    </xf>
    <xf numFmtId="165" fontId="3" fillId="2" borderId="0" xfId="0" applyNumberFormat="1" applyFont="1" applyFill="1" applyBorder="1" applyAlignment="1" applyProtection="1">
      <alignment horizontal="left" vertical="center"/>
      <protection/>
    </xf>
    <xf numFmtId="164" fontId="2" fillId="0" borderId="1" xfId="0" applyNumberFormat="1" applyFont="1" applyFill="1" applyBorder="1" applyAlignment="1" applyProtection="1">
      <alignment vertical="center"/>
      <protection/>
    </xf>
    <xf numFmtId="165" fontId="4" fillId="0" borderId="1" xfId="0" applyNumberFormat="1" applyFont="1" applyFill="1" applyBorder="1" applyAlignment="1" applyProtection="1">
      <alignment horizontal="left" vertical="center"/>
      <protection/>
    </xf>
    <xf numFmtId="166" fontId="4" fillId="0" borderId="1" xfId="0" applyNumberFormat="1" applyFont="1" applyFill="1" applyBorder="1" applyAlignment="1" applyProtection="1">
      <alignment horizontal="right" vertical="center"/>
      <protection/>
    </xf>
    <xf numFmtId="164" fontId="2" fillId="0" borderId="3" xfId="0" applyNumberFormat="1" applyFont="1" applyFill="1" applyBorder="1" applyAlignment="1" applyProtection="1">
      <alignment vertical="center"/>
      <protection/>
    </xf>
    <xf numFmtId="165" fontId="3" fillId="0" borderId="3" xfId="0" applyNumberFormat="1" applyFont="1" applyFill="1" applyBorder="1" applyAlignment="1" applyProtection="1">
      <alignment horizontal="left" vertical="center"/>
      <protection/>
    </xf>
    <xf numFmtId="166" fontId="3" fillId="0" borderId="3" xfId="0" applyNumberFormat="1" applyFont="1" applyFill="1" applyBorder="1" applyAlignment="1" applyProtection="1">
      <alignment horizontal="right" vertical="center"/>
      <protection/>
    </xf>
    <xf numFmtId="165" fontId="5" fillId="0" borderId="0" xfId="0" applyNumberFormat="1" applyFont="1" applyFill="1" applyBorder="1" applyAlignment="1" applyProtection="1">
      <alignment horizontal="left" vertical="center"/>
      <protection/>
    </xf>
    <xf numFmtId="165" fontId="3" fillId="0" borderId="24" xfId="0" applyNumberFormat="1" applyFont="1" applyFill="1" applyBorder="1" applyAlignment="1" applyProtection="1">
      <alignment horizontal="left" vertical="center"/>
      <protection/>
    </xf>
    <xf numFmtId="165" fontId="3" fillId="0" borderId="25" xfId="0" applyNumberFormat="1" applyFont="1" applyFill="1" applyBorder="1" applyAlignment="1" applyProtection="1">
      <alignment horizontal="left" vertical="center"/>
      <protection/>
    </xf>
    <xf numFmtId="165" fontId="3" fillId="0" borderId="25" xfId="0" applyNumberFormat="1" applyFont="1" applyFill="1" applyBorder="1" applyAlignment="1" applyProtection="1">
      <alignment horizontal="center" vertical="center"/>
      <protection/>
    </xf>
    <xf numFmtId="165" fontId="2" fillId="0" borderId="23" xfId="0" applyNumberFormat="1" applyFont="1" applyFill="1" applyBorder="1" applyAlignment="1" applyProtection="1">
      <alignment horizontal="left" vertical="center"/>
      <protection/>
    </xf>
    <xf numFmtId="166" fontId="2" fillId="0" borderId="23" xfId="0" applyNumberFormat="1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Fill="1" applyBorder="1" applyAlignment="1" applyProtection="1">
      <alignment horizontal="left" vertical="center"/>
      <protection/>
    </xf>
    <xf numFmtId="166" fontId="3" fillId="0" borderId="0" xfId="0" applyNumberFormat="1" applyFont="1" applyFill="1" applyBorder="1" applyAlignment="1" applyProtection="1">
      <alignment horizontal="right" vertical="center"/>
      <protection/>
    </xf>
    <xf numFmtId="164" fontId="2" fillId="0" borderId="1" xfId="0" applyNumberFormat="1" applyFont="1" applyFill="1" applyBorder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 horizontal="center" vertical="center" wrapText="1"/>
      <protection/>
    </xf>
    <xf numFmtId="165" fontId="2" fillId="0" borderId="4" xfId="0" applyNumberFormat="1" applyFont="1" applyFill="1" applyBorder="1" applyAlignment="1" applyProtection="1">
      <alignment horizontal="left" vertical="center"/>
      <protection/>
    </xf>
    <xf numFmtId="165" fontId="2" fillId="0" borderId="6" xfId="0" applyNumberFormat="1" applyFont="1" applyFill="1" applyBorder="1" applyAlignment="1" applyProtection="1">
      <alignment horizontal="left" vertical="center"/>
      <protection/>
    </xf>
    <xf numFmtId="164" fontId="2" fillId="0" borderId="26" xfId="0" applyNumberFormat="1" applyFont="1" applyFill="1" applyBorder="1" applyAlignment="1" applyProtection="1">
      <alignment horizontal="left" vertical="center" wrapText="1"/>
      <protection/>
    </xf>
    <xf numFmtId="164" fontId="2" fillId="0" borderId="1" xfId="0" applyNumberFormat="1" applyFont="1" applyFill="1" applyBorder="1" applyAlignment="1" applyProtection="1">
      <alignment horizontal="left" vertical="center" wrapText="1"/>
      <protection/>
    </xf>
    <xf numFmtId="165" fontId="2" fillId="0" borderId="1" xfId="0" applyNumberFormat="1" applyFont="1" applyFill="1" applyBorder="1" applyAlignment="1" applyProtection="1">
      <alignment horizontal="left" vertical="center"/>
      <protection/>
    </xf>
    <xf numFmtId="164" fontId="2" fillId="0" borderId="27" xfId="0" applyNumberFormat="1" applyFont="1" applyFill="1" applyBorder="1" applyAlignment="1" applyProtection="1">
      <alignment horizontal="left" vertical="center" wrapText="1"/>
      <protection/>
    </xf>
    <xf numFmtId="165" fontId="6" fillId="0" borderId="28" xfId="0" applyNumberFormat="1" applyFont="1" applyFill="1" applyBorder="1" applyAlignment="1" applyProtection="1">
      <alignment horizontal="center" vertical="center"/>
      <protection/>
    </xf>
    <xf numFmtId="165" fontId="7" fillId="2" borderId="29" xfId="0" applyNumberFormat="1" applyFont="1" applyFill="1" applyBorder="1" applyAlignment="1" applyProtection="1">
      <alignment horizontal="center" vertical="center"/>
      <protection/>
    </xf>
    <xf numFmtId="165" fontId="8" fillId="0" borderId="29" xfId="0" applyNumberFormat="1" applyFont="1" applyFill="1" applyBorder="1" applyAlignment="1" applyProtection="1">
      <alignment horizontal="left" vertical="center"/>
      <protection/>
    </xf>
    <xf numFmtId="165" fontId="9" fillId="0" borderId="30" xfId="0" applyNumberFormat="1" applyFont="1" applyFill="1" applyBorder="1" applyAlignment="1" applyProtection="1">
      <alignment horizontal="left" vertical="center"/>
      <protection/>
    </xf>
    <xf numFmtId="165" fontId="10" fillId="0" borderId="29" xfId="0" applyNumberFormat="1" applyFont="1" applyFill="1" applyBorder="1" applyAlignment="1" applyProtection="1">
      <alignment horizontal="left" vertical="center"/>
      <protection/>
    </xf>
    <xf numFmtId="166" fontId="10" fillId="0" borderId="29" xfId="0" applyNumberFormat="1" applyFont="1" applyFill="1" applyBorder="1" applyAlignment="1" applyProtection="1">
      <alignment horizontal="right" vertical="center"/>
      <protection/>
    </xf>
    <xf numFmtId="165" fontId="9" fillId="0" borderId="31" xfId="0" applyNumberFormat="1" applyFont="1" applyFill="1" applyBorder="1" applyAlignment="1" applyProtection="1">
      <alignment horizontal="left" vertical="center"/>
      <protection/>
    </xf>
    <xf numFmtId="165" fontId="10" fillId="0" borderId="29" xfId="0" applyNumberFormat="1" applyFont="1" applyFill="1" applyBorder="1" applyAlignment="1" applyProtection="1">
      <alignment horizontal="right" vertical="center"/>
      <protection/>
    </xf>
    <xf numFmtId="165" fontId="9" fillId="0" borderId="29" xfId="0" applyNumberFormat="1" applyFont="1" applyFill="1" applyBorder="1" applyAlignment="1" applyProtection="1">
      <alignment horizontal="left" vertical="center"/>
      <protection/>
    </xf>
    <xf numFmtId="164" fontId="2" fillId="0" borderId="4" xfId="0" applyNumberFormat="1" applyFont="1" applyFill="1" applyBorder="1" applyAlignment="1" applyProtection="1">
      <alignment vertical="center"/>
      <protection/>
    </xf>
    <xf numFmtId="166" fontId="10" fillId="0" borderId="20" xfId="0" applyNumberFormat="1" applyFont="1" applyFill="1" applyBorder="1" applyAlignment="1" applyProtection="1">
      <alignment horizontal="right" vertical="center"/>
      <protection/>
    </xf>
    <xf numFmtId="164" fontId="2" fillId="0" borderId="32" xfId="0" applyNumberFormat="1" applyFont="1" applyFill="1" applyBorder="1" applyAlignment="1" applyProtection="1">
      <alignment vertical="center"/>
      <protection/>
    </xf>
    <xf numFmtId="164" fontId="2" fillId="0" borderId="33" xfId="0" applyNumberFormat="1" applyFont="1" applyFill="1" applyBorder="1" applyAlignment="1" applyProtection="1">
      <alignment vertical="center"/>
      <protection/>
    </xf>
    <xf numFmtId="164" fontId="2" fillId="0" borderId="6" xfId="0" applyNumberFormat="1" applyFont="1" applyFill="1" applyBorder="1" applyAlignment="1" applyProtection="1">
      <alignment vertical="center"/>
      <protection/>
    </xf>
    <xf numFmtId="165" fontId="9" fillId="2" borderId="33" xfId="0" applyNumberFormat="1" applyFont="1" applyFill="1" applyBorder="1" applyAlignment="1" applyProtection="1">
      <alignment horizontal="left" vertical="center"/>
      <protection/>
    </xf>
    <xf numFmtId="166" fontId="9" fillId="2" borderId="34" xfId="0" applyNumberFormat="1" applyFont="1" applyFill="1" applyBorder="1" applyAlignment="1" applyProtection="1">
      <alignment horizontal="right" vertical="center"/>
      <protection/>
    </xf>
    <xf numFmtId="164" fontId="2" fillId="0" borderId="26" xfId="0" applyNumberFormat="1" applyFont="1" applyFill="1" applyBorder="1" applyAlignment="1" applyProtection="1">
      <alignment vertical="center"/>
      <protection/>
    </xf>
    <xf numFmtId="164" fontId="2" fillId="0" borderId="35" xfId="0" applyNumberFormat="1" applyFont="1" applyFill="1" applyBorder="1" applyAlignment="1" applyProtection="1">
      <alignment vertical="center"/>
      <protection/>
    </xf>
    <xf numFmtId="165" fontId="10" fillId="0" borderId="14" xfId="0" applyNumberFormat="1" applyFont="1" applyFill="1" applyBorder="1" applyAlignment="1" applyProtection="1">
      <alignment horizontal="left" vertical="center"/>
      <protection/>
    </xf>
    <xf numFmtId="165" fontId="10" fillId="0" borderId="36" xfId="0" applyNumberFormat="1" applyFont="1" applyFill="1" applyBorder="1" applyAlignment="1" applyProtection="1">
      <alignment horizontal="left" vertical="center"/>
      <protection/>
    </xf>
    <xf numFmtId="165" fontId="10" fillId="0" borderId="22" xfId="0" applyNumberFormat="1" applyFont="1" applyFill="1" applyBorder="1" applyAlignment="1" applyProtection="1">
      <alignment horizontal="left" vertical="center"/>
      <protection/>
    </xf>
    <xf numFmtId="165" fontId="5" fillId="0" borderId="23" xfId="0" applyNumberFormat="1" applyFont="1" applyFill="1" applyBorder="1" applyAlignment="1" applyProtection="1">
      <alignment horizontal="left" vertical="center"/>
      <protection/>
    </xf>
    <xf numFmtId="164" fontId="2" fillId="0" borderId="23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540"/>
  <sheetViews>
    <sheetView tabSelected="1" zoomScale="110" zoomScaleNormal="110" workbookViewId="0" topLeftCell="A1">
      <pane ySplit="11" topLeftCell="A267" activePane="bottomLeft" state="frozen"/>
      <selection pane="topLeft" activeCell="A1" sqref="A1"/>
      <selection pane="bottomLeft" activeCell="C283" sqref="C283"/>
    </sheetView>
  </sheetViews>
  <sheetFormatPr defaultColWidth="10.28125" defaultRowHeight="12.75"/>
  <cols>
    <col min="1" max="1" width="3.7109375" style="0" customWidth="1"/>
    <col min="2" max="2" width="14.28125" style="0" customWidth="1"/>
    <col min="3" max="3" width="76.140625" style="0" customWidth="1"/>
    <col min="4" max="5" width="11.57421875" style="0" customWidth="1"/>
    <col min="6" max="6" width="6.8515625" style="0" customWidth="1"/>
    <col min="7" max="7" width="12.8515625" style="0" customWidth="1"/>
    <col min="8" max="8" width="12.00390625" style="0" customWidth="1"/>
    <col min="9" max="11" width="14.28125" style="0" customWidth="1"/>
    <col min="12" max="12" width="11.7109375" style="0" customWidth="1"/>
    <col min="13" max="24" width="11.57421875" style="0" customWidth="1"/>
    <col min="25" max="62" width="12.140625" style="0" hidden="1" customWidth="1"/>
    <col min="63" max="16384" width="11.57421875" style="0" customWidth="1"/>
  </cols>
  <sheetData>
    <row r="1" spans="1:12" ht="7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2.75" customHeight="1">
      <c r="A2" s="2" t="s">
        <v>1</v>
      </c>
      <c r="B2" s="2"/>
      <c r="C2" s="3" t="s">
        <v>2</v>
      </c>
      <c r="D2" s="4" t="s">
        <v>3</v>
      </c>
      <c r="E2" s="4"/>
      <c r="F2" s="4" t="s">
        <v>4</v>
      </c>
      <c r="G2" s="4"/>
      <c r="H2" s="5" t="s">
        <v>5</v>
      </c>
      <c r="I2" s="6" t="s">
        <v>6</v>
      </c>
      <c r="J2" s="6"/>
      <c r="K2" s="6"/>
      <c r="L2" s="6"/>
      <c r="M2" s="7"/>
    </row>
    <row r="3" spans="1:13" ht="12.75">
      <c r="A3" s="2"/>
      <c r="B3" s="2"/>
      <c r="C3" s="3"/>
      <c r="D3" s="4"/>
      <c r="E3" s="4"/>
      <c r="F3" s="4"/>
      <c r="G3" s="4"/>
      <c r="H3" s="5"/>
      <c r="I3" s="5"/>
      <c r="J3" s="6"/>
      <c r="K3" s="6"/>
      <c r="L3" s="6"/>
      <c r="M3" s="7"/>
    </row>
    <row r="4" spans="1:13" ht="12.75" customHeight="1">
      <c r="A4" s="8" t="s">
        <v>7</v>
      </c>
      <c r="B4" s="8"/>
      <c r="C4" s="9" t="s">
        <v>8</v>
      </c>
      <c r="D4" s="10" t="s">
        <v>9</v>
      </c>
      <c r="E4" s="10"/>
      <c r="F4" s="10" t="s">
        <v>4</v>
      </c>
      <c r="G4" s="10"/>
      <c r="H4" s="9" t="s">
        <v>10</v>
      </c>
      <c r="I4" s="11" t="s">
        <v>11</v>
      </c>
      <c r="J4" s="11"/>
      <c r="K4" s="11"/>
      <c r="L4" s="11"/>
      <c r="M4" s="7"/>
    </row>
    <row r="5" spans="1:13" ht="12.75">
      <c r="A5" s="8"/>
      <c r="B5" s="8"/>
      <c r="C5" s="9"/>
      <c r="D5" s="9"/>
      <c r="E5" s="10"/>
      <c r="F5" s="10"/>
      <c r="G5" s="10"/>
      <c r="H5" s="9"/>
      <c r="I5" s="9"/>
      <c r="J5" s="11"/>
      <c r="K5" s="11"/>
      <c r="L5" s="11"/>
      <c r="M5" s="7"/>
    </row>
    <row r="6" spans="1:13" ht="12.75" customHeight="1">
      <c r="A6" s="8" t="s">
        <v>12</v>
      </c>
      <c r="B6" s="8"/>
      <c r="C6" s="9" t="s">
        <v>13</v>
      </c>
      <c r="D6" s="10" t="s">
        <v>14</v>
      </c>
      <c r="E6" s="10"/>
      <c r="F6" s="10" t="s">
        <v>4</v>
      </c>
      <c r="G6" s="10"/>
      <c r="H6" s="9" t="s">
        <v>15</v>
      </c>
      <c r="I6" s="11" t="s">
        <v>16</v>
      </c>
      <c r="J6" s="11"/>
      <c r="K6" s="11"/>
      <c r="L6" s="11"/>
      <c r="M6" s="7"/>
    </row>
    <row r="7" spans="1:13" ht="12.75">
      <c r="A7" s="8"/>
      <c r="B7" s="8"/>
      <c r="C7" s="9"/>
      <c r="D7" s="9"/>
      <c r="E7" s="10"/>
      <c r="F7" s="10"/>
      <c r="G7" s="10"/>
      <c r="H7" s="9"/>
      <c r="I7" s="9"/>
      <c r="J7" s="11"/>
      <c r="K7" s="11"/>
      <c r="L7" s="11"/>
      <c r="M7" s="7"/>
    </row>
    <row r="8" spans="1:13" ht="12.75" customHeight="1">
      <c r="A8" s="12" t="s">
        <v>17</v>
      </c>
      <c r="B8" s="12"/>
      <c r="C8" s="13" t="s">
        <v>4</v>
      </c>
      <c r="D8" s="14" t="s">
        <v>18</v>
      </c>
      <c r="E8" s="14"/>
      <c r="F8" s="14" t="s">
        <v>19</v>
      </c>
      <c r="G8" s="14"/>
      <c r="H8" s="13" t="s">
        <v>20</v>
      </c>
      <c r="I8" s="15" t="s">
        <v>21</v>
      </c>
      <c r="J8" s="15"/>
      <c r="K8" s="15"/>
      <c r="L8" s="15"/>
      <c r="M8" s="7"/>
    </row>
    <row r="9" spans="1:13" ht="12.75">
      <c r="A9" s="12"/>
      <c r="B9" s="12"/>
      <c r="C9" s="13"/>
      <c r="D9" s="13"/>
      <c r="E9" s="14"/>
      <c r="F9" s="14"/>
      <c r="G9" s="14"/>
      <c r="H9" s="13"/>
      <c r="I9" s="13"/>
      <c r="J9" s="15"/>
      <c r="K9" s="15"/>
      <c r="L9" s="15"/>
      <c r="M9" s="7"/>
    </row>
    <row r="10" spans="1:13" ht="12.75">
      <c r="A10" s="16" t="s">
        <v>22</v>
      </c>
      <c r="B10" s="17" t="s">
        <v>23</v>
      </c>
      <c r="C10" s="17" t="s">
        <v>24</v>
      </c>
      <c r="D10" s="17"/>
      <c r="E10" s="17"/>
      <c r="F10" s="17" t="s">
        <v>25</v>
      </c>
      <c r="G10" s="18" t="s">
        <v>26</v>
      </c>
      <c r="H10" s="19" t="s">
        <v>27</v>
      </c>
      <c r="I10" s="20" t="s">
        <v>28</v>
      </c>
      <c r="J10" s="20"/>
      <c r="K10" s="20"/>
      <c r="L10" s="21" t="s">
        <v>29</v>
      </c>
      <c r="M10" s="22"/>
    </row>
    <row r="11" spans="1:62" ht="12.75">
      <c r="A11" s="23" t="s">
        <v>4</v>
      </c>
      <c r="B11" s="24" t="s">
        <v>4</v>
      </c>
      <c r="C11" s="25" t="s">
        <v>30</v>
      </c>
      <c r="D11" s="25"/>
      <c r="E11" s="25"/>
      <c r="F11" s="24" t="s">
        <v>4</v>
      </c>
      <c r="G11" s="24" t="s">
        <v>4</v>
      </c>
      <c r="H11" s="26" t="s">
        <v>31</v>
      </c>
      <c r="I11" s="27" t="s">
        <v>32</v>
      </c>
      <c r="J11" s="28" t="s">
        <v>33</v>
      </c>
      <c r="K11" s="29" t="s">
        <v>34</v>
      </c>
      <c r="L11" s="30" t="s">
        <v>35</v>
      </c>
      <c r="M11" s="22"/>
      <c r="Z11" s="31" t="s">
        <v>36</v>
      </c>
      <c r="AA11" s="31" t="s">
        <v>37</v>
      </c>
      <c r="AB11" s="31" t="s">
        <v>38</v>
      </c>
      <c r="AC11" s="31" t="s">
        <v>39</v>
      </c>
      <c r="AD11" s="31" t="s">
        <v>40</v>
      </c>
      <c r="AE11" s="31" t="s">
        <v>41</v>
      </c>
      <c r="AF11" s="31" t="s">
        <v>42</v>
      </c>
      <c r="AG11" s="31" t="s">
        <v>43</v>
      </c>
      <c r="AH11" s="31" t="s">
        <v>44</v>
      </c>
      <c r="BH11" s="31" t="s">
        <v>45</v>
      </c>
      <c r="BI11" s="31" t="s">
        <v>46</v>
      </c>
      <c r="BJ11" s="31" t="s">
        <v>47</v>
      </c>
    </row>
    <row r="12" spans="1:47" ht="12.75">
      <c r="A12" s="32"/>
      <c r="B12" s="33" t="s">
        <v>48</v>
      </c>
      <c r="C12" s="33" t="s">
        <v>49</v>
      </c>
      <c r="D12" s="33"/>
      <c r="E12" s="33"/>
      <c r="F12" s="32" t="s">
        <v>4</v>
      </c>
      <c r="G12" s="32" t="s">
        <v>4</v>
      </c>
      <c r="H12" s="32" t="s">
        <v>4</v>
      </c>
      <c r="I12" s="34">
        <f>SUM(I13:I23)</f>
        <v>0</v>
      </c>
      <c r="J12" s="34">
        <f>SUM(J13:J23)</f>
        <v>0</v>
      </c>
      <c r="K12" s="34">
        <f>SUM(K13:K23)</f>
        <v>0</v>
      </c>
      <c r="L12" s="35"/>
      <c r="AI12" s="31"/>
      <c r="AS12" s="36">
        <f>SUM(AJ13:AJ23)</f>
        <v>0</v>
      </c>
      <c r="AT12" s="36">
        <f>SUM(AK13:AK23)</f>
        <v>0</v>
      </c>
      <c r="AU12" s="36">
        <f>SUM(AL13:AL23)</f>
        <v>0</v>
      </c>
    </row>
    <row r="13" spans="1:62" ht="12.75">
      <c r="A13" s="10" t="s">
        <v>50</v>
      </c>
      <c r="B13" s="10" t="s">
        <v>51</v>
      </c>
      <c r="C13" s="10" t="s">
        <v>52</v>
      </c>
      <c r="D13" s="10"/>
      <c r="E13" s="10"/>
      <c r="F13" s="10" t="s">
        <v>53</v>
      </c>
      <c r="G13" s="37">
        <v>1</v>
      </c>
      <c r="H13" s="37">
        <v>0</v>
      </c>
      <c r="I13" s="37">
        <f>G13*AO13</f>
        <v>0</v>
      </c>
      <c r="J13" s="37">
        <f>G13*AP13</f>
        <v>0</v>
      </c>
      <c r="K13" s="37">
        <f>G13*H13</f>
        <v>0</v>
      </c>
      <c r="L13" s="38" t="s">
        <v>54</v>
      </c>
      <c r="Z13" s="37">
        <f>IF(AQ13="5",BJ13,0)</f>
        <v>0</v>
      </c>
      <c r="AB13" s="37">
        <f>IF(AQ13="1",BH13,0)</f>
        <v>0</v>
      </c>
      <c r="AC13" s="37">
        <f>IF(AQ13="1",BI13,0)</f>
        <v>0</v>
      </c>
      <c r="AD13" s="37">
        <f>IF(AQ13="7",BH13,0)</f>
        <v>0</v>
      </c>
      <c r="AE13" s="37">
        <f>IF(AQ13="7",BI13,0)</f>
        <v>0</v>
      </c>
      <c r="AF13" s="37">
        <f>IF(AQ13="2",BH13,0)</f>
        <v>0</v>
      </c>
      <c r="AG13" s="37">
        <f>IF(AQ13="2",BI13,0)</f>
        <v>0</v>
      </c>
      <c r="AH13" s="37">
        <f>IF(AQ13="0",BJ13,0)</f>
        <v>0</v>
      </c>
      <c r="AI13" s="31"/>
      <c r="AJ13" s="37">
        <f>IF(AN13=0,K13,0)</f>
        <v>0</v>
      </c>
      <c r="AK13" s="37">
        <f>IF(AN13=15,K13,0)</f>
        <v>0</v>
      </c>
      <c r="AL13" s="37">
        <f>IF(AN13=21,K13,0)</f>
        <v>0</v>
      </c>
      <c r="AN13" s="37">
        <v>15</v>
      </c>
      <c r="AO13" s="37">
        <f>H13*0</f>
        <v>0</v>
      </c>
      <c r="AP13" s="37">
        <f>H13*(1-0)</f>
        <v>0</v>
      </c>
      <c r="AQ13" s="38" t="s">
        <v>50</v>
      </c>
      <c r="AV13" s="37">
        <f>AW13+AX13</f>
        <v>0</v>
      </c>
      <c r="AW13" s="37">
        <f>G13*AO13</f>
        <v>0</v>
      </c>
      <c r="AX13" s="37">
        <f>G13*AP13</f>
        <v>0</v>
      </c>
      <c r="AY13" s="38" t="s">
        <v>55</v>
      </c>
      <c r="AZ13" s="38" t="s">
        <v>55</v>
      </c>
      <c r="BA13" s="31" t="s">
        <v>56</v>
      </c>
      <c r="BC13" s="37">
        <f>AW13+AX13</f>
        <v>0</v>
      </c>
      <c r="BD13" s="37">
        <f>H13/(100-BE13)*100</f>
        <v>0</v>
      </c>
      <c r="BE13" s="37">
        <v>0</v>
      </c>
      <c r="BF13" s="37">
        <f>13</f>
        <v>13</v>
      </c>
      <c r="BH13" s="37">
        <f>G13*AO13</f>
        <v>0</v>
      </c>
      <c r="BI13" s="37">
        <f>G13*AP13</f>
        <v>0</v>
      </c>
      <c r="BJ13" s="37">
        <f>G13*H13</f>
        <v>0</v>
      </c>
    </row>
    <row r="14" spans="3:7" ht="12.75">
      <c r="C14" s="39" t="s">
        <v>57</v>
      </c>
      <c r="D14" s="39"/>
      <c r="E14" s="39"/>
      <c r="G14" s="40">
        <v>1</v>
      </c>
    </row>
    <row r="15" spans="1:62" ht="12.75">
      <c r="A15" s="10" t="s">
        <v>58</v>
      </c>
      <c r="B15" s="10" t="s">
        <v>59</v>
      </c>
      <c r="C15" s="10" t="s">
        <v>60</v>
      </c>
      <c r="D15" s="10"/>
      <c r="E15" s="10"/>
      <c r="F15" s="10" t="s">
        <v>53</v>
      </c>
      <c r="G15" s="37">
        <v>1</v>
      </c>
      <c r="H15" s="37">
        <v>0</v>
      </c>
      <c r="I15" s="37">
        <f>G15*AO15</f>
        <v>0</v>
      </c>
      <c r="J15" s="37">
        <f>G15*AP15</f>
        <v>0</v>
      </c>
      <c r="K15" s="37">
        <f>G15*H15</f>
        <v>0</v>
      </c>
      <c r="L15" s="38" t="s">
        <v>54</v>
      </c>
      <c r="Z15" s="37">
        <f>IF(AQ15="5",BJ15,0)</f>
        <v>0</v>
      </c>
      <c r="AB15" s="37">
        <f>IF(AQ15="1",BH15,0)</f>
        <v>0</v>
      </c>
      <c r="AC15" s="37">
        <f>IF(AQ15="1",BI15,0)</f>
        <v>0</v>
      </c>
      <c r="AD15" s="37">
        <f>IF(AQ15="7",BH15,0)</f>
        <v>0</v>
      </c>
      <c r="AE15" s="37">
        <f>IF(AQ15="7",BI15,0)</f>
        <v>0</v>
      </c>
      <c r="AF15" s="37">
        <f>IF(AQ15="2",BH15,0)</f>
        <v>0</v>
      </c>
      <c r="AG15" s="37">
        <f>IF(AQ15="2",BI15,0)</f>
        <v>0</v>
      </c>
      <c r="AH15" s="37">
        <f>IF(AQ15="0",BJ15,0)</f>
        <v>0</v>
      </c>
      <c r="AI15" s="31"/>
      <c r="AJ15" s="37">
        <f>IF(AN15=0,K15,0)</f>
        <v>0</v>
      </c>
      <c r="AK15" s="37">
        <f>IF(AN15=15,K15,0)</f>
        <v>0</v>
      </c>
      <c r="AL15" s="37">
        <f>IF(AN15=21,K15,0)</f>
        <v>0</v>
      </c>
      <c r="AN15" s="37">
        <v>15</v>
      </c>
      <c r="AO15" s="37">
        <f>H15*0</f>
        <v>0</v>
      </c>
      <c r="AP15" s="37">
        <f>H15*(1-0)</f>
        <v>0</v>
      </c>
      <c r="AQ15" s="38" t="s">
        <v>50</v>
      </c>
      <c r="AV15" s="37">
        <f>AW15+AX15</f>
        <v>0</v>
      </c>
      <c r="AW15" s="37">
        <f>G15*AO15</f>
        <v>0</v>
      </c>
      <c r="AX15" s="37">
        <f>G15*AP15</f>
        <v>0</v>
      </c>
      <c r="AY15" s="38" t="s">
        <v>55</v>
      </c>
      <c r="AZ15" s="38" t="s">
        <v>55</v>
      </c>
      <c r="BA15" s="31" t="s">
        <v>56</v>
      </c>
      <c r="BC15" s="37">
        <f>AW15+AX15</f>
        <v>0</v>
      </c>
      <c r="BD15" s="37">
        <f>H15/(100-BE15)*100</f>
        <v>0</v>
      </c>
      <c r="BE15" s="37">
        <v>0</v>
      </c>
      <c r="BF15" s="37">
        <f>15</f>
        <v>15</v>
      </c>
      <c r="BH15" s="37">
        <f>G15*AO15</f>
        <v>0</v>
      </c>
      <c r="BI15" s="37">
        <f>G15*AP15</f>
        <v>0</v>
      </c>
      <c r="BJ15" s="37">
        <f>G15*H15</f>
        <v>0</v>
      </c>
    </row>
    <row r="16" spans="3:7" ht="12.75">
      <c r="C16" s="39" t="s">
        <v>57</v>
      </c>
      <c r="D16" s="39"/>
      <c r="E16" s="39"/>
      <c r="G16" s="40">
        <v>1</v>
      </c>
    </row>
    <row r="17" spans="1:62" ht="12.75">
      <c r="A17" s="10" t="s">
        <v>61</v>
      </c>
      <c r="B17" s="10" t="s">
        <v>62</v>
      </c>
      <c r="C17" s="10" t="s">
        <v>63</v>
      </c>
      <c r="D17" s="10"/>
      <c r="E17" s="10"/>
      <c r="F17" s="10" t="s">
        <v>53</v>
      </c>
      <c r="G17" s="37">
        <v>1</v>
      </c>
      <c r="H17" s="37">
        <v>0</v>
      </c>
      <c r="I17" s="37">
        <f>G17*AO17</f>
        <v>0</v>
      </c>
      <c r="J17" s="37">
        <f>G17*AP17</f>
        <v>0</v>
      </c>
      <c r="K17" s="37">
        <f>G17*H17</f>
        <v>0</v>
      </c>
      <c r="L17" s="38" t="s">
        <v>54</v>
      </c>
      <c r="Z17" s="37">
        <f>IF(AQ17="5",BJ17,0)</f>
        <v>0</v>
      </c>
      <c r="AB17" s="37">
        <f>IF(AQ17="1",BH17,0)</f>
        <v>0</v>
      </c>
      <c r="AC17" s="37">
        <f>IF(AQ17="1",BI17,0)</f>
        <v>0</v>
      </c>
      <c r="AD17" s="37">
        <f>IF(AQ17="7",BH17,0)</f>
        <v>0</v>
      </c>
      <c r="AE17" s="37">
        <f>IF(AQ17="7",BI17,0)</f>
        <v>0</v>
      </c>
      <c r="AF17" s="37">
        <f>IF(AQ17="2",BH17,0)</f>
        <v>0</v>
      </c>
      <c r="AG17" s="37">
        <f>IF(AQ17="2",BI17,0)</f>
        <v>0</v>
      </c>
      <c r="AH17" s="37">
        <f>IF(AQ17="0",BJ17,0)</f>
        <v>0</v>
      </c>
      <c r="AI17" s="31"/>
      <c r="AJ17" s="37">
        <f>IF(AN17=0,K17,0)</f>
        <v>0</v>
      </c>
      <c r="AK17" s="37">
        <f>IF(AN17=15,K17,0)</f>
        <v>0</v>
      </c>
      <c r="AL17" s="37">
        <f>IF(AN17=21,K17,0)</f>
        <v>0</v>
      </c>
      <c r="AN17" s="37">
        <v>15</v>
      </c>
      <c r="AO17" s="37">
        <f>H17*0</f>
        <v>0</v>
      </c>
      <c r="AP17" s="37">
        <f>H17*(1-0)</f>
        <v>0</v>
      </c>
      <c r="AQ17" s="38" t="s">
        <v>50</v>
      </c>
      <c r="AV17" s="37">
        <f>AW17+AX17</f>
        <v>0</v>
      </c>
      <c r="AW17" s="37">
        <f>G17*AO17</f>
        <v>0</v>
      </c>
      <c r="AX17" s="37">
        <f>G17*AP17</f>
        <v>0</v>
      </c>
      <c r="AY17" s="38" t="s">
        <v>55</v>
      </c>
      <c r="AZ17" s="38" t="s">
        <v>55</v>
      </c>
      <c r="BA17" s="31" t="s">
        <v>56</v>
      </c>
      <c r="BC17" s="37">
        <f>AW17+AX17</f>
        <v>0</v>
      </c>
      <c r="BD17" s="37">
        <f>H17/(100-BE17)*100</f>
        <v>0</v>
      </c>
      <c r="BE17" s="37">
        <v>0</v>
      </c>
      <c r="BF17" s="37">
        <f>17</f>
        <v>17</v>
      </c>
      <c r="BH17" s="37">
        <f>G17*AO17</f>
        <v>0</v>
      </c>
      <c r="BI17" s="37">
        <f>G17*AP17</f>
        <v>0</v>
      </c>
      <c r="BJ17" s="37">
        <f>G17*H17</f>
        <v>0</v>
      </c>
    </row>
    <row r="18" spans="3:7" ht="12.75">
      <c r="C18" s="39" t="s">
        <v>57</v>
      </c>
      <c r="D18" s="39"/>
      <c r="E18" s="39"/>
      <c r="G18" s="40">
        <v>1</v>
      </c>
    </row>
    <row r="19" spans="1:62" ht="12.75">
      <c r="A19" s="10" t="s">
        <v>64</v>
      </c>
      <c r="B19" s="10" t="s">
        <v>65</v>
      </c>
      <c r="C19" s="10" t="s">
        <v>66</v>
      </c>
      <c r="D19" s="10"/>
      <c r="E19" s="10"/>
      <c r="F19" s="10" t="s">
        <v>53</v>
      </c>
      <c r="G19" s="37">
        <v>1</v>
      </c>
      <c r="H19" s="37">
        <v>0</v>
      </c>
      <c r="I19" s="37">
        <f>G19*AO19</f>
        <v>0</v>
      </c>
      <c r="J19" s="37">
        <f>G19*AP19</f>
        <v>0</v>
      </c>
      <c r="K19" s="37">
        <f>G19*H19</f>
        <v>0</v>
      </c>
      <c r="L19" s="38" t="s">
        <v>54</v>
      </c>
      <c r="Z19" s="37">
        <f>IF(AQ19="5",BJ19,0)</f>
        <v>0</v>
      </c>
      <c r="AB19" s="37">
        <f>IF(AQ19="1",BH19,0)</f>
        <v>0</v>
      </c>
      <c r="AC19" s="37">
        <f>IF(AQ19="1",BI19,0)</f>
        <v>0</v>
      </c>
      <c r="AD19" s="37">
        <f>IF(AQ19="7",BH19,0)</f>
        <v>0</v>
      </c>
      <c r="AE19" s="37">
        <f>IF(AQ19="7",BI19,0)</f>
        <v>0</v>
      </c>
      <c r="AF19" s="37">
        <f>IF(AQ19="2",BH19,0)</f>
        <v>0</v>
      </c>
      <c r="AG19" s="37">
        <f>IF(AQ19="2",BI19,0)</f>
        <v>0</v>
      </c>
      <c r="AH19" s="37">
        <f>IF(AQ19="0",BJ19,0)</f>
        <v>0</v>
      </c>
      <c r="AI19" s="31"/>
      <c r="AJ19" s="37">
        <f>IF(AN19=0,K19,0)</f>
        <v>0</v>
      </c>
      <c r="AK19" s="37">
        <f>IF(AN19=15,K19,0)</f>
        <v>0</v>
      </c>
      <c r="AL19" s="37">
        <f>IF(AN19=21,K19,0)</f>
        <v>0</v>
      </c>
      <c r="AN19" s="37">
        <v>15</v>
      </c>
      <c r="AO19" s="37">
        <f>H19*0</f>
        <v>0</v>
      </c>
      <c r="AP19" s="37">
        <f>H19*(1-0)</f>
        <v>0</v>
      </c>
      <c r="AQ19" s="38" t="s">
        <v>50</v>
      </c>
      <c r="AV19" s="37">
        <f>AW19+AX19</f>
        <v>0</v>
      </c>
      <c r="AW19" s="37">
        <f>G19*AO19</f>
        <v>0</v>
      </c>
      <c r="AX19" s="37">
        <f>G19*AP19</f>
        <v>0</v>
      </c>
      <c r="AY19" s="38" t="s">
        <v>55</v>
      </c>
      <c r="AZ19" s="38" t="s">
        <v>55</v>
      </c>
      <c r="BA19" s="31" t="s">
        <v>56</v>
      </c>
      <c r="BC19" s="37">
        <f>AW19+AX19</f>
        <v>0</v>
      </c>
      <c r="BD19" s="37">
        <f>H19/(100-BE19)*100</f>
        <v>0</v>
      </c>
      <c r="BE19" s="37">
        <v>0</v>
      </c>
      <c r="BF19" s="37">
        <f>19</f>
        <v>19</v>
      </c>
      <c r="BH19" s="37">
        <f>G19*AO19</f>
        <v>0</v>
      </c>
      <c r="BI19" s="37">
        <f>G19*AP19</f>
        <v>0</v>
      </c>
      <c r="BJ19" s="37">
        <f>G19*H19</f>
        <v>0</v>
      </c>
    </row>
    <row r="20" spans="3:7" ht="12.75">
      <c r="C20" s="39" t="s">
        <v>67</v>
      </c>
      <c r="D20" s="39"/>
      <c r="E20" s="39"/>
      <c r="G20" s="40">
        <v>1</v>
      </c>
    </row>
    <row r="21" spans="1:62" ht="12.75">
      <c r="A21" s="10" t="s">
        <v>68</v>
      </c>
      <c r="B21" s="10" t="s">
        <v>69</v>
      </c>
      <c r="C21" s="10" t="s">
        <v>70</v>
      </c>
      <c r="D21" s="10"/>
      <c r="E21" s="10"/>
      <c r="F21" s="10" t="s">
        <v>53</v>
      </c>
      <c r="G21" s="37">
        <v>1</v>
      </c>
      <c r="H21" s="37">
        <v>0</v>
      </c>
      <c r="I21" s="37">
        <f>G21*AO21</f>
        <v>0</v>
      </c>
      <c r="J21" s="37">
        <f>G21*AP21</f>
        <v>0</v>
      </c>
      <c r="K21" s="37">
        <f>G21*H21</f>
        <v>0</v>
      </c>
      <c r="L21" s="38" t="s">
        <v>54</v>
      </c>
      <c r="Z21" s="37">
        <f>IF(AQ21="5",BJ21,0)</f>
        <v>0</v>
      </c>
      <c r="AB21" s="37">
        <f>IF(AQ21="1",BH21,0)</f>
        <v>0</v>
      </c>
      <c r="AC21" s="37">
        <f>IF(AQ21="1",BI21,0)</f>
        <v>0</v>
      </c>
      <c r="AD21" s="37">
        <f>IF(AQ21="7",BH21,0)</f>
        <v>0</v>
      </c>
      <c r="AE21" s="37">
        <f>IF(AQ21="7",BI21,0)</f>
        <v>0</v>
      </c>
      <c r="AF21" s="37">
        <f>IF(AQ21="2",BH21,0)</f>
        <v>0</v>
      </c>
      <c r="AG21" s="37">
        <f>IF(AQ21="2",BI21,0)</f>
        <v>0</v>
      </c>
      <c r="AH21" s="37">
        <f>IF(AQ21="0",BJ21,0)</f>
        <v>0</v>
      </c>
      <c r="AI21" s="31"/>
      <c r="AJ21" s="37">
        <f>IF(AN21=0,K21,0)</f>
        <v>0</v>
      </c>
      <c r="AK21" s="37">
        <f>IF(AN21=15,K21,0)</f>
        <v>0</v>
      </c>
      <c r="AL21" s="37">
        <f>IF(AN21=21,K21,0)</f>
        <v>0</v>
      </c>
      <c r="AN21" s="37">
        <v>15</v>
      </c>
      <c r="AO21" s="37">
        <f>H21*0</f>
        <v>0</v>
      </c>
      <c r="AP21" s="37">
        <f>H21*(1-0)</f>
        <v>0</v>
      </c>
      <c r="AQ21" s="38" t="s">
        <v>50</v>
      </c>
      <c r="AV21" s="37">
        <f>AW21+AX21</f>
        <v>0</v>
      </c>
      <c r="AW21" s="37">
        <f>G21*AO21</f>
        <v>0</v>
      </c>
      <c r="AX21" s="37">
        <f>G21*AP21</f>
        <v>0</v>
      </c>
      <c r="AY21" s="38" t="s">
        <v>55</v>
      </c>
      <c r="AZ21" s="38" t="s">
        <v>55</v>
      </c>
      <c r="BA21" s="31" t="s">
        <v>56</v>
      </c>
      <c r="BC21" s="37">
        <f>AW21+AX21</f>
        <v>0</v>
      </c>
      <c r="BD21" s="37">
        <f>H21/(100-BE21)*100</f>
        <v>0</v>
      </c>
      <c r="BE21" s="37">
        <v>0</v>
      </c>
      <c r="BF21" s="37">
        <f>21</f>
        <v>21</v>
      </c>
      <c r="BH21" s="37">
        <f>G21*AO21</f>
        <v>0</v>
      </c>
      <c r="BI21" s="37">
        <f>G21*AP21</f>
        <v>0</v>
      </c>
      <c r="BJ21" s="37">
        <f>G21*H21</f>
        <v>0</v>
      </c>
    </row>
    <row r="22" spans="3:7" ht="12.75">
      <c r="C22" s="39" t="s">
        <v>71</v>
      </c>
      <c r="D22" s="39"/>
      <c r="E22" s="39"/>
      <c r="G22" s="40">
        <v>1</v>
      </c>
    </row>
    <row r="23" spans="1:62" ht="12.75">
      <c r="A23" s="10" t="s">
        <v>72</v>
      </c>
      <c r="B23" s="10" t="s">
        <v>73</v>
      </c>
      <c r="C23" s="10" t="s">
        <v>74</v>
      </c>
      <c r="D23" s="10"/>
      <c r="E23" s="10"/>
      <c r="F23" s="10" t="s">
        <v>53</v>
      </c>
      <c r="G23" s="37">
        <v>1</v>
      </c>
      <c r="H23" s="37">
        <v>0</v>
      </c>
      <c r="I23" s="37">
        <f>G23*AO23</f>
        <v>0</v>
      </c>
      <c r="J23" s="37">
        <f>G23*AP23</f>
        <v>0</v>
      </c>
      <c r="K23" s="37">
        <f>G23*H23</f>
        <v>0</v>
      </c>
      <c r="L23" s="38" t="s">
        <v>54</v>
      </c>
      <c r="Z23" s="37">
        <f>IF(AQ23="5",BJ23,0)</f>
        <v>0</v>
      </c>
      <c r="AB23" s="37">
        <f>IF(AQ23="1",BH23,0)</f>
        <v>0</v>
      </c>
      <c r="AC23" s="37">
        <f>IF(AQ23="1",BI23,0)</f>
        <v>0</v>
      </c>
      <c r="AD23" s="37">
        <f>IF(AQ23="7",BH23,0)</f>
        <v>0</v>
      </c>
      <c r="AE23" s="37">
        <f>IF(AQ23="7",BI23,0)</f>
        <v>0</v>
      </c>
      <c r="AF23" s="37">
        <f>IF(AQ23="2",BH23,0)</f>
        <v>0</v>
      </c>
      <c r="AG23" s="37">
        <f>IF(AQ23="2",BI23,0)</f>
        <v>0</v>
      </c>
      <c r="AH23" s="37">
        <f>IF(AQ23="0",BJ23,0)</f>
        <v>0</v>
      </c>
      <c r="AI23" s="31"/>
      <c r="AJ23" s="37">
        <f>IF(AN23=0,K23,0)</f>
        <v>0</v>
      </c>
      <c r="AK23" s="37">
        <f>IF(AN23=15,K23,0)</f>
        <v>0</v>
      </c>
      <c r="AL23" s="37">
        <f>IF(AN23=21,K23,0)</f>
        <v>0</v>
      </c>
      <c r="AN23" s="37">
        <v>15</v>
      </c>
      <c r="AO23" s="37">
        <f>H23*0</f>
        <v>0</v>
      </c>
      <c r="AP23" s="37">
        <f>H23*(1-0)</f>
        <v>0</v>
      </c>
      <c r="AQ23" s="38" t="s">
        <v>50</v>
      </c>
      <c r="AV23" s="37">
        <f>AW23+AX23</f>
        <v>0</v>
      </c>
      <c r="AW23" s="37">
        <f>G23*AO23</f>
        <v>0</v>
      </c>
      <c r="AX23" s="37">
        <f>G23*AP23</f>
        <v>0</v>
      </c>
      <c r="AY23" s="38" t="s">
        <v>55</v>
      </c>
      <c r="AZ23" s="38" t="s">
        <v>55</v>
      </c>
      <c r="BA23" s="31" t="s">
        <v>56</v>
      </c>
      <c r="BC23" s="37">
        <f>AW23+AX23</f>
        <v>0</v>
      </c>
      <c r="BD23" s="37">
        <f>H23/(100-BE23)*100</f>
        <v>0</v>
      </c>
      <c r="BE23" s="37">
        <v>0</v>
      </c>
      <c r="BF23" s="37">
        <f>23</f>
        <v>23</v>
      </c>
      <c r="BH23" s="37">
        <f>G23*AO23</f>
        <v>0</v>
      </c>
      <c r="BI23" s="37">
        <f>G23*AP23</f>
        <v>0</v>
      </c>
      <c r="BJ23" s="37">
        <f>G23*H23</f>
        <v>0</v>
      </c>
    </row>
    <row r="24" spans="3:7" ht="12.75">
      <c r="C24" s="39" t="s">
        <v>75</v>
      </c>
      <c r="D24" s="39"/>
      <c r="E24" s="39"/>
      <c r="G24" s="40">
        <v>1</v>
      </c>
    </row>
    <row r="25" spans="3:7" ht="12.75">
      <c r="C25" s="39" t="s">
        <v>76</v>
      </c>
      <c r="D25" s="39"/>
      <c r="E25" s="39"/>
      <c r="G25" s="40">
        <v>0</v>
      </c>
    </row>
    <row r="26" spans="3:7" ht="12.75">
      <c r="C26" s="39" t="s">
        <v>77</v>
      </c>
      <c r="D26" s="39"/>
      <c r="E26" s="39"/>
      <c r="G26" s="40">
        <v>0</v>
      </c>
    </row>
    <row r="27" spans="1:47" ht="12.75">
      <c r="A27" s="41"/>
      <c r="B27" s="42" t="s">
        <v>78</v>
      </c>
      <c r="C27" s="42" t="s">
        <v>79</v>
      </c>
      <c r="D27" s="42"/>
      <c r="E27" s="42"/>
      <c r="F27" s="41" t="s">
        <v>4</v>
      </c>
      <c r="G27" s="41" t="s">
        <v>4</v>
      </c>
      <c r="H27" s="41" t="s">
        <v>4</v>
      </c>
      <c r="I27" s="36">
        <f>SUM(I28:I28)</f>
        <v>0</v>
      </c>
      <c r="J27" s="36">
        <f>SUM(J28:J28)</f>
        <v>0</v>
      </c>
      <c r="K27" s="36">
        <f>SUM(K28:K28)</f>
        <v>0</v>
      </c>
      <c r="L27" s="31"/>
      <c r="AI27" s="31"/>
      <c r="AS27" s="36">
        <f>SUM(AJ28:AJ28)</f>
        <v>0</v>
      </c>
      <c r="AT27" s="36">
        <f>SUM(AK28:AK28)</f>
        <v>0</v>
      </c>
      <c r="AU27" s="36">
        <f>SUM(AL28:AL28)</f>
        <v>0</v>
      </c>
    </row>
    <row r="28" spans="1:62" ht="12.75">
      <c r="A28" s="10" t="s">
        <v>80</v>
      </c>
      <c r="B28" s="10" t="s">
        <v>81</v>
      </c>
      <c r="C28" s="10" t="s">
        <v>82</v>
      </c>
      <c r="D28" s="10"/>
      <c r="E28" s="10"/>
      <c r="F28" s="10" t="s">
        <v>83</v>
      </c>
      <c r="G28" s="37">
        <v>19.38</v>
      </c>
      <c r="H28" s="37">
        <v>0</v>
      </c>
      <c r="I28" s="37">
        <f>G28*AO28</f>
        <v>0</v>
      </c>
      <c r="J28" s="37">
        <f>G28*AP28</f>
        <v>0</v>
      </c>
      <c r="K28" s="37">
        <f>G28*H28</f>
        <v>0</v>
      </c>
      <c r="L28" s="38" t="s">
        <v>54</v>
      </c>
      <c r="Z28" s="37">
        <f>IF(AQ28="5",BJ28,0)</f>
        <v>0</v>
      </c>
      <c r="AB28" s="37">
        <f>IF(AQ28="1",BH28,0)</f>
        <v>0</v>
      </c>
      <c r="AC28" s="37">
        <f>IF(AQ28="1",BI28,0)</f>
        <v>0</v>
      </c>
      <c r="AD28" s="37">
        <f>IF(AQ28="7",BH28,0)</f>
        <v>0</v>
      </c>
      <c r="AE28" s="37">
        <f>IF(AQ28="7",BI28,0)</f>
        <v>0</v>
      </c>
      <c r="AF28" s="37">
        <f>IF(AQ28="2",BH28,0)</f>
        <v>0</v>
      </c>
      <c r="AG28" s="37">
        <f>IF(AQ28="2",BI28,0)</f>
        <v>0</v>
      </c>
      <c r="AH28" s="37">
        <f>IF(AQ28="0",BJ28,0)</f>
        <v>0</v>
      </c>
      <c r="AI28" s="31"/>
      <c r="AJ28" s="37">
        <f>IF(AN28=0,K28,0)</f>
        <v>0</v>
      </c>
      <c r="AK28" s="37">
        <f>IF(AN28=15,K28,0)</f>
        <v>0</v>
      </c>
      <c r="AL28" s="37">
        <f>IF(AN28=21,K28,0)</f>
        <v>0</v>
      </c>
      <c r="AN28" s="37">
        <v>15</v>
      </c>
      <c r="AO28" s="37">
        <f>H28*0</f>
        <v>0</v>
      </c>
      <c r="AP28" s="37">
        <f>H28*(1-0)</f>
        <v>0</v>
      </c>
      <c r="AQ28" s="38" t="s">
        <v>50</v>
      </c>
      <c r="AV28" s="37">
        <f>AW28+AX28</f>
        <v>0</v>
      </c>
      <c r="AW28" s="37">
        <f>G28*AO28</f>
        <v>0</v>
      </c>
      <c r="AX28" s="37">
        <f>G28*AP28</f>
        <v>0</v>
      </c>
      <c r="AY28" s="38" t="s">
        <v>84</v>
      </c>
      <c r="AZ28" s="38" t="s">
        <v>85</v>
      </c>
      <c r="BA28" s="31" t="s">
        <v>56</v>
      </c>
      <c r="BC28" s="37">
        <f>AW28+AX28</f>
        <v>0</v>
      </c>
      <c r="BD28" s="37">
        <f>H28/(100-BE28)*100</f>
        <v>0</v>
      </c>
      <c r="BE28" s="37">
        <v>0</v>
      </c>
      <c r="BF28" s="37">
        <f>28</f>
        <v>28</v>
      </c>
      <c r="BH28" s="37">
        <f>G28*AO28</f>
        <v>0</v>
      </c>
      <c r="BI28" s="37">
        <f>G28*AP28</f>
        <v>0</v>
      </c>
      <c r="BJ28" s="37">
        <f>G28*H28</f>
        <v>0</v>
      </c>
    </row>
    <row r="29" spans="3:7" ht="12.75">
      <c r="C29" s="39" t="s">
        <v>86</v>
      </c>
      <c r="D29" s="39"/>
      <c r="E29" s="39"/>
      <c r="G29" s="40">
        <v>19.38</v>
      </c>
    </row>
    <row r="30" spans="1:47" ht="12.75">
      <c r="A30" s="41"/>
      <c r="B30" s="42" t="s">
        <v>87</v>
      </c>
      <c r="C30" s="42" t="s">
        <v>88</v>
      </c>
      <c r="D30" s="42"/>
      <c r="E30" s="42"/>
      <c r="F30" s="41" t="s">
        <v>4</v>
      </c>
      <c r="G30" s="41" t="s">
        <v>4</v>
      </c>
      <c r="H30" s="41" t="s">
        <v>4</v>
      </c>
      <c r="I30" s="36">
        <f>SUM(I31:I31)</f>
        <v>0</v>
      </c>
      <c r="J30" s="36">
        <f>SUM(J31:J31)</f>
        <v>0</v>
      </c>
      <c r="K30" s="36">
        <f>SUM(K31:K31)</f>
        <v>0</v>
      </c>
      <c r="L30" s="31"/>
      <c r="AI30" s="31"/>
      <c r="AS30" s="36">
        <f>SUM(AJ31:AJ31)</f>
        <v>0</v>
      </c>
      <c r="AT30" s="36">
        <f>SUM(AK31:AK31)</f>
        <v>0</v>
      </c>
      <c r="AU30" s="36">
        <f>SUM(AL31:AL31)</f>
        <v>0</v>
      </c>
    </row>
    <row r="31" spans="1:62" ht="12.75">
      <c r="A31" s="10" t="s">
        <v>89</v>
      </c>
      <c r="B31" s="10" t="s">
        <v>90</v>
      </c>
      <c r="C31" s="10" t="s">
        <v>91</v>
      </c>
      <c r="D31" s="10"/>
      <c r="E31" s="10"/>
      <c r="F31" s="10" t="s">
        <v>83</v>
      </c>
      <c r="G31" s="37">
        <v>11.148</v>
      </c>
      <c r="H31" s="37">
        <v>0</v>
      </c>
      <c r="I31" s="37">
        <f>G31*AO31</f>
        <v>0</v>
      </c>
      <c r="J31" s="37">
        <f>G31*AP31</f>
        <v>0</v>
      </c>
      <c r="K31" s="37">
        <f>G31*H31</f>
        <v>0</v>
      </c>
      <c r="L31" s="38" t="s">
        <v>54</v>
      </c>
      <c r="Z31" s="37">
        <f>IF(AQ31="5",BJ31,0)</f>
        <v>0</v>
      </c>
      <c r="AB31" s="37">
        <f>IF(AQ31="1",BH31,0)</f>
        <v>0</v>
      </c>
      <c r="AC31" s="37">
        <f>IF(AQ31="1",BI31,0)</f>
        <v>0</v>
      </c>
      <c r="AD31" s="37">
        <f>IF(AQ31="7",BH31,0)</f>
        <v>0</v>
      </c>
      <c r="AE31" s="37">
        <f>IF(AQ31="7",BI31,0)</f>
        <v>0</v>
      </c>
      <c r="AF31" s="37">
        <f>IF(AQ31="2",BH31,0)</f>
        <v>0</v>
      </c>
      <c r="AG31" s="37">
        <f>IF(AQ31="2",BI31,0)</f>
        <v>0</v>
      </c>
      <c r="AH31" s="37">
        <f>IF(AQ31="0",BJ31,0)</f>
        <v>0</v>
      </c>
      <c r="AI31" s="31"/>
      <c r="AJ31" s="37">
        <f>IF(AN31=0,K31,0)</f>
        <v>0</v>
      </c>
      <c r="AK31" s="37">
        <f>IF(AN31=15,K31,0)</f>
        <v>0</v>
      </c>
      <c r="AL31" s="37">
        <f>IF(AN31=21,K31,0)</f>
        <v>0</v>
      </c>
      <c r="AN31" s="37">
        <v>15</v>
      </c>
      <c r="AO31" s="37">
        <f>H31*0</f>
        <v>0</v>
      </c>
      <c r="AP31" s="37">
        <f>H31*(1-0)</f>
        <v>0</v>
      </c>
      <c r="AQ31" s="38" t="s">
        <v>50</v>
      </c>
      <c r="AV31" s="37">
        <f>AW31+AX31</f>
        <v>0</v>
      </c>
      <c r="AW31" s="37">
        <f>G31*AO31</f>
        <v>0</v>
      </c>
      <c r="AX31" s="37">
        <f>G31*AP31</f>
        <v>0</v>
      </c>
      <c r="AY31" s="38" t="s">
        <v>92</v>
      </c>
      <c r="AZ31" s="38" t="s">
        <v>85</v>
      </c>
      <c r="BA31" s="31" t="s">
        <v>56</v>
      </c>
      <c r="BC31" s="37">
        <f>AW31+AX31</f>
        <v>0</v>
      </c>
      <c r="BD31" s="37">
        <f>H31/(100-BE31)*100</f>
        <v>0</v>
      </c>
      <c r="BE31" s="37">
        <v>0</v>
      </c>
      <c r="BF31" s="37">
        <f>31</f>
        <v>31</v>
      </c>
      <c r="BH31" s="37">
        <f>G31*AO31</f>
        <v>0</v>
      </c>
      <c r="BI31" s="37">
        <f>G31*AP31</f>
        <v>0</v>
      </c>
      <c r="BJ31" s="37">
        <f>G31*H31</f>
        <v>0</v>
      </c>
    </row>
    <row r="32" spans="3:7" ht="12.75">
      <c r="C32" s="39" t="s">
        <v>93</v>
      </c>
      <c r="D32" s="39"/>
      <c r="E32" s="39"/>
      <c r="G32" s="40">
        <v>11.148</v>
      </c>
    </row>
    <row r="33" spans="1:47" ht="12.75">
      <c r="A33" s="41"/>
      <c r="B33" s="42" t="s">
        <v>94</v>
      </c>
      <c r="C33" s="42" t="s">
        <v>95</v>
      </c>
      <c r="D33" s="42"/>
      <c r="E33" s="42"/>
      <c r="F33" s="41" t="s">
        <v>4</v>
      </c>
      <c r="G33" s="41" t="s">
        <v>4</v>
      </c>
      <c r="H33" s="41" t="s">
        <v>4</v>
      </c>
      <c r="I33" s="36">
        <f>SUM(I34:I36)</f>
        <v>0</v>
      </c>
      <c r="J33" s="36">
        <f>SUM(J34:J36)</f>
        <v>0</v>
      </c>
      <c r="K33" s="36">
        <f>SUM(K34:K36)</f>
        <v>0</v>
      </c>
      <c r="L33" s="31"/>
      <c r="AI33" s="31"/>
      <c r="AS33" s="36">
        <f>SUM(AJ34:AJ36)</f>
        <v>0</v>
      </c>
      <c r="AT33" s="36">
        <f>SUM(AK34:AK36)</f>
        <v>0</v>
      </c>
      <c r="AU33" s="36">
        <f>SUM(AL34:AL36)</f>
        <v>0</v>
      </c>
    </row>
    <row r="34" spans="1:62" ht="12.75">
      <c r="A34" s="10" t="s">
        <v>96</v>
      </c>
      <c r="B34" s="10" t="s">
        <v>97</v>
      </c>
      <c r="C34" s="10" t="s">
        <v>98</v>
      </c>
      <c r="D34" s="10"/>
      <c r="E34" s="10"/>
      <c r="F34" s="10" t="s">
        <v>83</v>
      </c>
      <c r="G34" s="37">
        <v>30.528</v>
      </c>
      <c r="H34" s="37">
        <v>0</v>
      </c>
      <c r="I34" s="37">
        <f>G34*AO34</f>
        <v>0</v>
      </c>
      <c r="J34" s="37">
        <f>G34*AP34</f>
        <v>0</v>
      </c>
      <c r="K34" s="37">
        <f>G34*H34</f>
        <v>0</v>
      </c>
      <c r="L34" s="38" t="s">
        <v>99</v>
      </c>
      <c r="Z34" s="37">
        <f>IF(AQ34="5",BJ34,0)</f>
        <v>0</v>
      </c>
      <c r="AB34" s="37">
        <f>IF(AQ34="1",BH34,0)</f>
        <v>0</v>
      </c>
      <c r="AC34" s="37">
        <f>IF(AQ34="1",BI34,0)</f>
        <v>0</v>
      </c>
      <c r="AD34" s="37">
        <f>IF(AQ34="7",BH34,0)</f>
        <v>0</v>
      </c>
      <c r="AE34" s="37">
        <f>IF(AQ34="7",BI34,0)</f>
        <v>0</v>
      </c>
      <c r="AF34" s="37">
        <f>IF(AQ34="2",BH34,0)</f>
        <v>0</v>
      </c>
      <c r="AG34" s="37">
        <f>IF(AQ34="2",BI34,0)</f>
        <v>0</v>
      </c>
      <c r="AH34" s="37">
        <f>IF(AQ34="0",BJ34,0)</f>
        <v>0</v>
      </c>
      <c r="AI34" s="31"/>
      <c r="AJ34" s="37">
        <f>IF(AN34=0,K34,0)</f>
        <v>0</v>
      </c>
      <c r="AK34" s="37">
        <f>IF(AN34=15,K34,0)</f>
        <v>0</v>
      </c>
      <c r="AL34" s="37">
        <f>IF(AN34=21,K34,0)</f>
        <v>0</v>
      </c>
      <c r="AN34" s="37">
        <v>15</v>
      </c>
      <c r="AO34" s="37">
        <f>H34*0</f>
        <v>0</v>
      </c>
      <c r="AP34" s="37">
        <f>H34*(1-0)</f>
        <v>0</v>
      </c>
      <c r="AQ34" s="38" t="s">
        <v>50</v>
      </c>
      <c r="AV34" s="37">
        <f>AW34+AX34</f>
        <v>0</v>
      </c>
      <c r="AW34" s="37">
        <f>G34*AO34</f>
        <v>0</v>
      </c>
      <c r="AX34" s="37">
        <f>G34*AP34</f>
        <v>0</v>
      </c>
      <c r="AY34" s="38" t="s">
        <v>100</v>
      </c>
      <c r="AZ34" s="38" t="s">
        <v>85</v>
      </c>
      <c r="BA34" s="31" t="s">
        <v>56</v>
      </c>
      <c r="BC34" s="37">
        <f>AW34+AX34</f>
        <v>0</v>
      </c>
      <c r="BD34" s="37">
        <f>H34/(100-BE34)*100</f>
        <v>0</v>
      </c>
      <c r="BE34" s="37">
        <v>0</v>
      </c>
      <c r="BF34" s="37">
        <f>34</f>
        <v>34</v>
      </c>
      <c r="BH34" s="37">
        <f>G34*AO34</f>
        <v>0</v>
      </c>
      <c r="BI34" s="37">
        <f>G34*AP34</f>
        <v>0</v>
      </c>
      <c r="BJ34" s="37">
        <f>G34*H34</f>
        <v>0</v>
      </c>
    </row>
    <row r="35" spans="3:7" ht="12.75">
      <c r="C35" s="39" t="s">
        <v>101</v>
      </c>
      <c r="D35" s="39"/>
      <c r="E35" s="39"/>
      <c r="G35" s="40">
        <v>30.528</v>
      </c>
    </row>
    <row r="36" spans="1:62" ht="12.75">
      <c r="A36" s="10" t="s">
        <v>102</v>
      </c>
      <c r="B36" s="10" t="s">
        <v>103</v>
      </c>
      <c r="C36" s="10" t="s">
        <v>104</v>
      </c>
      <c r="D36" s="10"/>
      <c r="E36" s="10"/>
      <c r="F36" s="10" t="s">
        <v>83</v>
      </c>
      <c r="G36" s="37">
        <v>30.528</v>
      </c>
      <c r="H36" s="37">
        <v>0</v>
      </c>
      <c r="I36" s="37">
        <f>G36*AO36</f>
        <v>0</v>
      </c>
      <c r="J36" s="37">
        <f>G36*AP36</f>
        <v>0</v>
      </c>
      <c r="K36" s="37">
        <f>G36*H36</f>
        <v>0</v>
      </c>
      <c r="L36" s="38" t="s">
        <v>99</v>
      </c>
      <c r="Z36" s="37">
        <f>IF(AQ36="5",BJ36,0)</f>
        <v>0</v>
      </c>
      <c r="AB36" s="37">
        <f>IF(AQ36="1",BH36,0)</f>
        <v>0</v>
      </c>
      <c r="AC36" s="37">
        <f>IF(AQ36="1",BI36,0)</f>
        <v>0</v>
      </c>
      <c r="AD36" s="37">
        <f>IF(AQ36="7",BH36,0)</f>
        <v>0</v>
      </c>
      <c r="AE36" s="37">
        <f>IF(AQ36="7",BI36,0)</f>
        <v>0</v>
      </c>
      <c r="AF36" s="37">
        <f>IF(AQ36="2",BH36,0)</f>
        <v>0</v>
      </c>
      <c r="AG36" s="37">
        <f>IF(AQ36="2",BI36,0)</f>
        <v>0</v>
      </c>
      <c r="AH36" s="37">
        <f>IF(AQ36="0",BJ36,0)</f>
        <v>0</v>
      </c>
      <c r="AI36" s="31"/>
      <c r="AJ36" s="37">
        <f>IF(AN36=0,K36,0)</f>
        <v>0</v>
      </c>
      <c r="AK36" s="37">
        <f>IF(AN36=15,K36,0)</f>
        <v>0</v>
      </c>
      <c r="AL36" s="37">
        <f>IF(AN36=21,K36,0)</f>
        <v>0</v>
      </c>
      <c r="AN36" s="37">
        <v>15</v>
      </c>
      <c r="AO36" s="37">
        <f>H36*0</f>
        <v>0</v>
      </c>
      <c r="AP36" s="37">
        <f>H36*(1-0)</f>
        <v>0</v>
      </c>
      <c r="AQ36" s="38" t="s">
        <v>50</v>
      </c>
      <c r="AV36" s="37">
        <f>AW36+AX36</f>
        <v>0</v>
      </c>
      <c r="AW36" s="37">
        <f>G36*AO36</f>
        <v>0</v>
      </c>
      <c r="AX36" s="37">
        <f>G36*AP36</f>
        <v>0</v>
      </c>
      <c r="AY36" s="38" t="s">
        <v>100</v>
      </c>
      <c r="AZ36" s="38" t="s">
        <v>85</v>
      </c>
      <c r="BA36" s="31" t="s">
        <v>56</v>
      </c>
      <c r="BC36" s="37">
        <f>AW36+AX36</f>
        <v>0</v>
      </c>
      <c r="BD36" s="37">
        <f>H36/(100-BE36)*100</f>
        <v>0</v>
      </c>
      <c r="BE36" s="37">
        <v>0</v>
      </c>
      <c r="BF36" s="37">
        <f>36</f>
        <v>36</v>
      </c>
      <c r="BH36" s="37">
        <f>G36*AO36</f>
        <v>0</v>
      </c>
      <c r="BI36" s="37">
        <f>G36*AP36</f>
        <v>0</v>
      </c>
      <c r="BJ36" s="37">
        <f>G36*H36</f>
        <v>0</v>
      </c>
    </row>
    <row r="37" spans="3:7" ht="12.75">
      <c r="C37" s="39" t="s">
        <v>105</v>
      </c>
      <c r="D37" s="39"/>
      <c r="E37" s="39"/>
      <c r="G37" s="40">
        <v>30.528</v>
      </c>
    </row>
    <row r="38" spans="1:47" ht="12.75">
      <c r="A38" s="41"/>
      <c r="B38" s="42" t="s">
        <v>106</v>
      </c>
      <c r="C38" s="42" t="s">
        <v>107</v>
      </c>
      <c r="D38" s="42"/>
      <c r="E38" s="42"/>
      <c r="F38" s="41" t="s">
        <v>4</v>
      </c>
      <c r="G38" s="41" t="s">
        <v>4</v>
      </c>
      <c r="H38" s="41" t="s">
        <v>4</v>
      </c>
      <c r="I38" s="36">
        <f>SUM(I39:I39)</f>
        <v>0</v>
      </c>
      <c r="J38" s="36">
        <f>SUM(J39:J39)</f>
        <v>0</v>
      </c>
      <c r="K38" s="36">
        <f>SUM(K39:K39)</f>
        <v>0</v>
      </c>
      <c r="L38" s="31"/>
      <c r="AI38" s="31"/>
      <c r="AS38" s="36">
        <f>SUM(AJ39:AJ39)</f>
        <v>0</v>
      </c>
      <c r="AT38" s="36">
        <f>SUM(AK39:AK39)</f>
        <v>0</v>
      </c>
      <c r="AU38" s="36">
        <f>SUM(AL39:AL39)</f>
        <v>0</v>
      </c>
    </row>
    <row r="39" spans="1:62" ht="12.75">
      <c r="A39" s="10" t="s">
        <v>108</v>
      </c>
      <c r="B39" s="10" t="s">
        <v>109</v>
      </c>
      <c r="C39" s="10" t="s">
        <v>110</v>
      </c>
      <c r="D39" s="10"/>
      <c r="E39" s="10"/>
      <c r="F39" s="10" t="s">
        <v>83</v>
      </c>
      <c r="G39" s="37">
        <v>30.528</v>
      </c>
      <c r="H39" s="37">
        <v>0</v>
      </c>
      <c r="I39" s="37">
        <f>G39*AO39</f>
        <v>0</v>
      </c>
      <c r="J39" s="37">
        <f>G39*AP39</f>
        <v>0</v>
      </c>
      <c r="K39" s="37">
        <f>G39*H39</f>
        <v>0</v>
      </c>
      <c r="L39" s="38" t="s">
        <v>99</v>
      </c>
      <c r="Z39" s="37">
        <f>IF(AQ39="5",BJ39,0)</f>
        <v>0</v>
      </c>
      <c r="AB39" s="37">
        <f>IF(AQ39="1",BH39,0)</f>
        <v>0</v>
      </c>
      <c r="AC39" s="37">
        <f>IF(AQ39="1",BI39,0)</f>
        <v>0</v>
      </c>
      <c r="AD39" s="37">
        <f>IF(AQ39="7",BH39,0)</f>
        <v>0</v>
      </c>
      <c r="AE39" s="37">
        <f>IF(AQ39="7",BI39,0)</f>
        <v>0</v>
      </c>
      <c r="AF39" s="37">
        <f>IF(AQ39="2",BH39,0)</f>
        <v>0</v>
      </c>
      <c r="AG39" s="37">
        <f>IF(AQ39="2",BI39,0)</f>
        <v>0</v>
      </c>
      <c r="AH39" s="37">
        <f>IF(AQ39="0",BJ39,0)</f>
        <v>0</v>
      </c>
      <c r="AI39" s="31"/>
      <c r="AJ39" s="37">
        <f>IF(AN39=0,K39,0)</f>
        <v>0</v>
      </c>
      <c r="AK39" s="37">
        <f>IF(AN39=15,K39,0)</f>
        <v>0</v>
      </c>
      <c r="AL39" s="37">
        <f>IF(AN39=21,K39,0)</f>
        <v>0</v>
      </c>
      <c r="AN39" s="37">
        <v>15</v>
      </c>
      <c r="AO39" s="37">
        <f>H39*0</f>
        <v>0</v>
      </c>
      <c r="AP39" s="37">
        <f>H39*(1-0)</f>
        <v>0</v>
      </c>
      <c r="AQ39" s="38" t="s">
        <v>50</v>
      </c>
      <c r="AV39" s="37">
        <f>AW39+AX39</f>
        <v>0</v>
      </c>
      <c r="AW39" s="37">
        <f>G39*AO39</f>
        <v>0</v>
      </c>
      <c r="AX39" s="37">
        <f>G39*AP39</f>
        <v>0</v>
      </c>
      <c r="AY39" s="38" t="s">
        <v>111</v>
      </c>
      <c r="AZ39" s="38" t="s">
        <v>85</v>
      </c>
      <c r="BA39" s="31" t="s">
        <v>56</v>
      </c>
      <c r="BC39" s="37">
        <f>AW39+AX39</f>
        <v>0</v>
      </c>
      <c r="BD39" s="37">
        <f>H39/(100-BE39)*100</f>
        <v>0</v>
      </c>
      <c r="BE39" s="37">
        <v>0</v>
      </c>
      <c r="BF39" s="37">
        <f>39</f>
        <v>39</v>
      </c>
      <c r="BH39" s="37">
        <f>G39*AO39</f>
        <v>0</v>
      </c>
      <c r="BI39" s="37">
        <f>G39*AP39</f>
        <v>0</v>
      </c>
      <c r="BJ39" s="37">
        <f>G39*H39</f>
        <v>0</v>
      </c>
    </row>
    <row r="40" spans="3:7" ht="12.75">
      <c r="C40" s="39" t="s">
        <v>112</v>
      </c>
      <c r="D40" s="39"/>
      <c r="E40" s="39"/>
      <c r="G40" s="40">
        <v>30.528</v>
      </c>
    </row>
    <row r="41" spans="1:47" ht="12.75">
      <c r="A41" s="41"/>
      <c r="B41" s="42" t="s">
        <v>113</v>
      </c>
      <c r="C41" s="42" t="s">
        <v>114</v>
      </c>
      <c r="D41" s="42"/>
      <c r="E41" s="42"/>
      <c r="F41" s="41" t="s">
        <v>4</v>
      </c>
      <c r="G41" s="41" t="s">
        <v>4</v>
      </c>
      <c r="H41" s="41" t="s">
        <v>4</v>
      </c>
      <c r="I41" s="36">
        <f>SUM(I42:I42)</f>
        <v>0</v>
      </c>
      <c r="J41" s="36">
        <f>SUM(J42:J42)</f>
        <v>0</v>
      </c>
      <c r="K41" s="36">
        <f>SUM(K42:K42)</f>
        <v>0</v>
      </c>
      <c r="L41" s="31"/>
      <c r="AI41" s="31"/>
      <c r="AS41" s="36">
        <f>SUM(AJ42:AJ42)</f>
        <v>0</v>
      </c>
      <c r="AT41" s="36">
        <f>SUM(AK42:AK42)</f>
        <v>0</v>
      </c>
      <c r="AU41" s="36">
        <f>SUM(AL42:AL42)</f>
        <v>0</v>
      </c>
    </row>
    <row r="42" spans="1:62" ht="12.75">
      <c r="A42" s="10" t="s">
        <v>78</v>
      </c>
      <c r="B42" s="10" t="s">
        <v>115</v>
      </c>
      <c r="C42" s="10" t="s">
        <v>116</v>
      </c>
      <c r="D42" s="10"/>
      <c r="E42" s="10"/>
      <c r="F42" s="10" t="s">
        <v>117</v>
      </c>
      <c r="G42" s="37">
        <v>96.9</v>
      </c>
      <c r="H42" s="37">
        <v>0</v>
      </c>
      <c r="I42" s="37">
        <f>G42*AO42</f>
        <v>0</v>
      </c>
      <c r="J42" s="37">
        <f>G42*AP42</f>
        <v>0</v>
      </c>
      <c r="K42" s="37">
        <f>G42*H42</f>
        <v>0</v>
      </c>
      <c r="L42" s="38" t="s">
        <v>54</v>
      </c>
      <c r="Z42" s="37">
        <f>IF(AQ42="5",BJ42,0)</f>
        <v>0</v>
      </c>
      <c r="AB42" s="37">
        <f>IF(AQ42="1",BH42,0)</f>
        <v>0</v>
      </c>
      <c r="AC42" s="37">
        <f>IF(AQ42="1",BI42,0)</f>
        <v>0</v>
      </c>
      <c r="AD42" s="37">
        <f>IF(AQ42="7",BH42,0)</f>
        <v>0</v>
      </c>
      <c r="AE42" s="37">
        <f>IF(AQ42="7",BI42,0)</f>
        <v>0</v>
      </c>
      <c r="AF42" s="37">
        <f>IF(AQ42="2",BH42,0)</f>
        <v>0</v>
      </c>
      <c r="AG42" s="37">
        <f>IF(AQ42="2",BI42,0)</f>
        <v>0</v>
      </c>
      <c r="AH42" s="37">
        <f>IF(AQ42="0",BJ42,0)</f>
        <v>0</v>
      </c>
      <c r="AI42" s="31"/>
      <c r="AJ42" s="37">
        <f>IF(AN42=0,K42,0)</f>
        <v>0</v>
      </c>
      <c r="AK42" s="37">
        <f>IF(AN42=15,K42,0)</f>
        <v>0</v>
      </c>
      <c r="AL42" s="37">
        <f>IF(AN42=21,K42,0)</f>
        <v>0</v>
      </c>
      <c r="AN42" s="37">
        <v>15</v>
      </c>
      <c r="AO42" s="37">
        <f>H42*0.041304347826087</f>
        <v>0</v>
      </c>
      <c r="AP42" s="37">
        <f>H42*(1-0.041304347826087)</f>
        <v>0</v>
      </c>
      <c r="AQ42" s="38" t="s">
        <v>50</v>
      </c>
      <c r="AV42" s="37">
        <f>AW42+AX42</f>
        <v>0</v>
      </c>
      <c r="AW42" s="37">
        <f>G42*AO42</f>
        <v>0</v>
      </c>
      <c r="AX42" s="37">
        <f>G42*AP42</f>
        <v>0</v>
      </c>
      <c r="AY42" s="38" t="s">
        <v>118</v>
      </c>
      <c r="AZ42" s="38" t="s">
        <v>85</v>
      </c>
      <c r="BA42" s="31" t="s">
        <v>56</v>
      </c>
      <c r="BC42" s="37">
        <f>AW42+AX42</f>
        <v>0</v>
      </c>
      <c r="BD42" s="37">
        <f>H42/(100-BE42)*100</f>
        <v>0</v>
      </c>
      <c r="BE42" s="37">
        <v>0</v>
      </c>
      <c r="BF42" s="37">
        <f>42</f>
        <v>42</v>
      </c>
      <c r="BH42" s="37">
        <f>G42*AO42</f>
        <v>0</v>
      </c>
      <c r="BI42" s="37">
        <f>G42*AP42</f>
        <v>0</v>
      </c>
      <c r="BJ42" s="37">
        <f>G42*H42</f>
        <v>0</v>
      </c>
    </row>
    <row r="43" spans="3:7" ht="12.75">
      <c r="C43" s="39" t="s">
        <v>119</v>
      </c>
      <c r="D43" s="39"/>
      <c r="E43" s="39"/>
      <c r="G43" s="40">
        <v>96.9</v>
      </c>
    </row>
    <row r="44" spans="1:47" ht="12.75">
      <c r="A44" s="41"/>
      <c r="B44" s="42" t="s">
        <v>120</v>
      </c>
      <c r="C44" s="42" t="s">
        <v>121</v>
      </c>
      <c r="D44" s="42"/>
      <c r="E44" s="42"/>
      <c r="F44" s="41" t="s">
        <v>4</v>
      </c>
      <c r="G44" s="41" t="s">
        <v>4</v>
      </c>
      <c r="H44" s="41" t="s">
        <v>4</v>
      </c>
      <c r="I44" s="36">
        <f>SUM(I45:I45)</f>
        <v>0</v>
      </c>
      <c r="J44" s="36">
        <f>SUM(J45:J45)</f>
        <v>0</v>
      </c>
      <c r="K44" s="36">
        <f>SUM(K45:K45)</f>
        <v>0</v>
      </c>
      <c r="L44" s="31"/>
      <c r="AI44" s="31"/>
      <c r="AS44" s="36">
        <f>SUM(AJ45:AJ45)</f>
        <v>0</v>
      </c>
      <c r="AT44" s="36">
        <f>SUM(AK45:AK45)</f>
        <v>0</v>
      </c>
      <c r="AU44" s="36">
        <f>SUM(AL45:AL45)</f>
        <v>0</v>
      </c>
    </row>
    <row r="45" spans="1:62" ht="12.75">
      <c r="A45" s="10" t="s">
        <v>87</v>
      </c>
      <c r="B45" s="10" t="s">
        <v>122</v>
      </c>
      <c r="C45" s="10" t="s">
        <v>123</v>
      </c>
      <c r="D45" s="10"/>
      <c r="E45" s="10"/>
      <c r="F45" s="10" t="s">
        <v>117</v>
      </c>
      <c r="G45" s="37">
        <v>21.675</v>
      </c>
      <c r="H45" s="37">
        <v>0</v>
      </c>
      <c r="I45" s="37">
        <f>G45*AO45</f>
        <v>0</v>
      </c>
      <c r="J45" s="37">
        <f>G45*AP45</f>
        <v>0</v>
      </c>
      <c r="K45" s="37">
        <f>G45*H45</f>
        <v>0</v>
      </c>
      <c r="L45" s="38" t="s">
        <v>54</v>
      </c>
      <c r="Z45" s="37">
        <f>IF(AQ45="5",BJ45,0)</f>
        <v>0</v>
      </c>
      <c r="AB45" s="37">
        <f>IF(AQ45="1",BH45,0)</f>
        <v>0</v>
      </c>
      <c r="AC45" s="37">
        <f>IF(AQ45="1",BI45,0)</f>
        <v>0</v>
      </c>
      <c r="AD45" s="37">
        <f>IF(AQ45="7",BH45,0)</f>
        <v>0</v>
      </c>
      <c r="AE45" s="37">
        <f>IF(AQ45="7",BI45,0)</f>
        <v>0</v>
      </c>
      <c r="AF45" s="37">
        <f>IF(AQ45="2",BH45,0)</f>
        <v>0</v>
      </c>
      <c r="AG45" s="37">
        <f>IF(AQ45="2",BI45,0)</f>
        <v>0</v>
      </c>
      <c r="AH45" s="37">
        <f>IF(AQ45="0",BJ45,0)</f>
        <v>0</v>
      </c>
      <c r="AI45" s="31"/>
      <c r="AJ45" s="37">
        <f>IF(AN45=0,K45,0)</f>
        <v>0</v>
      </c>
      <c r="AK45" s="37">
        <f>IF(AN45=15,K45,0)</f>
        <v>0</v>
      </c>
      <c r="AL45" s="37">
        <f>IF(AN45=21,K45,0)</f>
        <v>0</v>
      </c>
      <c r="AN45" s="37">
        <v>15</v>
      </c>
      <c r="AO45" s="37">
        <f>H45*0.789579201372302</f>
        <v>0</v>
      </c>
      <c r="AP45" s="37">
        <f>H45*(1-0.789579201372302)</f>
        <v>0</v>
      </c>
      <c r="AQ45" s="38" t="s">
        <v>50</v>
      </c>
      <c r="AV45" s="37">
        <f>AW45+AX45</f>
        <v>0</v>
      </c>
      <c r="AW45" s="37">
        <f>G45*AO45</f>
        <v>0</v>
      </c>
      <c r="AX45" s="37">
        <f>G45*AP45</f>
        <v>0</v>
      </c>
      <c r="AY45" s="38" t="s">
        <v>124</v>
      </c>
      <c r="AZ45" s="38" t="s">
        <v>125</v>
      </c>
      <c r="BA45" s="31" t="s">
        <v>56</v>
      </c>
      <c r="BC45" s="37">
        <f>AW45+AX45</f>
        <v>0</v>
      </c>
      <c r="BD45" s="37">
        <f>H45/(100-BE45)*100</f>
        <v>0</v>
      </c>
      <c r="BE45" s="37">
        <v>0</v>
      </c>
      <c r="BF45" s="37">
        <f>45</f>
        <v>45</v>
      </c>
      <c r="BH45" s="37">
        <f>G45*AO45</f>
        <v>0</v>
      </c>
      <c r="BI45" s="37">
        <f>G45*AP45</f>
        <v>0</v>
      </c>
      <c r="BJ45" s="37">
        <f>G45*H45</f>
        <v>0</v>
      </c>
    </row>
    <row r="46" spans="3:7" ht="12.75">
      <c r="C46" s="39" t="s">
        <v>126</v>
      </c>
      <c r="D46" s="39"/>
      <c r="E46" s="39"/>
      <c r="G46" s="40">
        <v>21.675</v>
      </c>
    </row>
    <row r="47" spans="1:47" ht="12.75">
      <c r="A47" s="41"/>
      <c r="B47" s="42" t="s">
        <v>127</v>
      </c>
      <c r="C47" s="42" t="s">
        <v>128</v>
      </c>
      <c r="D47" s="42"/>
      <c r="E47" s="42"/>
      <c r="F47" s="41" t="s">
        <v>4</v>
      </c>
      <c r="G47" s="41" t="s">
        <v>4</v>
      </c>
      <c r="H47" s="41" t="s">
        <v>4</v>
      </c>
      <c r="I47" s="36">
        <f>SUM(I48:I48)</f>
        <v>0</v>
      </c>
      <c r="J47" s="36">
        <f>SUM(J48:J48)</f>
        <v>0</v>
      </c>
      <c r="K47" s="36">
        <f>SUM(K48:K48)</f>
        <v>0</v>
      </c>
      <c r="L47" s="31"/>
      <c r="AI47" s="31"/>
      <c r="AS47" s="36">
        <f>SUM(AJ48:AJ48)</f>
        <v>0</v>
      </c>
      <c r="AT47" s="36">
        <f>SUM(AK48:AK48)</f>
        <v>0</v>
      </c>
      <c r="AU47" s="36">
        <f>SUM(AL48:AL48)</f>
        <v>0</v>
      </c>
    </row>
    <row r="48" spans="1:62" ht="12.75">
      <c r="A48" s="10" t="s">
        <v>129</v>
      </c>
      <c r="B48" s="10" t="s">
        <v>130</v>
      </c>
      <c r="C48" s="10" t="s">
        <v>131</v>
      </c>
      <c r="D48" s="10"/>
      <c r="E48" s="10"/>
      <c r="F48" s="10" t="s">
        <v>117</v>
      </c>
      <c r="G48" s="37">
        <v>1.3</v>
      </c>
      <c r="H48" s="37">
        <v>0</v>
      </c>
      <c r="I48" s="37">
        <f>G48*AO48</f>
        <v>0</v>
      </c>
      <c r="J48" s="37">
        <f>G48*AP48</f>
        <v>0</v>
      </c>
      <c r="K48" s="37">
        <f>G48*H48</f>
        <v>0</v>
      </c>
      <c r="L48" s="38" t="s">
        <v>54</v>
      </c>
      <c r="Z48" s="37">
        <f>IF(AQ48="5",BJ48,0)</f>
        <v>0</v>
      </c>
      <c r="AB48" s="37">
        <f>IF(AQ48="1",BH48,0)</f>
        <v>0</v>
      </c>
      <c r="AC48" s="37">
        <f>IF(AQ48="1",BI48,0)</f>
        <v>0</v>
      </c>
      <c r="AD48" s="37">
        <f>IF(AQ48="7",BH48,0)</f>
        <v>0</v>
      </c>
      <c r="AE48" s="37">
        <f>IF(AQ48="7",BI48,0)</f>
        <v>0</v>
      </c>
      <c r="AF48" s="37">
        <f>IF(AQ48="2",BH48,0)</f>
        <v>0</v>
      </c>
      <c r="AG48" s="37">
        <f>IF(AQ48="2",BI48,0)</f>
        <v>0</v>
      </c>
      <c r="AH48" s="37">
        <f>IF(AQ48="0",BJ48,0)</f>
        <v>0</v>
      </c>
      <c r="AI48" s="31"/>
      <c r="AJ48" s="37">
        <f>IF(AN48=0,K48,0)</f>
        <v>0</v>
      </c>
      <c r="AK48" s="37">
        <f>IF(AN48=15,K48,0)</f>
        <v>0</v>
      </c>
      <c r="AL48" s="37">
        <f>IF(AN48=21,K48,0)</f>
        <v>0</v>
      </c>
      <c r="AN48" s="37">
        <v>15</v>
      </c>
      <c r="AO48" s="37">
        <f>H48*0.30353480841878</f>
        <v>0</v>
      </c>
      <c r="AP48" s="37">
        <f>H48*(1-0.30353480841878)</f>
        <v>0</v>
      </c>
      <c r="AQ48" s="38" t="s">
        <v>50</v>
      </c>
      <c r="AV48" s="37">
        <f>AW48+AX48</f>
        <v>0</v>
      </c>
      <c r="AW48" s="37">
        <f>G48*AO48</f>
        <v>0</v>
      </c>
      <c r="AX48" s="37">
        <f>G48*AP48</f>
        <v>0</v>
      </c>
      <c r="AY48" s="38" t="s">
        <v>132</v>
      </c>
      <c r="AZ48" s="38" t="s">
        <v>133</v>
      </c>
      <c r="BA48" s="31" t="s">
        <v>56</v>
      </c>
      <c r="BC48" s="37">
        <f>AW48+AX48</f>
        <v>0</v>
      </c>
      <c r="BD48" s="37">
        <f>H48/(100-BE48)*100</f>
        <v>0</v>
      </c>
      <c r="BE48" s="37">
        <v>0</v>
      </c>
      <c r="BF48" s="37">
        <f>48</f>
        <v>48</v>
      </c>
      <c r="BH48" s="37">
        <f>G48*AO48</f>
        <v>0</v>
      </c>
      <c r="BI48" s="37">
        <f>G48*AP48</f>
        <v>0</v>
      </c>
      <c r="BJ48" s="37">
        <f>G48*H48</f>
        <v>0</v>
      </c>
    </row>
    <row r="49" spans="3:7" ht="12.75">
      <c r="C49" s="39" t="s">
        <v>134</v>
      </c>
      <c r="D49" s="39"/>
      <c r="E49" s="39"/>
      <c r="G49" s="40">
        <v>1.3</v>
      </c>
    </row>
    <row r="50" spans="1:47" ht="12.75">
      <c r="A50" s="41"/>
      <c r="B50" s="42" t="s">
        <v>135</v>
      </c>
      <c r="C50" s="42" t="s">
        <v>136</v>
      </c>
      <c r="D50" s="42"/>
      <c r="E50" s="42"/>
      <c r="F50" s="41" t="s">
        <v>4</v>
      </c>
      <c r="G50" s="41" t="s">
        <v>4</v>
      </c>
      <c r="H50" s="41" t="s">
        <v>4</v>
      </c>
      <c r="I50" s="36">
        <f>SUM(I51:I53)</f>
        <v>0</v>
      </c>
      <c r="J50" s="36">
        <f>SUM(J51:J53)</f>
        <v>0</v>
      </c>
      <c r="K50" s="36">
        <f>SUM(K51:K53)</f>
        <v>0</v>
      </c>
      <c r="L50" s="31"/>
      <c r="AI50" s="31"/>
      <c r="AS50" s="36">
        <f>SUM(AJ51:AJ53)</f>
        <v>0</v>
      </c>
      <c r="AT50" s="36">
        <f>SUM(AK51:AK53)</f>
        <v>0</v>
      </c>
      <c r="AU50" s="36">
        <f>SUM(AL51:AL53)</f>
        <v>0</v>
      </c>
    </row>
    <row r="51" spans="1:62" ht="12.75">
      <c r="A51" s="10" t="s">
        <v>137</v>
      </c>
      <c r="B51" s="10" t="s">
        <v>138</v>
      </c>
      <c r="C51" s="10" t="s">
        <v>139</v>
      </c>
      <c r="D51" s="10"/>
      <c r="E51" s="10"/>
      <c r="F51" s="10" t="s">
        <v>117</v>
      </c>
      <c r="G51" s="37">
        <v>46.45</v>
      </c>
      <c r="H51" s="37">
        <v>0</v>
      </c>
      <c r="I51" s="37">
        <f>G51*AO51</f>
        <v>0</v>
      </c>
      <c r="J51" s="37">
        <f>G51*AP51</f>
        <v>0</v>
      </c>
      <c r="K51" s="37">
        <f>G51*H51</f>
        <v>0</v>
      </c>
      <c r="L51" s="38" t="s">
        <v>54</v>
      </c>
      <c r="Z51" s="37">
        <f>IF(AQ51="5",BJ51,0)</f>
        <v>0</v>
      </c>
      <c r="AB51" s="37">
        <f>IF(AQ51="1",BH51,0)</f>
        <v>0</v>
      </c>
      <c r="AC51" s="37">
        <f>IF(AQ51="1",BI51,0)</f>
        <v>0</v>
      </c>
      <c r="AD51" s="37">
        <f>IF(AQ51="7",BH51,0)</f>
        <v>0</v>
      </c>
      <c r="AE51" s="37">
        <f>IF(AQ51="7",BI51,0)</f>
        <v>0</v>
      </c>
      <c r="AF51" s="37">
        <f>IF(AQ51="2",BH51,0)</f>
        <v>0</v>
      </c>
      <c r="AG51" s="37">
        <f>IF(AQ51="2",BI51,0)</f>
        <v>0</v>
      </c>
      <c r="AH51" s="37">
        <f>IF(AQ51="0",BJ51,0)</f>
        <v>0</v>
      </c>
      <c r="AI51" s="31"/>
      <c r="AJ51" s="37">
        <f>IF(AN51=0,K51,0)</f>
        <v>0</v>
      </c>
      <c r="AK51" s="37">
        <f>IF(AN51=15,K51,0)</f>
        <v>0</v>
      </c>
      <c r="AL51" s="37">
        <f>IF(AN51=21,K51,0)</f>
        <v>0</v>
      </c>
      <c r="AN51" s="37">
        <v>15</v>
      </c>
      <c r="AO51" s="37">
        <f>H51*0.615623419105967</f>
        <v>0</v>
      </c>
      <c r="AP51" s="37">
        <f>H51*(1-0.615623419105967)</f>
        <v>0</v>
      </c>
      <c r="AQ51" s="38" t="s">
        <v>50</v>
      </c>
      <c r="AV51" s="37">
        <f>AW51+AX51</f>
        <v>0</v>
      </c>
      <c r="AW51" s="37">
        <f>G51*AO51</f>
        <v>0</v>
      </c>
      <c r="AX51" s="37">
        <f>G51*AP51</f>
        <v>0</v>
      </c>
      <c r="AY51" s="38" t="s">
        <v>140</v>
      </c>
      <c r="AZ51" s="38" t="s">
        <v>141</v>
      </c>
      <c r="BA51" s="31" t="s">
        <v>56</v>
      </c>
      <c r="BC51" s="37">
        <f>AW51+AX51</f>
        <v>0</v>
      </c>
      <c r="BD51" s="37">
        <f>H51/(100-BE51)*100</f>
        <v>0</v>
      </c>
      <c r="BE51" s="37">
        <v>0</v>
      </c>
      <c r="BF51" s="37">
        <f>51</f>
        <v>51</v>
      </c>
      <c r="BH51" s="37">
        <f>G51*AO51</f>
        <v>0</v>
      </c>
      <c r="BI51" s="37">
        <f>G51*AP51</f>
        <v>0</v>
      </c>
      <c r="BJ51" s="37">
        <f>G51*H51</f>
        <v>0</v>
      </c>
    </row>
    <row r="52" spans="3:7" ht="12.75">
      <c r="C52" s="39" t="s">
        <v>142</v>
      </c>
      <c r="D52" s="39"/>
      <c r="E52" s="39"/>
      <c r="G52" s="40">
        <v>46.45</v>
      </c>
    </row>
    <row r="53" spans="1:62" ht="12.75">
      <c r="A53" s="10" t="s">
        <v>94</v>
      </c>
      <c r="B53" s="10" t="s">
        <v>143</v>
      </c>
      <c r="C53" s="10" t="s">
        <v>144</v>
      </c>
      <c r="D53" s="10"/>
      <c r="E53" s="10"/>
      <c r="F53" s="10" t="s">
        <v>145</v>
      </c>
      <c r="G53" s="37">
        <v>28.698</v>
      </c>
      <c r="H53" s="37">
        <v>0</v>
      </c>
      <c r="I53" s="37">
        <f>G53*AO53</f>
        <v>0</v>
      </c>
      <c r="J53" s="37">
        <f>G53*AP53</f>
        <v>0</v>
      </c>
      <c r="K53" s="37">
        <f>G53*H53</f>
        <v>0</v>
      </c>
      <c r="L53" s="38" t="s">
        <v>54</v>
      </c>
      <c r="Z53" s="37">
        <f>IF(AQ53="5",BJ53,0)</f>
        <v>0</v>
      </c>
      <c r="AB53" s="37">
        <f>IF(AQ53="1",BH53,0)</f>
        <v>0</v>
      </c>
      <c r="AC53" s="37">
        <f>IF(AQ53="1",BI53,0)</f>
        <v>0</v>
      </c>
      <c r="AD53" s="37">
        <f>IF(AQ53="7",BH53,0)</f>
        <v>0</v>
      </c>
      <c r="AE53" s="37">
        <f>IF(AQ53="7",BI53,0)</f>
        <v>0</v>
      </c>
      <c r="AF53" s="37">
        <f>IF(AQ53="2",BH53,0)</f>
        <v>0</v>
      </c>
      <c r="AG53" s="37">
        <f>IF(AQ53="2",BI53,0)</f>
        <v>0</v>
      </c>
      <c r="AH53" s="37">
        <f>IF(AQ53="0",BJ53,0)</f>
        <v>0</v>
      </c>
      <c r="AI53" s="31"/>
      <c r="AJ53" s="37">
        <f>IF(AN53=0,K53,0)</f>
        <v>0</v>
      </c>
      <c r="AK53" s="37">
        <f>IF(AN53=15,K53,0)</f>
        <v>0</v>
      </c>
      <c r="AL53" s="37">
        <f>IF(AN53=21,K53,0)</f>
        <v>0</v>
      </c>
      <c r="AN53" s="37">
        <v>15</v>
      </c>
      <c r="AO53" s="37">
        <f>H53*0</f>
        <v>0</v>
      </c>
      <c r="AP53" s="37">
        <f>H53*(1-0)</f>
        <v>0</v>
      </c>
      <c r="AQ53" s="38" t="s">
        <v>68</v>
      </c>
      <c r="AV53" s="37">
        <f>AW53+AX53</f>
        <v>0</v>
      </c>
      <c r="AW53" s="37">
        <f>G53*AO53</f>
        <v>0</v>
      </c>
      <c r="AX53" s="37">
        <f>G53*AP53</f>
        <v>0</v>
      </c>
      <c r="AY53" s="38" t="s">
        <v>140</v>
      </c>
      <c r="AZ53" s="38" t="s">
        <v>141</v>
      </c>
      <c r="BA53" s="31" t="s">
        <v>56</v>
      </c>
      <c r="BC53" s="37">
        <f>AW53+AX53</f>
        <v>0</v>
      </c>
      <c r="BD53" s="37">
        <f>H53/(100-BE53)*100</f>
        <v>0</v>
      </c>
      <c r="BE53" s="37">
        <v>0</v>
      </c>
      <c r="BF53" s="37">
        <f>53</f>
        <v>53</v>
      </c>
      <c r="BH53" s="37">
        <f>G53*AO53</f>
        <v>0</v>
      </c>
      <c r="BI53" s="37">
        <f>G53*AP53</f>
        <v>0</v>
      </c>
      <c r="BJ53" s="37">
        <f>G53*H53</f>
        <v>0</v>
      </c>
    </row>
    <row r="54" spans="3:7" ht="12.75">
      <c r="C54" s="39" t="s">
        <v>146</v>
      </c>
      <c r="D54" s="39"/>
      <c r="E54" s="39"/>
      <c r="G54" s="40">
        <v>28.698</v>
      </c>
    </row>
    <row r="55" spans="1:47" ht="12.75">
      <c r="A55" s="41"/>
      <c r="B55" s="42" t="s">
        <v>147</v>
      </c>
      <c r="C55" s="42" t="s">
        <v>148</v>
      </c>
      <c r="D55" s="42"/>
      <c r="E55" s="42"/>
      <c r="F55" s="41" t="s">
        <v>4</v>
      </c>
      <c r="G55" s="41" t="s">
        <v>4</v>
      </c>
      <c r="H55" s="41" t="s">
        <v>4</v>
      </c>
      <c r="I55" s="36">
        <f>SUM(I56:I56)</f>
        <v>0</v>
      </c>
      <c r="J55" s="36">
        <f>SUM(J56:J56)</f>
        <v>0</v>
      </c>
      <c r="K55" s="36">
        <f>SUM(K56:K56)</f>
        <v>0</v>
      </c>
      <c r="L55" s="31"/>
      <c r="AI55" s="31"/>
      <c r="AS55" s="36">
        <f>SUM(AJ56:AJ56)</f>
        <v>0</v>
      </c>
      <c r="AT55" s="36">
        <f>SUM(AK56:AK56)</f>
        <v>0</v>
      </c>
      <c r="AU55" s="36">
        <f>SUM(AL56:AL56)</f>
        <v>0</v>
      </c>
    </row>
    <row r="56" spans="1:62" ht="12.75">
      <c r="A56" s="10" t="s">
        <v>106</v>
      </c>
      <c r="B56" s="10" t="s">
        <v>149</v>
      </c>
      <c r="C56" s="10" t="s">
        <v>150</v>
      </c>
      <c r="D56" s="10"/>
      <c r="E56" s="10"/>
      <c r="F56" s="10" t="s">
        <v>117</v>
      </c>
      <c r="G56" s="37">
        <v>50.592</v>
      </c>
      <c r="H56" s="37">
        <v>0</v>
      </c>
      <c r="I56" s="37">
        <f>G56*AO56</f>
        <v>0</v>
      </c>
      <c r="J56" s="37">
        <f>G56*AP56</f>
        <v>0</v>
      </c>
      <c r="K56" s="37">
        <f>G56*H56</f>
        <v>0</v>
      </c>
      <c r="L56" s="38" t="s">
        <v>54</v>
      </c>
      <c r="Z56" s="37">
        <f>IF(AQ56="5",BJ56,0)</f>
        <v>0</v>
      </c>
      <c r="AB56" s="37">
        <f>IF(AQ56="1",BH56,0)</f>
        <v>0</v>
      </c>
      <c r="AC56" s="37">
        <f>IF(AQ56="1",BI56,0)</f>
        <v>0</v>
      </c>
      <c r="AD56" s="37">
        <f>IF(AQ56="7",BH56,0)</f>
        <v>0</v>
      </c>
      <c r="AE56" s="37">
        <f>IF(AQ56="7",BI56,0)</f>
        <v>0</v>
      </c>
      <c r="AF56" s="37">
        <f>IF(AQ56="2",BH56,0)</f>
        <v>0</v>
      </c>
      <c r="AG56" s="37">
        <f>IF(AQ56="2",BI56,0)</f>
        <v>0</v>
      </c>
      <c r="AH56" s="37">
        <f>IF(AQ56="0",BJ56,0)</f>
        <v>0</v>
      </c>
      <c r="AI56" s="31"/>
      <c r="AJ56" s="37">
        <f>IF(AN56=0,K56,0)</f>
        <v>0</v>
      </c>
      <c r="AK56" s="37">
        <f>IF(AN56=15,K56,0)</f>
        <v>0</v>
      </c>
      <c r="AL56" s="37">
        <f>IF(AN56=21,K56,0)</f>
        <v>0</v>
      </c>
      <c r="AN56" s="37">
        <v>15</v>
      </c>
      <c r="AO56" s="37">
        <f>H56*0.163398538008548</f>
        <v>0</v>
      </c>
      <c r="AP56" s="37">
        <f>H56*(1-0.163398538008548)</f>
        <v>0</v>
      </c>
      <c r="AQ56" s="38" t="s">
        <v>50</v>
      </c>
      <c r="AV56" s="37">
        <f>AW56+AX56</f>
        <v>0</v>
      </c>
      <c r="AW56" s="37">
        <f>G56*AO56</f>
        <v>0</v>
      </c>
      <c r="AX56" s="37">
        <f>G56*AP56</f>
        <v>0</v>
      </c>
      <c r="AY56" s="38" t="s">
        <v>151</v>
      </c>
      <c r="AZ56" s="38" t="s">
        <v>152</v>
      </c>
      <c r="BA56" s="31" t="s">
        <v>56</v>
      </c>
      <c r="BC56" s="37">
        <f>AW56+AX56</f>
        <v>0</v>
      </c>
      <c r="BD56" s="37">
        <f>H56/(100-BE56)*100</f>
        <v>0</v>
      </c>
      <c r="BE56" s="37">
        <v>0</v>
      </c>
      <c r="BF56" s="37">
        <f>56</f>
        <v>56</v>
      </c>
      <c r="BH56" s="37">
        <f>G56*AO56</f>
        <v>0</v>
      </c>
      <c r="BI56" s="37">
        <f>G56*AP56</f>
        <v>0</v>
      </c>
      <c r="BJ56" s="37">
        <f>G56*H56</f>
        <v>0</v>
      </c>
    </row>
    <row r="57" spans="3:7" ht="12.75">
      <c r="C57" s="39" t="s">
        <v>153</v>
      </c>
      <c r="D57" s="39"/>
      <c r="E57" s="39"/>
      <c r="G57" s="40">
        <v>50.592</v>
      </c>
    </row>
    <row r="58" spans="1:47" ht="12.75">
      <c r="A58" s="41"/>
      <c r="B58" s="42" t="s">
        <v>154</v>
      </c>
      <c r="C58" s="42" t="s">
        <v>155</v>
      </c>
      <c r="D58" s="42"/>
      <c r="E58" s="42"/>
      <c r="F58" s="41" t="s">
        <v>4</v>
      </c>
      <c r="G58" s="41" t="s">
        <v>4</v>
      </c>
      <c r="H58" s="41" t="s">
        <v>4</v>
      </c>
      <c r="I58" s="36">
        <f>SUM(I59:I132)</f>
        <v>0</v>
      </c>
      <c r="J58" s="36">
        <f>SUM(J59:J132)</f>
        <v>0</v>
      </c>
      <c r="K58" s="36">
        <f>SUM(K59:K132)</f>
        <v>0</v>
      </c>
      <c r="L58" s="31"/>
      <c r="AI58" s="31"/>
      <c r="AS58" s="36">
        <f>SUM(AJ59:AJ132)</f>
        <v>0</v>
      </c>
      <c r="AT58" s="36">
        <f>SUM(AK59:AK132)</f>
        <v>0</v>
      </c>
      <c r="AU58" s="36">
        <f>SUM(AL59:AL132)</f>
        <v>0</v>
      </c>
    </row>
    <row r="59" spans="1:62" ht="12.75">
      <c r="A59" s="10" t="s">
        <v>113</v>
      </c>
      <c r="B59" s="10" t="s">
        <v>156</v>
      </c>
      <c r="C59" s="10" t="s">
        <v>157</v>
      </c>
      <c r="D59" s="10"/>
      <c r="E59" s="10"/>
      <c r="F59" s="10" t="s">
        <v>117</v>
      </c>
      <c r="G59" s="37">
        <v>40.005</v>
      </c>
      <c r="H59" s="37">
        <v>0</v>
      </c>
      <c r="I59" s="37">
        <f>G59*AO59</f>
        <v>0</v>
      </c>
      <c r="J59" s="37">
        <f>G59*AP59</f>
        <v>0</v>
      </c>
      <c r="K59" s="37">
        <f>G59*H59</f>
        <v>0</v>
      </c>
      <c r="L59" s="38" t="s">
        <v>54</v>
      </c>
      <c r="Z59" s="37">
        <f>IF(AQ59="5",BJ59,0)</f>
        <v>0</v>
      </c>
      <c r="AB59" s="37">
        <f>IF(AQ59="1",BH59,0)</f>
        <v>0</v>
      </c>
      <c r="AC59" s="37">
        <f>IF(AQ59="1",BI59,0)</f>
        <v>0</v>
      </c>
      <c r="AD59" s="37">
        <f>IF(AQ59="7",BH59,0)</f>
        <v>0</v>
      </c>
      <c r="AE59" s="37">
        <f>IF(AQ59="7",BI59,0)</f>
        <v>0</v>
      </c>
      <c r="AF59" s="37">
        <f>IF(AQ59="2",BH59,0)</f>
        <v>0</v>
      </c>
      <c r="AG59" s="37">
        <f>IF(AQ59="2",BI59,0)</f>
        <v>0</v>
      </c>
      <c r="AH59" s="37">
        <f>IF(AQ59="0",BJ59,0)</f>
        <v>0</v>
      </c>
      <c r="AI59" s="31"/>
      <c r="AJ59" s="37">
        <f>IF(AN59=0,K59,0)</f>
        <v>0</v>
      </c>
      <c r="AK59" s="37">
        <f>IF(AN59=15,K59,0)</f>
        <v>0</v>
      </c>
      <c r="AL59" s="37">
        <f>IF(AN59=21,K59,0)</f>
        <v>0</v>
      </c>
      <c r="AN59" s="37">
        <v>15</v>
      </c>
      <c r="AO59" s="37">
        <f>H59*0.616818766066838</f>
        <v>0</v>
      </c>
      <c r="AP59" s="37">
        <f>H59*(1-0.616818766066838)</f>
        <v>0</v>
      </c>
      <c r="AQ59" s="38" t="s">
        <v>50</v>
      </c>
      <c r="AV59" s="37">
        <f>AW59+AX59</f>
        <v>0</v>
      </c>
      <c r="AW59" s="37">
        <f>G59*AO59</f>
        <v>0</v>
      </c>
      <c r="AX59" s="37">
        <f>G59*AP59</f>
        <v>0</v>
      </c>
      <c r="AY59" s="38" t="s">
        <v>158</v>
      </c>
      <c r="AZ59" s="38" t="s">
        <v>152</v>
      </c>
      <c r="BA59" s="31" t="s">
        <v>56</v>
      </c>
      <c r="BC59" s="37">
        <f>AW59+AX59</f>
        <v>0</v>
      </c>
      <c r="BD59" s="37">
        <f>H59/(100-BE59)*100</f>
        <v>0</v>
      </c>
      <c r="BE59" s="37">
        <v>0</v>
      </c>
      <c r="BF59" s="37">
        <f>59</f>
        <v>59</v>
      </c>
      <c r="BH59" s="37">
        <f>G59*AO59</f>
        <v>0</v>
      </c>
      <c r="BI59" s="37">
        <f>G59*AP59</f>
        <v>0</v>
      </c>
      <c r="BJ59" s="37">
        <f>G59*H59</f>
        <v>0</v>
      </c>
    </row>
    <row r="60" spans="3:7" ht="12.75">
      <c r="C60" s="39" t="s">
        <v>159</v>
      </c>
      <c r="D60" s="39"/>
      <c r="E60" s="39"/>
      <c r="G60" s="40">
        <v>40.005</v>
      </c>
    </row>
    <row r="61" spans="1:62" ht="12.75">
      <c r="A61" s="10" t="s">
        <v>160</v>
      </c>
      <c r="B61" s="10" t="s">
        <v>161</v>
      </c>
      <c r="C61" s="10" t="s">
        <v>162</v>
      </c>
      <c r="D61" s="10"/>
      <c r="E61" s="10"/>
      <c r="F61" s="10" t="s">
        <v>117</v>
      </c>
      <c r="G61" s="37">
        <v>13.335</v>
      </c>
      <c r="H61" s="37">
        <v>0</v>
      </c>
      <c r="I61" s="37">
        <f>G61*AO61</f>
        <v>0</v>
      </c>
      <c r="J61" s="37">
        <f>G61*AP61</f>
        <v>0</v>
      </c>
      <c r="K61" s="37">
        <f>G61*H61</f>
        <v>0</v>
      </c>
      <c r="L61" s="38" t="s">
        <v>54</v>
      </c>
      <c r="Z61" s="37">
        <f>IF(AQ61="5",BJ61,0)</f>
        <v>0</v>
      </c>
      <c r="AB61" s="37">
        <f>IF(AQ61="1",BH61,0)</f>
        <v>0</v>
      </c>
      <c r="AC61" s="37">
        <f>IF(AQ61="1",BI61,0)</f>
        <v>0</v>
      </c>
      <c r="AD61" s="37">
        <f>IF(AQ61="7",BH61,0)</f>
        <v>0</v>
      </c>
      <c r="AE61" s="37">
        <f>IF(AQ61="7",BI61,0)</f>
        <v>0</v>
      </c>
      <c r="AF61" s="37">
        <f>IF(AQ61="2",BH61,0)</f>
        <v>0</v>
      </c>
      <c r="AG61" s="37">
        <f>IF(AQ61="2",BI61,0)</f>
        <v>0</v>
      </c>
      <c r="AH61" s="37">
        <f>IF(AQ61="0",BJ61,0)</f>
        <v>0</v>
      </c>
      <c r="AI61" s="31"/>
      <c r="AJ61" s="37">
        <f>IF(AN61=0,K61,0)</f>
        <v>0</v>
      </c>
      <c r="AK61" s="37">
        <f>IF(AN61=15,K61,0)</f>
        <v>0</v>
      </c>
      <c r="AL61" s="37">
        <f>IF(AN61=21,K61,0)</f>
        <v>0</v>
      </c>
      <c r="AN61" s="37">
        <v>15</v>
      </c>
      <c r="AO61" s="37">
        <f>H61*0.562182187536921</f>
        <v>0</v>
      </c>
      <c r="AP61" s="37">
        <f>H61*(1-0.562182187536921)</f>
        <v>0</v>
      </c>
      <c r="AQ61" s="38" t="s">
        <v>50</v>
      </c>
      <c r="AV61" s="37">
        <f>AW61+AX61</f>
        <v>0</v>
      </c>
      <c r="AW61" s="37">
        <f>G61*AO61</f>
        <v>0</v>
      </c>
      <c r="AX61" s="37">
        <f>G61*AP61</f>
        <v>0</v>
      </c>
      <c r="AY61" s="38" t="s">
        <v>158</v>
      </c>
      <c r="AZ61" s="38" t="s">
        <v>152</v>
      </c>
      <c r="BA61" s="31" t="s">
        <v>56</v>
      </c>
      <c r="BC61" s="37">
        <f>AW61+AX61</f>
        <v>0</v>
      </c>
      <c r="BD61" s="37">
        <f>H61/(100-BE61)*100</f>
        <v>0</v>
      </c>
      <c r="BE61" s="37">
        <v>0</v>
      </c>
      <c r="BF61" s="37">
        <f>61</f>
        <v>61</v>
      </c>
      <c r="BH61" s="37">
        <f>G61*AO61</f>
        <v>0</v>
      </c>
      <c r="BI61" s="37">
        <f>G61*AP61</f>
        <v>0</v>
      </c>
      <c r="BJ61" s="37">
        <f>G61*H61</f>
        <v>0</v>
      </c>
    </row>
    <row r="62" spans="3:7" ht="12.75">
      <c r="C62" s="39" t="s">
        <v>163</v>
      </c>
      <c r="D62" s="39"/>
      <c r="E62" s="39"/>
      <c r="G62" s="40">
        <v>13.335</v>
      </c>
    </row>
    <row r="63" spans="1:62" ht="12.75">
      <c r="A63" s="10" t="s">
        <v>164</v>
      </c>
      <c r="B63" s="10" t="s">
        <v>165</v>
      </c>
      <c r="C63" s="10" t="s">
        <v>166</v>
      </c>
      <c r="D63" s="10"/>
      <c r="E63" s="10"/>
      <c r="F63" s="10" t="s">
        <v>167</v>
      </c>
      <c r="G63" s="37">
        <v>88.9</v>
      </c>
      <c r="H63" s="37">
        <v>0</v>
      </c>
      <c r="I63" s="37">
        <f>G63*AO63</f>
        <v>0</v>
      </c>
      <c r="J63" s="37">
        <f>G63*AP63</f>
        <v>0</v>
      </c>
      <c r="K63" s="37">
        <f>G63*H63</f>
        <v>0</v>
      </c>
      <c r="L63" s="38" t="s">
        <v>54</v>
      </c>
      <c r="Z63" s="37">
        <f>IF(AQ63="5",BJ63,0)</f>
        <v>0</v>
      </c>
      <c r="AB63" s="37">
        <f>IF(AQ63="1",BH63,0)</f>
        <v>0</v>
      </c>
      <c r="AC63" s="37">
        <f>IF(AQ63="1",BI63,0)</f>
        <v>0</v>
      </c>
      <c r="AD63" s="37">
        <f>IF(AQ63="7",BH63,0)</f>
        <v>0</v>
      </c>
      <c r="AE63" s="37">
        <f>IF(AQ63="7",BI63,0)</f>
        <v>0</v>
      </c>
      <c r="AF63" s="37">
        <f>IF(AQ63="2",BH63,0)</f>
        <v>0</v>
      </c>
      <c r="AG63" s="37">
        <f>IF(AQ63="2",BI63,0)</f>
        <v>0</v>
      </c>
      <c r="AH63" s="37">
        <f>IF(AQ63="0",BJ63,0)</f>
        <v>0</v>
      </c>
      <c r="AI63" s="31"/>
      <c r="AJ63" s="37">
        <f>IF(AN63=0,K63,0)</f>
        <v>0</v>
      </c>
      <c r="AK63" s="37">
        <f>IF(AN63=15,K63,0)</f>
        <v>0</v>
      </c>
      <c r="AL63" s="37">
        <f>IF(AN63=21,K63,0)</f>
        <v>0</v>
      </c>
      <c r="AN63" s="37">
        <v>15</v>
      </c>
      <c r="AO63" s="37">
        <f>H63*0.719560930182042</f>
        <v>0</v>
      </c>
      <c r="AP63" s="37">
        <f>H63*(1-0.719560930182042)</f>
        <v>0</v>
      </c>
      <c r="AQ63" s="38" t="s">
        <v>50</v>
      </c>
      <c r="AV63" s="37">
        <f>AW63+AX63</f>
        <v>0</v>
      </c>
      <c r="AW63" s="37">
        <f>G63*AO63</f>
        <v>0</v>
      </c>
      <c r="AX63" s="37">
        <f>G63*AP63</f>
        <v>0</v>
      </c>
      <c r="AY63" s="38" t="s">
        <v>158</v>
      </c>
      <c r="AZ63" s="38" t="s">
        <v>152</v>
      </c>
      <c r="BA63" s="31" t="s">
        <v>56</v>
      </c>
      <c r="BC63" s="37">
        <f>AW63+AX63</f>
        <v>0</v>
      </c>
      <c r="BD63" s="37">
        <f>H63/(100-BE63)*100</f>
        <v>0</v>
      </c>
      <c r="BE63" s="37">
        <v>0</v>
      </c>
      <c r="BF63" s="37">
        <f>63</f>
        <v>63</v>
      </c>
      <c r="BH63" s="37">
        <f>G63*AO63</f>
        <v>0</v>
      </c>
      <c r="BI63" s="37">
        <f>G63*AP63</f>
        <v>0</v>
      </c>
      <c r="BJ63" s="37">
        <f>G63*H63</f>
        <v>0</v>
      </c>
    </row>
    <row r="64" spans="3:7" ht="12.75">
      <c r="C64" s="39" t="s">
        <v>168</v>
      </c>
      <c r="D64" s="39"/>
      <c r="E64" s="39"/>
      <c r="G64" s="40">
        <v>88.9</v>
      </c>
    </row>
    <row r="65" spans="1:62" ht="12.75">
      <c r="A65" s="10" t="s">
        <v>169</v>
      </c>
      <c r="B65" s="10" t="s">
        <v>170</v>
      </c>
      <c r="C65" s="10" t="s">
        <v>171</v>
      </c>
      <c r="D65" s="10"/>
      <c r="E65" s="10"/>
      <c r="F65" s="10" t="s">
        <v>167</v>
      </c>
      <c r="G65" s="37">
        <v>72</v>
      </c>
      <c r="H65" s="37">
        <v>0</v>
      </c>
      <c r="I65" s="37">
        <f>G65*AO65</f>
        <v>0</v>
      </c>
      <c r="J65" s="37">
        <f>G65*AP65</f>
        <v>0</v>
      </c>
      <c r="K65" s="37">
        <f>G65*H65</f>
        <v>0</v>
      </c>
      <c r="L65" s="38" t="s">
        <v>54</v>
      </c>
      <c r="Z65" s="37">
        <f>IF(AQ65="5",BJ65,0)</f>
        <v>0</v>
      </c>
      <c r="AB65" s="37">
        <f>IF(AQ65="1",BH65,0)</f>
        <v>0</v>
      </c>
      <c r="AC65" s="37">
        <f>IF(AQ65="1",BI65,0)</f>
        <v>0</v>
      </c>
      <c r="AD65" s="37">
        <f>IF(AQ65="7",BH65,0)</f>
        <v>0</v>
      </c>
      <c r="AE65" s="37">
        <f>IF(AQ65="7",BI65,0)</f>
        <v>0</v>
      </c>
      <c r="AF65" s="37">
        <f>IF(AQ65="2",BH65,0)</f>
        <v>0</v>
      </c>
      <c r="AG65" s="37">
        <f>IF(AQ65="2",BI65,0)</f>
        <v>0</v>
      </c>
      <c r="AH65" s="37">
        <f>IF(AQ65="0",BJ65,0)</f>
        <v>0</v>
      </c>
      <c r="AI65" s="31"/>
      <c r="AJ65" s="37">
        <f>IF(AN65=0,K65,0)</f>
        <v>0</v>
      </c>
      <c r="AK65" s="37">
        <f>IF(AN65=15,K65,0)</f>
        <v>0</v>
      </c>
      <c r="AL65" s="37">
        <f>IF(AN65=21,K65,0)</f>
        <v>0</v>
      </c>
      <c r="AN65" s="37">
        <v>15</v>
      </c>
      <c r="AO65" s="37">
        <f>H65*0.73125</f>
        <v>0</v>
      </c>
      <c r="AP65" s="37">
        <f>H65*(1-0.73125)</f>
        <v>0</v>
      </c>
      <c r="AQ65" s="38" t="s">
        <v>50</v>
      </c>
      <c r="AV65" s="37">
        <f>AW65+AX65</f>
        <v>0</v>
      </c>
      <c r="AW65" s="37">
        <f>G65*AO65</f>
        <v>0</v>
      </c>
      <c r="AX65" s="37">
        <f>G65*AP65</f>
        <v>0</v>
      </c>
      <c r="AY65" s="38" t="s">
        <v>158</v>
      </c>
      <c r="AZ65" s="38" t="s">
        <v>152</v>
      </c>
      <c r="BA65" s="31" t="s">
        <v>56</v>
      </c>
      <c r="BC65" s="37">
        <f>AW65+AX65</f>
        <v>0</v>
      </c>
      <c r="BD65" s="37">
        <f>H65/(100-BE65)*100</f>
        <v>0</v>
      </c>
      <c r="BE65" s="37">
        <v>0</v>
      </c>
      <c r="BF65" s="37">
        <f>65</f>
        <v>65</v>
      </c>
      <c r="BH65" s="37">
        <f>G65*AO65</f>
        <v>0</v>
      </c>
      <c r="BI65" s="37">
        <f>G65*AP65</f>
        <v>0</v>
      </c>
      <c r="BJ65" s="37">
        <f>G65*H65</f>
        <v>0</v>
      </c>
    </row>
    <row r="66" spans="3:7" ht="12.75">
      <c r="C66" s="39" t="s">
        <v>172</v>
      </c>
      <c r="D66" s="39"/>
      <c r="E66" s="39"/>
      <c r="G66" s="40">
        <v>72</v>
      </c>
    </row>
    <row r="67" spans="1:62" ht="12.75">
      <c r="A67" s="10" t="s">
        <v>173</v>
      </c>
      <c r="B67" s="10" t="s">
        <v>174</v>
      </c>
      <c r="C67" s="10" t="s">
        <v>175</v>
      </c>
      <c r="D67" s="10"/>
      <c r="E67" s="10"/>
      <c r="F67" s="10" t="s">
        <v>117</v>
      </c>
      <c r="G67" s="37">
        <v>57.675</v>
      </c>
      <c r="H67" s="37">
        <v>0</v>
      </c>
      <c r="I67" s="37">
        <f>G67*AO67</f>
        <v>0</v>
      </c>
      <c r="J67" s="37">
        <f>G67*AP67</f>
        <v>0</v>
      </c>
      <c r="K67" s="37">
        <f>G67*H67</f>
        <v>0</v>
      </c>
      <c r="L67" s="38" t="s">
        <v>54</v>
      </c>
      <c r="Z67" s="37">
        <f>IF(AQ67="5",BJ67,0)</f>
        <v>0</v>
      </c>
      <c r="AB67" s="37">
        <f>IF(AQ67="1",BH67,0)</f>
        <v>0</v>
      </c>
      <c r="AC67" s="37">
        <f>IF(AQ67="1",BI67,0)</f>
        <v>0</v>
      </c>
      <c r="AD67" s="37">
        <f>IF(AQ67="7",BH67,0)</f>
        <v>0</v>
      </c>
      <c r="AE67" s="37">
        <f>IF(AQ67="7",BI67,0)</f>
        <v>0</v>
      </c>
      <c r="AF67" s="37">
        <f>IF(AQ67="2",BH67,0)</f>
        <v>0</v>
      </c>
      <c r="AG67" s="37">
        <f>IF(AQ67="2",BI67,0)</f>
        <v>0</v>
      </c>
      <c r="AH67" s="37">
        <f>IF(AQ67="0",BJ67,0)</f>
        <v>0</v>
      </c>
      <c r="AI67" s="31"/>
      <c r="AJ67" s="37">
        <f>IF(AN67=0,K67,0)</f>
        <v>0</v>
      </c>
      <c r="AK67" s="37">
        <f>IF(AN67=15,K67,0)</f>
        <v>0</v>
      </c>
      <c r="AL67" s="37">
        <f>IF(AN67=21,K67,0)</f>
        <v>0</v>
      </c>
      <c r="AN67" s="37">
        <v>15</v>
      </c>
      <c r="AO67" s="37">
        <f>H67*0.619635949943117</f>
        <v>0</v>
      </c>
      <c r="AP67" s="37">
        <f>H67*(1-0.619635949943117)</f>
        <v>0</v>
      </c>
      <c r="AQ67" s="38" t="s">
        <v>50</v>
      </c>
      <c r="AV67" s="37">
        <f>AW67+AX67</f>
        <v>0</v>
      </c>
      <c r="AW67" s="37">
        <f>G67*AO67</f>
        <v>0</v>
      </c>
      <c r="AX67" s="37">
        <f>G67*AP67</f>
        <v>0</v>
      </c>
      <c r="AY67" s="38" t="s">
        <v>158</v>
      </c>
      <c r="AZ67" s="38" t="s">
        <v>152</v>
      </c>
      <c r="BA67" s="31" t="s">
        <v>56</v>
      </c>
      <c r="BC67" s="37">
        <f>AW67+AX67</f>
        <v>0</v>
      </c>
      <c r="BD67" s="37">
        <f>H67/(100-BE67)*100</f>
        <v>0</v>
      </c>
      <c r="BE67" s="37">
        <v>0</v>
      </c>
      <c r="BF67" s="37">
        <f>67</f>
        <v>67</v>
      </c>
      <c r="BH67" s="37">
        <f>G67*AO67</f>
        <v>0</v>
      </c>
      <c r="BI67" s="37">
        <f>G67*AP67</f>
        <v>0</v>
      </c>
      <c r="BJ67" s="37">
        <f>G67*H67</f>
        <v>0</v>
      </c>
    </row>
    <row r="68" spans="3:7" ht="12.75">
      <c r="C68" s="39" t="s">
        <v>176</v>
      </c>
      <c r="D68" s="39"/>
      <c r="E68" s="39"/>
      <c r="G68" s="40">
        <v>12.1075</v>
      </c>
    </row>
    <row r="69" spans="3:7" ht="12.75">
      <c r="C69" s="39" t="s">
        <v>177</v>
      </c>
      <c r="D69" s="39"/>
      <c r="E69" s="39"/>
      <c r="G69" s="40">
        <v>17.87</v>
      </c>
    </row>
    <row r="70" spans="3:7" ht="12.75">
      <c r="C70" s="39" t="s">
        <v>178</v>
      </c>
      <c r="D70" s="39"/>
      <c r="E70" s="39"/>
      <c r="G70" s="40">
        <v>8.845</v>
      </c>
    </row>
    <row r="71" spans="3:7" ht="12.75">
      <c r="C71" s="39" t="s">
        <v>179</v>
      </c>
      <c r="D71" s="39"/>
      <c r="E71" s="39"/>
      <c r="G71" s="40">
        <v>18.8525</v>
      </c>
    </row>
    <row r="72" spans="1:62" ht="12.75">
      <c r="A72" s="10" t="s">
        <v>180</v>
      </c>
      <c r="B72" s="10" t="s">
        <v>181</v>
      </c>
      <c r="C72" s="10" t="s">
        <v>182</v>
      </c>
      <c r="D72" s="10"/>
      <c r="E72" s="10"/>
      <c r="F72" s="10" t="s">
        <v>117</v>
      </c>
      <c r="G72" s="37">
        <v>2299.01</v>
      </c>
      <c r="H72" s="37">
        <v>0</v>
      </c>
      <c r="I72" s="37">
        <f>G72*AO72</f>
        <v>0</v>
      </c>
      <c r="J72" s="37">
        <f>G72*AP72</f>
        <v>0</v>
      </c>
      <c r="K72" s="37">
        <f>G72*H72</f>
        <v>0</v>
      </c>
      <c r="L72" s="38" t="s">
        <v>54</v>
      </c>
      <c r="Z72" s="37">
        <f>IF(AQ72="5",BJ72,0)</f>
        <v>0</v>
      </c>
      <c r="AB72" s="37">
        <f>IF(AQ72="1",BH72,0)</f>
        <v>0</v>
      </c>
      <c r="AC72" s="37">
        <f>IF(AQ72="1",BI72,0)</f>
        <v>0</v>
      </c>
      <c r="AD72" s="37">
        <f>IF(AQ72="7",BH72,0)</f>
        <v>0</v>
      </c>
      <c r="AE72" s="37">
        <f>IF(AQ72="7",BI72,0)</f>
        <v>0</v>
      </c>
      <c r="AF72" s="37">
        <f>IF(AQ72="2",BH72,0)</f>
        <v>0</v>
      </c>
      <c r="AG72" s="37">
        <f>IF(AQ72="2",BI72,0)</f>
        <v>0</v>
      </c>
      <c r="AH72" s="37">
        <f>IF(AQ72="0",BJ72,0)</f>
        <v>0</v>
      </c>
      <c r="AI72" s="31"/>
      <c r="AJ72" s="37">
        <f>IF(AN72=0,K72,0)</f>
        <v>0</v>
      </c>
      <c r="AK72" s="37">
        <f>IF(AN72=15,K72,0)</f>
        <v>0</v>
      </c>
      <c r="AL72" s="37">
        <f>IF(AN72=21,K72,0)</f>
        <v>0</v>
      </c>
      <c r="AN72" s="37">
        <v>15</v>
      </c>
      <c r="AO72" s="37">
        <f>H72*0.643560767590618</f>
        <v>0</v>
      </c>
      <c r="AP72" s="37">
        <f>H72*(1-0.643560767590618)</f>
        <v>0</v>
      </c>
      <c r="AQ72" s="38" t="s">
        <v>50</v>
      </c>
      <c r="AV72" s="37">
        <f>AW72+AX72</f>
        <v>0</v>
      </c>
      <c r="AW72" s="37">
        <f>G72*AO72</f>
        <v>0</v>
      </c>
      <c r="AX72" s="37">
        <f>G72*AP72</f>
        <v>0</v>
      </c>
      <c r="AY72" s="38" t="s">
        <v>158</v>
      </c>
      <c r="AZ72" s="38" t="s">
        <v>152</v>
      </c>
      <c r="BA72" s="31" t="s">
        <v>56</v>
      </c>
      <c r="BC72" s="37">
        <f>AW72+AX72</f>
        <v>0</v>
      </c>
      <c r="BD72" s="37">
        <f>H72/(100-BE72)*100</f>
        <v>0</v>
      </c>
      <c r="BE72" s="37">
        <v>0</v>
      </c>
      <c r="BF72" s="37">
        <f>72</f>
        <v>72</v>
      </c>
      <c r="BH72" s="37">
        <f>G72*AO72</f>
        <v>0</v>
      </c>
      <c r="BI72" s="37">
        <f>G72*AP72</f>
        <v>0</v>
      </c>
      <c r="BJ72" s="37">
        <f>G72*H72</f>
        <v>0</v>
      </c>
    </row>
    <row r="73" spans="3:7" ht="12.75">
      <c r="C73" s="39" t="s">
        <v>183</v>
      </c>
      <c r="D73" s="39"/>
      <c r="E73" s="39"/>
      <c r="G73" s="40">
        <v>503.875</v>
      </c>
    </row>
    <row r="74" spans="3:7" ht="12.75">
      <c r="C74" s="39" t="s">
        <v>184</v>
      </c>
      <c r="D74" s="39"/>
      <c r="E74" s="39"/>
      <c r="G74" s="40">
        <v>810.96</v>
      </c>
    </row>
    <row r="75" spans="3:7" ht="12.75">
      <c r="C75" s="39" t="s">
        <v>185</v>
      </c>
      <c r="D75" s="39"/>
      <c r="E75" s="39"/>
      <c r="G75" s="40">
        <v>502.435</v>
      </c>
    </row>
    <row r="76" spans="3:7" ht="12.75">
      <c r="C76" s="39" t="s">
        <v>186</v>
      </c>
      <c r="D76" s="39"/>
      <c r="E76" s="39"/>
      <c r="G76" s="40">
        <v>481.74</v>
      </c>
    </row>
    <row r="77" spans="1:62" ht="12.75">
      <c r="A77" s="10" t="s">
        <v>187</v>
      </c>
      <c r="B77" s="10" t="s">
        <v>188</v>
      </c>
      <c r="C77" s="10" t="s">
        <v>189</v>
      </c>
      <c r="D77" s="10"/>
      <c r="E77" s="10"/>
      <c r="F77" s="10" t="s">
        <v>117</v>
      </c>
      <c r="G77" s="37">
        <v>1.25</v>
      </c>
      <c r="H77" s="37">
        <v>0</v>
      </c>
      <c r="I77" s="37">
        <f>G77*AO77</f>
        <v>0</v>
      </c>
      <c r="J77" s="37">
        <f>G77*AP77</f>
        <v>0</v>
      </c>
      <c r="K77" s="37">
        <f>G77*H77</f>
        <v>0</v>
      </c>
      <c r="L77" s="38" t="s">
        <v>54</v>
      </c>
      <c r="Z77" s="37">
        <f>IF(AQ77="5",BJ77,0)</f>
        <v>0</v>
      </c>
      <c r="AB77" s="37">
        <f>IF(AQ77="1",BH77,0)</f>
        <v>0</v>
      </c>
      <c r="AC77" s="37">
        <f>IF(AQ77="1",BI77,0)</f>
        <v>0</v>
      </c>
      <c r="AD77" s="37">
        <f>IF(AQ77="7",BH77,0)</f>
        <v>0</v>
      </c>
      <c r="AE77" s="37">
        <f>IF(AQ77="7",BI77,0)</f>
        <v>0</v>
      </c>
      <c r="AF77" s="37">
        <f>IF(AQ77="2",BH77,0)</f>
        <v>0</v>
      </c>
      <c r="AG77" s="37">
        <f>IF(AQ77="2",BI77,0)</f>
        <v>0</v>
      </c>
      <c r="AH77" s="37">
        <f>IF(AQ77="0",BJ77,0)</f>
        <v>0</v>
      </c>
      <c r="AI77" s="31"/>
      <c r="AJ77" s="37">
        <f>IF(AN77=0,K77,0)</f>
        <v>0</v>
      </c>
      <c r="AK77" s="37">
        <f>IF(AN77=15,K77,0)</f>
        <v>0</v>
      </c>
      <c r="AL77" s="37">
        <f>IF(AN77=21,K77,0)</f>
        <v>0</v>
      </c>
      <c r="AN77" s="37">
        <v>15</v>
      </c>
      <c r="AO77" s="37">
        <f>H77*0.562560528246515</f>
        <v>0</v>
      </c>
      <c r="AP77" s="37">
        <f>H77*(1-0.562560528246515)</f>
        <v>0</v>
      </c>
      <c r="AQ77" s="38" t="s">
        <v>50</v>
      </c>
      <c r="AV77" s="37">
        <f>AW77+AX77</f>
        <v>0</v>
      </c>
      <c r="AW77" s="37">
        <f>G77*AO77</f>
        <v>0</v>
      </c>
      <c r="AX77" s="37">
        <f>G77*AP77</f>
        <v>0</v>
      </c>
      <c r="AY77" s="38" t="s">
        <v>158</v>
      </c>
      <c r="AZ77" s="38" t="s">
        <v>152</v>
      </c>
      <c r="BA77" s="31" t="s">
        <v>56</v>
      </c>
      <c r="BC77" s="37">
        <f>AW77+AX77</f>
        <v>0</v>
      </c>
      <c r="BD77" s="37">
        <f>H77/(100-BE77)*100</f>
        <v>0</v>
      </c>
      <c r="BE77" s="37">
        <v>0</v>
      </c>
      <c r="BF77" s="37">
        <f>77</f>
        <v>77</v>
      </c>
      <c r="BH77" s="37">
        <f>G77*AO77</f>
        <v>0</v>
      </c>
      <c r="BI77" s="37">
        <f>G77*AP77</f>
        <v>0</v>
      </c>
      <c r="BJ77" s="37">
        <f>G77*H77</f>
        <v>0</v>
      </c>
    </row>
    <row r="78" spans="3:7" ht="12.75">
      <c r="C78" s="39" t="s">
        <v>190</v>
      </c>
      <c r="D78" s="39"/>
      <c r="E78" s="39"/>
      <c r="G78" s="40">
        <v>1.25</v>
      </c>
    </row>
    <row r="79" spans="1:62" ht="12.75">
      <c r="A79" s="10" t="s">
        <v>191</v>
      </c>
      <c r="B79" s="10" t="s">
        <v>192</v>
      </c>
      <c r="C79" s="10" t="s">
        <v>193</v>
      </c>
      <c r="D79" s="10"/>
      <c r="E79" s="10"/>
      <c r="F79" s="10" t="s">
        <v>117</v>
      </c>
      <c r="G79" s="37">
        <v>2357.935</v>
      </c>
      <c r="H79" s="37">
        <v>0</v>
      </c>
      <c r="I79" s="37">
        <f>G79*AO79</f>
        <v>0</v>
      </c>
      <c r="J79" s="37">
        <f>G79*AP79</f>
        <v>0</v>
      </c>
      <c r="K79" s="37">
        <f>G79*H79</f>
        <v>0</v>
      </c>
      <c r="L79" s="38" t="s">
        <v>54</v>
      </c>
      <c r="Z79" s="37">
        <f>IF(AQ79="5",BJ79,0)</f>
        <v>0</v>
      </c>
      <c r="AB79" s="37">
        <f>IF(AQ79="1",BH79,0)</f>
        <v>0</v>
      </c>
      <c r="AC79" s="37">
        <f>IF(AQ79="1",BI79,0)</f>
        <v>0</v>
      </c>
      <c r="AD79" s="37">
        <f>IF(AQ79="7",BH79,0)</f>
        <v>0</v>
      </c>
      <c r="AE79" s="37">
        <f>IF(AQ79="7",BI79,0)</f>
        <v>0</v>
      </c>
      <c r="AF79" s="37">
        <f>IF(AQ79="2",BH79,0)</f>
        <v>0</v>
      </c>
      <c r="AG79" s="37">
        <f>IF(AQ79="2",BI79,0)</f>
        <v>0</v>
      </c>
      <c r="AH79" s="37">
        <f>IF(AQ79="0",BJ79,0)</f>
        <v>0</v>
      </c>
      <c r="AI79" s="31"/>
      <c r="AJ79" s="37">
        <f>IF(AN79=0,K79,0)</f>
        <v>0</v>
      </c>
      <c r="AK79" s="37">
        <f>IF(AN79=15,K79,0)</f>
        <v>0</v>
      </c>
      <c r="AL79" s="37">
        <f>IF(AN79=21,K79,0)</f>
        <v>0</v>
      </c>
      <c r="AN79" s="37">
        <v>15</v>
      </c>
      <c r="AO79" s="37">
        <f>H79*0.242479678977057</f>
        <v>0</v>
      </c>
      <c r="AP79" s="37">
        <f>H79*(1-0.242479678977057)</f>
        <v>0</v>
      </c>
      <c r="AQ79" s="38" t="s">
        <v>50</v>
      </c>
      <c r="AV79" s="37">
        <f>AW79+AX79</f>
        <v>0</v>
      </c>
      <c r="AW79" s="37">
        <f>G79*AO79</f>
        <v>0</v>
      </c>
      <c r="AX79" s="37">
        <f>G79*AP79</f>
        <v>0</v>
      </c>
      <c r="AY79" s="38" t="s">
        <v>158</v>
      </c>
      <c r="AZ79" s="38" t="s">
        <v>152</v>
      </c>
      <c r="BA79" s="31" t="s">
        <v>56</v>
      </c>
      <c r="BC79" s="37">
        <f>AW79+AX79</f>
        <v>0</v>
      </c>
      <c r="BD79" s="37">
        <f>H79/(100-BE79)*100</f>
        <v>0</v>
      </c>
      <c r="BE79" s="37">
        <v>0</v>
      </c>
      <c r="BF79" s="37">
        <f>79</f>
        <v>79</v>
      </c>
      <c r="BH79" s="37">
        <f>G79*AO79</f>
        <v>0</v>
      </c>
      <c r="BI79" s="37">
        <f>G79*AP79</f>
        <v>0</v>
      </c>
      <c r="BJ79" s="37">
        <f>G79*H79</f>
        <v>0</v>
      </c>
    </row>
    <row r="80" spans="3:7" ht="12.75">
      <c r="C80" s="39" t="s">
        <v>194</v>
      </c>
      <c r="D80" s="39"/>
      <c r="E80" s="39"/>
      <c r="G80" s="40">
        <v>2357.935</v>
      </c>
    </row>
    <row r="81" spans="1:62" ht="12.75">
      <c r="A81" s="10" t="s">
        <v>195</v>
      </c>
      <c r="B81" s="10" t="s">
        <v>196</v>
      </c>
      <c r="C81" s="10" t="s">
        <v>197</v>
      </c>
      <c r="D81" s="10"/>
      <c r="E81" s="10"/>
      <c r="F81" s="10" t="s">
        <v>117</v>
      </c>
      <c r="G81" s="37">
        <v>106.55</v>
      </c>
      <c r="H81" s="37">
        <v>0</v>
      </c>
      <c r="I81" s="37">
        <f>G81*AO81</f>
        <v>0</v>
      </c>
      <c r="J81" s="37">
        <f>G81*AP81</f>
        <v>0</v>
      </c>
      <c r="K81" s="37">
        <f>G81*H81</f>
        <v>0</v>
      </c>
      <c r="L81" s="38" t="s">
        <v>54</v>
      </c>
      <c r="Z81" s="37">
        <f>IF(AQ81="5",BJ81,0)</f>
        <v>0</v>
      </c>
      <c r="AB81" s="37">
        <f>IF(AQ81="1",BH81,0)</f>
        <v>0</v>
      </c>
      <c r="AC81" s="37">
        <f>IF(AQ81="1",BI81,0)</f>
        <v>0</v>
      </c>
      <c r="AD81" s="37">
        <f>IF(AQ81="7",BH81,0)</f>
        <v>0</v>
      </c>
      <c r="AE81" s="37">
        <f>IF(AQ81="7",BI81,0)</f>
        <v>0</v>
      </c>
      <c r="AF81" s="37">
        <f>IF(AQ81="2",BH81,0)</f>
        <v>0</v>
      </c>
      <c r="AG81" s="37">
        <f>IF(AQ81="2",BI81,0)</f>
        <v>0</v>
      </c>
      <c r="AH81" s="37">
        <f>IF(AQ81="0",BJ81,0)</f>
        <v>0</v>
      </c>
      <c r="AI81" s="31"/>
      <c r="AJ81" s="37">
        <f>IF(AN81=0,K81,0)</f>
        <v>0</v>
      </c>
      <c r="AK81" s="37">
        <f>IF(AN81=15,K81,0)</f>
        <v>0</v>
      </c>
      <c r="AL81" s="37">
        <f>IF(AN81=21,K81,0)</f>
        <v>0</v>
      </c>
      <c r="AN81" s="37">
        <v>15</v>
      </c>
      <c r="AO81" s="37">
        <f>H81*0.374589010989011</f>
        <v>0</v>
      </c>
      <c r="AP81" s="37">
        <f>H81*(1-0.374589010989011)</f>
        <v>0</v>
      </c>
      <c r="AQ81" s="38" t="s">
        <v>50</v>
      </c>
      <c r="AV81" s="37">
        <f>AW81+AX81</f>
        <v>0</v>
      </c>
      <c r="AW81" s="37">
        <f>G81*AO81</f>
        <v>0</v>
      </c>
      <c r="AX81" s="37">
        <f>G81*AP81</f>
        <v>0</v>
      </c>
      <c r="AY81" s="38" t="s">
        <v>158</v>
      </c>
      <c r="AZ81" s="38" t="s">
        <v>152</v>
      </c>
      <c r="BA81" s="31" t="s">
        <v>56</v>
      </c>
      <c r="BC81" s="37">
        <f>AW81+AX81</f>
        <v>0</v>
      </c>
      <c r="BD81" s="37">
        <f>H81/(100-BE81)*100</f>
        <v>0</v>
      </c>
      <c r="BE81" s="37">
        <v>0</v>
      </c>
      <c r="BF81" s="37">
        <f>81</f>
        <v>81</v>
      </c>
      <c r="BH81" s="37">
        <f>G81*AO81</f>
        <v>0</v>
      </c>
      <c r="BI81" s="37">
        <f>G81*AP81</f>
        <v>0</v>
      </c>
      <c r="BJ81" s="37">
        <f>G81*H81</f>
        <v>0</v>
      </c>
    </row>
    <row r="82" spans="3:7" ht="12.75">
      <c r="C82" s="39" t="s">
        <v>198</v>
      </c>
      <c r="D82" s="39"/>
      <c r="E82" s="39"/>
      <c r="G82" s="40">
        <v>106.55</v>
      </c>
    </row>
    <row r="83" spans="1:62" ht="12.75">
      <c r="A83" s="10" t="s">
        <v>199</v>
      </c>
      <c r="B83" s="10" t="s">
        <v>200</v>
      </c>
      <c r="C83" s="10" t="s">
        <v>201</v>
      </c>
      <c r="D83" s="10"/>
      <c r="E83" s="10"/>
      <c r="F83" s="10" t="s">
        <v>117</v>
      </c>
      <c r="G83" s="37">
        <v>410.8495</v>
      </c>
      <c r="H83" s="37">
        <v>0</v>
      </c>
      <c r="I83" s="37">
        <f>G83*AO83</f>
        <v>0</v>
      </c>
      <c r="J83" s="37">
        <f>G83*AP83</f>
        <v>0</v>
      </c>
      <c r="K83" s="37">
        <f>G83*H83</f>
        <v>0</v>
      </c>
      <c r="L83" s="38" t="s">
        <v>54</v>
      </c>
      <c r="Z83" s="37">
        <f>IF(AQ83="5",BJ83,0)</f>
        <v>0</v>
      </c>
      <c r="AB83" s="37">
        <f>IF(AQ83="1",BH83,0)</f>
        <v>0</v>
      </c>
      <c r="AC83" s="37">
        <f>IF(AQ83="1",BI83,0)</f>
        <v>0</v>
      </c>
      <c r="AD83" s="37">
        <f>IF(AQ83="7",BH83,0)</f>
        <v>0</v>
      </c>
      <c r="AE83" s="37">
        <f>IF(AQ83="7",BI83,0)</f>
        <v>0</v>
      </c>
      <c r="AF83" s="37">
        <f>IF(AQ83="2",BH83,0)</f>
        <v>0</v>
      </c>
      <c r="AG83" s="37">
        <f>IF(AQ83="2",BI83,0)</f>
        <v>0</v>
      </c>
      <c r="AH83" s="37">
        <f>IF(AQ83="0",BJ83,0)</f>
        <v>0</v>
      </c>
      <c r="AI83" s="31"/>
      <c r="AJ83" s="37">
        <f>IF(AN83=0,K83,0)</f>
        <v>0</v>
      </c>
      <c r="AK83" s="37">
        <f>IF(AN83=15,K83,0)</f>
        <v>0</v>
      </c>
      <c r="AL83" s="37">
        <f>IF(AN83=21,K83,0)</f>
        <v>0</v>
      </c>
      <c r="AN83" s="37">
        <v>15</v>
      </c>
      <c r="AO83" s="37">
        <f>H83*0.43088961038961</f>
        <v>0</v>
      </c>
      <c r="AP83" s="37">
        <f>H83*(1-0.43088961038961)</f>
        <v>0</v>
      </c>
      <c r="AQ83" s="38" t="s">
        <v>50</v>
      </c>
      <c r="AV83" s="37">
        <f>AW83+AX83</f>
        <v>0</v>
      </c>
      <c r="AW83" s="37">
        <f>G83*AO83</f>
        <v>0</v>
      </c>
      <c r="AX83" s="37">
        <f>G83*AP83</f>
        <v>0</v>
      </c>
      <c r="AY83" s="38" t="s">
        <v>158</v>
      </c>
      <c r="AZ83" s="38" t="s">
        <v>152</v>
      </c>
      <c r="BA83" s="31" t="s">
        <v>56</v>
      </c>
      <c r="BC83" s="37">
        <f>AW83+AX83</f>
        <v>0</v>
      </c>
      <c r="BD83" s="37">
        <f>H83/(100-BE83)*100</f>
        <v>0</v>
      </c>
      <c r="BE83" s="37">
        <v>0</v>
      </c>
      <c r="BF83" s="37">
        <f>83</f>
        <v>83</v>
      </c>
      <c r="BH83" s="37">
        <f>G83*AO83</f>
        <v>0</v>
      </c>
      <c r="BI83" s="37">
        <f>G83*AP83</f>
        <v>0</v>
      </c>
      <c r="BJ83" s="37">
        <f>G83*H83</f>
        <v>0</v>
      </c>
    </row>
    <row r="84" spans="3:7" ht="12.75">
      <c r="C84" s="39" t="s">
        <v>202</v>
      </c>
      <c r="D84" s="39"/>
      <c r="E84" s="39"/>
      <c r="G84" s="40">
        <v>64.74</v>
      </c>
    </row>
    <row r="85" spans="3:7" ht="12.75">
      <c r="C85" s="39" t="s">
        <v>203</v>
      </c>
      <c r="D85" s="39"/>
      <c r="E85" s="39"/>
      <c r="G85" s="40">
        <v>49.44</v>
      </c>
    </row>
    <row r="86" spans="3:7" ht="12.75">
      <c r="C86" s="39" t="s">
        <v>204</v>
      </c>
      <c r="D86" s="39"/>
      <c r="E86" s="39"/>
      <c r="G86" s="40">
        <v>12.775</v>
      </c>
    </row>
    <row r="87" spans="3:7" ht="12.75">
      <c r="C87" s="39" t="s">
        <v>205</v>
      </c>
      <c r="D87" s="39"/>
      <c r="E87" s="39"/>
      <c r="G87" s="40">
        <v>1.512</v>
      </c>
    </row>
    <row r="88" spans="3:7" ht="12.75">
      <c r="C88" s="39" t="s">
        <v>206</v>
      </c>
      <c r="D88" s="39"/>
      <c r="E88" s="39"/>
      <c r="G88" s="40">
        <v>3.2</v>
      </c>
    </row>
    <row r="89" spans="3:7" ht="12.75">
      <c r="C89" s="39" t="s">
        <v>207</v>
      </c>
      <c r="D89" s="39"/>
      <c r="E89" s="39"/>
      <c r="G89" s="40">
        <v>9.36</v>
      </c>
    </row>
    <row r="90" spans="3:7" ht="12.75">
      <c r="C90" s="39" t="s">
        <v>208</v>
      </c>
      <c r="D90" s="39"/>
      <c r="E90" s="39"/>
      <c r="G90" s="40">
        <v>13.2825</v>
      </c>
    </row>
    <row r="91" spans="3:7" ht="12.75">
      <c r="C91" s="39" t="s">
        <v>209</v>
      </c>
      <c r="D91" s="39"/>
      <c r="E91" s="39"/>
      <c r="G91" s="40">
        <v>1.935</v>
      </c>
    </row>
    <row r="92" spans="3:7" ht="12.75">
      <c r="C92" s="39" t="s">
        <v>210</v>
      </c>
      <c r="D92" s="39"/>
      <c r="E92" s="39"/>
      <c r="G92" s="40">
        <v>2.35</v>
      </c>
    </row>
    <row r="93" spans="3:7" ht="12.75">
      <c r="C93" s="39" t="s">
        <v>211</v>
      </c>
      <c r="D93" s="39"/>
      <c r="E93" s="39"/>
      <c r="G93" s="40">
        <v>3</v>
      </c>
    </row>
    <row r="94" spans="3:7" ht="12.75">
      <c r="C94" s="39" t="s">
        <v>212</v>
      </c>
      <c r="D94" s="39"/>
      <c r="E94" s="39"/>
      <c r="G94" s="40">
        <v>55.56</v>
      </c>
    </row>
    <row r="95" spans="3:7" ht="12.75">
      <c r="C95" s="39" t="s">
        <v>213</v>
      </c>
      <c r="D95" s="39"/>
      <c r="E95" s="39"/>
      <c r="G95" s="40">
        <v>1.095</v>
      </c>
    </row>
    <row r="96" spans="3:7" ht="12.75">
      <c r="C96" s="39" t="s">
        <v>214</v>
      </c>
      <c r="D96" s="39"/>
      <c r="E96" s="39"/>
      <c r="G96" s="40">
        <v>192.6</v>
      </c>
    </row>
    <row r="97" spans="1:62" ht="12.75">
      <c r="A97" s="10" t="s">
        <v>215</v>
      </c>
      <c r="B97" s="10" t="s">
        <v>216</v>
      </c>
      <c r="C97" s="10" t="s">
        <v>217</v>
      </c>
      <c r="D97" s="10"/>
      <c r="E97" s="10"/>
      <c r="F97" s="10" t="s">
        <v>117</v>
      </c>
      <c r="G97" s="37">
        <v>0.8</v>
      </c>
      <c r="H97" s="37">
        <v>0</v>
      </c>
      <c r="I97" s="37">
        <f>G97*AO97</f>
        <v>0</v>
      </c>
      <c r="J97" s="37">
        <f>G97*AP97</f>
        <v>0</v>
      </c>
      <c r="K97" s="37">
        <f>G97*H97</f>
        <v>0</v>
      </c>
      <c r="L97" s="38" t="s">
        <v>54</v>
      </c>
      <c r="Z97" s="37">
        <f>IF(AQ97="5",BJ97,0)</f>
        <v>0</v>
      </c>
      <c r="AB97" s="37">
        <f>IF(AQ97="1",BH97,0)</f>
        <v>0</v>
      </c>
      <c r="AC97" s="37">
        <f>IF(AQ97="1",BI97,0)</f>
        <v>0</v>
      </c>
      <c r="AD97" s="37">
        <f>IF(AQ97="7",BH97,0)</f>
        <v>0</v>
      </c>
      <c r="AE97" s="37">
        <f>IF(AQ97="7",BI97,0)</f>
        <v>0</v>
      </c>
      <c r="AF97" s="37">
        <f>IF(AQ97="2",BH97,0)</f>
        <v>0</v>
      </c>
      <c r="AG97" s="37">
        <f>IF(AQ97="2",BI97,0)</f>
        <v>0</v>
      </c>
      <c r="AH97" s="37">
        <f>IF(AQ97="0",BJ97,0)</f>
        <v>0</v>
      </c>
      <c r="AI97" s="31"/>
      <c r="AJ97" s="37">
        <f>IF(AN97=0,K97,0)</f>
        <v>0</v>
      </c>
      <c r="AK97" s="37">
        <f>IF(AN97=15,K97,0)</f>
        <v>0</v>
      </c>
      <c r="AL97" s="37">
        <f>IF(AN97=21,K97,0)</f>
        <v>0</v>
      </c>
      <c r="AN97" s="37">
        <v>15</v>
      </c>
      <c r="AO97" s="37">
        <f>H97*0.591063100137174</f>
        <v>0</v>
      </c>
      <c r="AP97" s="37">
        <f>H97*(1-0.591063100137174)</f>
        <v>0</v>
      </c>
      <c r="AQ97" s="38" t="s">
        <v>50</v>
      </c>
      <c r="AV97" s="37">
        <f>AW97+AX97</f>
        <v>0</v>
      </c>
      <c r="AW97" s="37">
        <f>G97*AO97</f>
        <v>0</v>
      </c>
      <c r="AX97" s="37">
        <f>G97*AP97</f>
        <v>0</v>
      </c>
      <c r="AY97" s="38" t="s">
        <v>158</v>
      </c>
      <c r="AZ97" s="38" t="s">
        <v>152</v>
      </c>
      <c r="BA97" s="31" t="s">
        <v>56</v>
      </c>
      <c r="BC97" s="37">
        <f>AW97+AX97</f>
        <v>0</v>
      </c>
      <c r="BD97" s="37">
        <f>H97/(100-BE97)*100</f>
        <v>0</v>
      </c>
      <c r="BE97" s="37">
        <v>0</v>
      </c>
      <c r="BF97" s="37">
        <f>97</f>
        <v>97</v>
      </c>
      <c r="BH97" s="37">
        <f>G97*AO97</f>
        <v>0</v>
      </c>
      <c r="BI97" s="37">
        <f>G97*AP97</f>
        <v>0</v>
      </c>
      <c r="BJ97" s="37">
        <f>G97*H97</f>
        <v>0</v>
      </c>
    </row>
    <row r="98" spans="3:7" ht="12.75">
      <c r="C98" s="39" t="s">
        <v>218</v>
      </c>
      <c r="D98" s="39"/>
      <c r="E98" s="39"/>
      <c r="G98" s="40">
        <v>0.8</v>
      </c>
    </row>
    <row r="99" spans="1:62" ht="12.75">
      <c r="A99" s="10" t="s">
        <v>219</v>
      </c>
      <c r="B99" s="10" t="s">
        <v>220</v>
      </c>
      <c r="C99" s="10" t="s">
        <v>221</v>
      </c>
      <c r="D99" s="10"/>
      <c r="E99" s="10"/>
      <c r="F99" s="10" t="s">
        <v>117</v>
      </c>
      <c r="G99" s="37">
        <v>2357.935</v>
      </c>
      <c r="H99" s="37">
        <v>0</v>
      </c>
      <c r="I99" s="37">
        <f>G99*AO99</f>
        <v>0</v>
      </c>
      <c r="J99" s="37">
        <f>G99*AP99</f>
        <v>0</v>
      </c>
      <c r="K99" s="37">
        <f>G99*H99</f>
        <v>0</v>
      </c>
      <c r="L99" s="38" t="s">
        <v>54</v>
      </c>
      <c r="Z99" s="37">
        <f>IF(AQ99="5",BJ99,0)</f>
        <v>0</v>
      </c>
      <c r="AB99" s="37">
        <f>IF(AQ99="1",BH99,0)</f>
        <v>0</v>
      </c>
      <c r="AC99" s="37">
        <f>IF(AQ99="1",BI99,0)</f>
        <v>0</v>
      </c>
      <c r="AD99" s="37">
        <f>IF(AQ99="7",BH99,0)</f>
        <v>0</v>
      </c>
      <c r="AE99" s="37">
        <f>IF(AQ99="7",BI99,0)</f>
        <v>0</v>
      </c>
      <c r="AF99" s="37">
        <f>IF(AQ99="2",BH99,0)</f>
        <v>0</v>
      </c>
      <c r="AG99" s="37">
        <f>IF(AQ99="2",BI99,0)</f>
        <v>0</v>
      </c>
      <c r="AH99" s="37">
        <f>IF(AQ99="0",BJ99,0)</f>
        <v>0</v>
      </c>
      <c r="AI99" s="31"/>
      <c r="AJ99" s="37">
        <f>IF(AN99=0,K99,0)</f>
        <v>0</v>
      </c>
      <c r="AK99" s="37">
        <f>IF(AN99=15,K99,0)</f>
        <v>0</v>
      </c>
      <c r="AL99" s="37">
        <f>IF(AN99=21,K99,0)</f>
        <v>0</v>
      </c>
      <c r="AN99" s="37">
        <v>15</v>
      </c>
      <c r="AO99" s="37">
        <f>H99*0.32809523336241</f>
        <v>0</v>
      </c>
      <c r="AP99" s="37">
        <f>H99*(1-0.32809523336241)</f>
        <v>0</v>
      </c>
      <c r="AQ99" s="38" t="s">
        <v>50</v>
      </c>
      <c r="AV99" s="37">
        <f>AW99+AX99</f>
        <v>0</v>
      </c>
      <c r="AW99" s="37">
        <f>G99*AO99</f>
        <v>0</v>
      </c>
      <c r="AX99" s="37">
        <f>G99*AP99</f>
        <v>0</v>
      </c>
      <c r="AY99" s="38" t="s">
        <v>158</v>
      </c>
      <c r="AZ99" s="38" t="s">
        <v>152</v>
      </c>
      <c r="BA99" s="31" t="s">
        <v>56</v>
      </c>
      <c r="BC99" s="37">
        <f>AW99+AX99</f>
        <v>0</v>
      </c>
      <c r="BD99" s="37">
        <f>H99/(100-BE99)*100</f>
        <v>0</v>
      </c>
      <c r="BE99" s="37">
        <v>0</v>
      </c>
      <c r="BF99" s="37">
        <f>99</f>
        <v>99</v>
      </c>
      <c r="BH99" s="37">
        <f>G99*AO99</f>
        <v>0</v>
      </c>
      <c r="BI99" s="37">
        <f>G99*AP99</f>
        <v>0</v>
      </c>
      <c r="BJ99" s="37">
        <f>G99*H99</f>
        <v>0</v>
      </c>
    </row>
    <row r="100" spans="3:7" ht="12.75">
      <c r="C100" s="39" t="s">
        <v>222</v>
      </c>
      <c r="D100" s="39"/>
      <c r="E100" s="39"/>
      <c r="G100" s="40">
        <v>2357.935</v>
      </c>
    </row>
    <row r="101" spans="1:62" ht="12.75">
      <c r="A101" s="10" t="s">
        <v>223</v>
      </c>
      <c r="B101" s="10" t="s">
        <v>224</v>
      </c>
      <c r="C101" s="10" t="s">
        <v>225</v>
      </c>
      <c r="D101" s="10"/>
      <c r="E101" s="10"/>
      <c r="F101" s="10" t="s">
        <v>117</v>
      </c>
      <c r="G101" s="37">
        <v>120</v>
      </c>
      <c r="H101" s="37">
        <v>0</v>
      </c>
      <c r="I101" s="37">
        <f>G101*AO101</f>
        <v>0</v>
      </c>
      <c r="J101" s="37">
        <f>G101*AP101</f>
        <v>0</v>
      </c>
      <c r="K101" s="37">
        <f>G101*H101</f>
        <v>0</v>
      </c>
      <c r="L101" s="38" t="s">
        <v>54</v>
      </c>
      <c r="Z101" s="37">
        <f>IF(AQ101="5",BJ101,0)</f>
        <v>0</v>
      </c>
      <c r="AB101" s="37">
        <f>IF(AQ101="1",BH101,0)</f>
        <v>0</v>
      </c>
      <c r="AC101" s="37">
        <f>IF(AQ101="1",BI101,0)</f>
        <v>0</v>
      </c>
      <c r="AD101" s="37">
        <f>IF(AQ101="7",BH101,0)</f>
        <v>0</v>
      </c>
      <c r="AE101" s="37">
        <f>IF(AQ101="7",BI101,0)</f>
        <v>0</v>
      </c>
      <c r="AF101" s="37">
        <f>IF(AQ101="2",BH101,0)</f>
        <v>0</v>
      </c>
      <c r="AG101" s="37">
        <f>IF(AQ101="2",BI101,0)</f>
        <v>0</v>
      </c>
      <c r="AH101" s="37">
        <f>IF(AQ101="0",BJ101,0)</f>
        <v>0</v>
      </c>
      <c r="AI101" s="31"/>
      <c r="AJ101" s="37">
        <f>IF(AN101=0,K101,0)</f>
        <v>0</v>
      </c>
      <c r="AK101" s="37">
        <f>IF(AN101=15,K101,0)</f>
        <v>0</v>
      </c>
      <c r="AL101" s="37">
        <f>IF(AN101=21,K101,0)</f>
        <v>0</v>
      </c>
      <c r="AN101" s="37">
        <v>15</v>
      </c>
      <c r="AO101" s="37">
        <f>H101*0.0455157471175424</f>
        <v>0</v>
      </c>
      <c r="AP101" s="37">
        <f>H101*(1-0.0455157471175424)</f>
        <v>0</v>
      </c>
      <c r="AQ101" s="38" t="s">
        <v>50</v>
      </c>
      <c r="AV101" s="37">
        <f>AW101+AX101</f>
        <v>0</v>
      </c>
      <c r="AW101" s="37">
        <f>G101*AO101</f>
        <v>0</v>
      </c>
      <c r="AX101" s="37">
        <f>G101*AP101</f>
        <v>0</v>
      </c>
      <c r="AY101" s="38" t="s">
        <v>158</v>
      </c>
      <c r="AZ101" s="38" t="s">
        <v>152</v>
      </c>
      <c r="BA101" s="31" t="s">
        <v>56</v>
      </c>
      <c r="BC101" s="37">
        <f>AW101+AX101</f>
        <v>0</v>
      </c>
      <c r="BD101" s="37">
        <f>H101/(100-BE101)*100</f>
        <v>0</v>
      </c>
      <c r="BE101" s="37">
        <v>0</v>
      </c>
      <c r="BF101" s="37">
        <f>101</f>
        <v>101</v>
      </c>
      <c r="BH101" s="37">
        <f>G101*AO101</f>
        <v>0</v>
      </c>
      <c r="BI101" s="37">
        <f>G101*AP101</f>
        <v>0</v>
      </c>
      <c r="BJ101" s="37">
        <f>G101*H101</f>
        <v>0</v>
      </c>
    </row>
    <row r="102" spans="3:7" ht="12.75">
      <c r="C102" s="39" t="s">
        <v>226</v>
      </c>
      <c r="D102" s="39"/>
      <c r="E102" s="39"/>
      <c r="G102" s="40">
        <v>120</v>
      </c>
    </row>
    <row r="103" spans="1:62" ht="12.75">
      <c r="A103" s="10" t="s">
        <v>120</v>
      </c>
      <c r="B103" s="10" t="s">
        <v>227</v>
      </c>
      <c r="C103" s="10" t="s">
        <v>228</v>
      </c>
      <c r="D103" s="10"/>
      <c r="E103" s="10"/>
      <c r="F103" s="10" t="s">
        <v>117</v>
      </c>
      <c r="G103" s="37">
        <v>342.8</v>
      </c>
      <c r="H103" s="37">
        <v>0</v>
      </c>
      <c r="I103" s="37">
        <f>G103*AO103</f>
        <v>0</v>
      </c>
      <c r="J103" s="37">
        <f>G103*AP103</f>
        <v>0</v>
      </c>
      <c r="K103" s="37">
        <f>G103*H103</f>
        <v>0</v>
      </c>
      <c r="L103" s="38" t="s">
        <v>54</v>
      </c>
      <c r="Z103" s="37">
        <f>IF(AQ103="5",BJ103,0)</f>
        <v>0</v>
      </c>
      <c r="AB103" s="37">
        <f>IF(AQ103="1",BH103,0)</f>
        <v>0</v>
      </c>
      <c r="AC103" s="37">
        <f>IF(AQ103="1",BI103,0)</f>
        <v>0</v>
      </c>
      <c r="AD103" s="37">
        <f>IF(AQ103="7",BH103,0)</f>
        <v>0</v>
      </c>
      <c r="AE103" s="37">
        <f>IF(AQ103="7",BI103,0)</f>
        <v>0</v>
      </c>
      <c r="AF103" s="37">
        <f>IF(AQ103="2",BH103,0)</f>
        <v>0</v>
      </c>
      <c r="AG103" s="37">
        <f>IF(AQ103="2",BI103,0)</f>
        <v>0</v>
      </c>
      <c r="AH103" s="37">
        <f>IF(AQ103="0",BJ103,0)</f>
        <v>0</v>
      </c>
      <c r="AI103" s="31"/>
      <c r="AJ103" s="37">
        <f>IF(AN103=0,K103,0)</f>
        <v>0</v>
      </c>
      <c r="AK103" s="37">
        <f>IF(AN103=15,K103,0)</f>
        <v>0</v>
      </c>
      <c r="AL103" s="37">
        <f>IF(AN103=21,K103,0)</f>
        <v>0</v>
      </c>
      <c r="AN103" s="37">
        <v>15</v>
      </c>
      <c r="AO103" s="37">
        <f>H103*0.293654266958425</f>
        <v>0</v>
      </c>
      <c r="AP103" s="37">
        <f>H103*(1-0.293654266958425)</f>
        <v>0</v>
      </c>
      <c r="AQ103" s="38" t="s">
        <v>50</v>
      </c>
      <c r="AV103" s="37">
        <f>AW103+AX103</f>
        <v>0</v>
      </c>
      <c r="AW103" s="37">
        <f>G103*AO103</f>
        <v>0</v>
      </c>
      <c r="AX103" s="37">
        <f>G103*AP103</f>
        <v>0</v>
      </c>
      <c r="AY103" s="38" t="s">
        <v>158</v>
      </c>
      <c r="AZ103" s="38" t="s">
        <v>152</v>
      </c>
      <c r="BA103" s="31" t="s">
        <v>56</v>
      </c>
      <c r="BC103" s="37">
        <f>AW103+AX103</f>
        <v>0</v>
      </c>
      <c r="BD103" s="37">
        <f>H103/(100-BE103)*100</f>
        <v>0</v>
      </c>
      <c r="BE103" s="37">
        <v>0</v>
      </c>
      <c r="BF103" s="37">
        <f>103</f>
        <v>103</v>
      </c>
      <c r="BH103" s="37">
        <f>G103*AO103</f>
        <v>0</v>
      </c>
      <c r="BI103" s="37">
        <f>G103*AP103</f>
        <v>0</v>
      </c>
      <c r="BJ103" s="37">
        <f>G103*H103</f>
        <v>0</v>
      </c>
    </row>
    <row r="104" spans="3:7" ht="12.75">
      <c r="C104" s="39" t="s">
        <v>229</v>
      </c>
      <c r="D104" s="39"/>
      <c r="E104" s="39"/>
      <c r="G104" s="40">
        <v>12.21</v>
      </c>
    </row>
    <row r="105" spans="3:7" ht="12.75">
      <c r="C105" s="39" t="s">
        <v>230</v>
      </c>
      <c r="D105" s="39"/>
      <c r="E105" s="39"/>
      <c r="G105" s="40">
        <v>215.605</v>
      </c>
    </row>
    <row r="106" spans="3:7" ht="12.75">
      <c r="C106" s="39" t="s">
        <v>231</v>
      </c>
      <c r="D106" s="39"/>
      <c r="E106" s="39"/>
      <c r="G106" s="40">
        <v>114.985</v>
      </c>
    </row>
    <row r="107" spans="1:62" ht="12.75">
      <c r="A107" s="10" t="s">
        <v>232</v>
      </c>
      <c r="B107" s="10" t="s">
        <v>233</v>
      </c>
      <c r="C107" s="10" t="s">
        <v>234</v>
      </c>
      <c r="D107" s="10"/>
      <c r="E107" s="10"/>
      <c r="F107" s="10" t="s">
        <v>167</v>
      </c>
      <c r="G107" s="37">
        <v>3482.45</v>
      </c>
      <c r="H107" s="37">
        <v>0</v>
      </c>
      <c r="I107" s="37">
        <f>G107*AO107</f>
        <v>0</v>
      </c>
      <c r="J107" s="37">
        <f>G107*AP107</f>
        <v>0</v>
      </c>
      <c r="K107" s="37">
        <f>G107*H107</f>
        <v>0</v>
      </c>
      <c r="L107" s="38" t="s">
        <v>54</v>
      </c>
      <c r="Z107" s="37">
        <f>IF(AQ107="5",BJ107,0)</f>
        <v>0</v>
      </c>
      <c r="AB107" s="37">
        <f>IF(AQ107="1",BH107,0)</f>
        <v>0</v>
      </c>
      <c r="AC107" s="37">
        <f>IF(AQ107="1",BI107,0)</f>
        <v>0</v>
      </c>
      <c r="AD107" s="37">
        <f>IF(AQ107="7",BH107,0)</f>
        <v>0</v>
      </c>
      <c r="AE107" s="37">
        <f>IF(AQ107="7",BI107,0)</f>
        <v>0</v>
      </c>
      <c r="AF107" s="37">
        <f>IF(AQ107="2",BH107,0)</f>
        <v>0</v>
      </c>
      <c r="AG107" s="37">
        <f>IF(AQ107="2",BI107,0)</f>
        <v>0</v>
      </c>
      <c r="AH107" s="37">
        <f>IF(AQ107="0",BJ107,0)</f>
        <v>0</v>
      </c>
      <c r="AI107" s="31"/>
      <c r="AJ107" s="37">
        <f>IF(AN107=0,K107,0)</f>
        <v>0</v>
      </c>
      <c r="AK107" s="37">
        <f>IF(AN107=15,K107,0)</f>
        <v>0</v>
      </c>
      <c r="AL107" s="37">
        <f>IF(AN107=21,K107,0)</f>
        <v>0</v>
      </c>
      <c r="AN107" s="37">
        <v>15</v>
      </c>
      <c r="AO107" s="37">
        <f>H107*0.530227272727273</f>
        <v>0</v>
      </c>
      <c r="AP107" s="37">
        <f>H107*(1-0.530227272727273)</f>
        <v>0</v>
      </c>
      <c r="AQ107" s="38" t="s">
        <v>50</v>
      </c>
      <c r="AV107" s="37">
        <f>AW107+AX107</f>
        <v>0</v>
      </c>
      <c r="AW107" s="37">
        <f>G107*AO107</f>
        <v>0</v>
      </c>
      <c r="AX107" s="37">
        <f>G107*AP107</f>
        <v>0</v>
      </c>
      <c r="AY107" s="38" t="s">
        <v>158</v>
      </c>
      <c r="AZ107" s="38" t="s">
        <v>152</v>
      </c>
      <c r="BA107" s="31" t="s">
        <v>56</v>
      </c>
      <c r="BC107" s="37">
        <f>AW107+AX107</f>
        <v>0</v>
      </c>
      <c r="BD107" s="37">
        <f>H107/(100-BE107)*100</f>
        <v>0</v>
      </c>
      <c r="BE107" s="37">
        <v>0</v>
      </c>
      <c r="BF107" s="37">
        <f>107</f>
        <v>107</v>
      </c>
      <c r="BH107" s="37">
        <f>G107*AO107</f>
        <v>0</v>
      </c>
      <c r="BI107" s="37">
        <f>G107*AP107</f>
        <v>0</v>
      </c>
      <c r="BJ107" s="37">
        <f>G107*H107</f>
        <v>0</v>
      </c>
    </row>
    <row r="108" spans="3:7" ht="12.75">
      <c r="C108" s="39" t="s">
        <v>235</v>
      </c>
      <c r="D108" s="39"/>
      <c r="E108" s="39"/>
      <c r="G108" s="40">
        <v>533.1</v>
      </c>
    </row>
    <row r="109" spans="3:7" ht="12.75">
      <c r="C109" s="39" t="s">
        <v>236</v>
      </c>
      <c r="D109" s="39"/>
      <c r="E109" s="39"/>
      <c r="G109" s="40">
        <v>570.2</v>
      </c>
    </row>
    <row r="110" spans="3:7" ht="12.75">
      <c r="C110" s="39" t="s">
        <v>237</v>
      </c>
      <c r="D110" s="39"/>
      <c r="E110" s="39"/>
      <c r="G110" s="40">
        <v>233.9</v>
      </c>
    </row>
    <row r="111" spans="3:7" ht="12.75">
      <c r="C111" s="39" t="s">
        <v>238</v>
      </c>
      <c r="D111" s="39"/>
      <c r="E111" s="39"/>
      <c r="G111" s="40">
        <v>281.65</v>
      </c>
    </row>
    <row r="112" spans="3:7" ht="12.75">
      <c r="C112" s="39" t="s">
        <v>239</v>
      </c>
      <c r="D112" s="39"/>
      <c r="E112" s="39"/>
      <c r="G112" s="40">
        <v>237.2</v>
      </c>
    </row>
    <row r="113" spans="3:7" ht="12.75">
      <c r="C113" s="39" t="s">
        <v>240</v>
      </c>
      <c r="D113" s="39"/>
      <c r="E113" s="39"/>
      <c r="G113" s="40">
        <v>47.5</v>
      </c>
    </row>
    <row r="114" spans="3:7" ht="12.75">
      <c r="C114" s="39" t="s">
        <v>241</v>
      </c>
      <c r="D114" s="39"/>
      <c r="E114" s="39"/>
      <c r="G114" s="40">
        <v>372</v>
      </c>
    </row>
    <row r="115" spans="3:7" ht="12.75">
      <c r="C115" s="39" t="s">
        <v>242</v>
      </c>
      <c r="D115" s="39"/>
      <c r="E115" s="39"/>
      <c r="G115" s="40">
        <v>921.2</v>
      </c>
    </row>
    <row r="116" spans="3:7" ht="12.75">
      <c r="C116" s="39" t="s">
        <v>243</v>
      </c>
      <c r="D116" s="39"/>
      <c r="E116" s="39"/>
      <c r="G116" s="40">
        <v>285.7</v>
      </c>
    </row>
    <row r="117" spans="1:62" ht="12.75">
      <c r="A117" s="10" t="s">
        <v>244</v>
      </c>
      <c r="B117" s="10" t="s">
        <v>245</v>
      </c>
      <c r="C117" s="10" t="s">
        <v>246</v>
      </c>
      <c r="D117" s="10"/>
      <c r="E117" s="10"/>
      <c r="F117" s="10" t="s">
        <v>167</v>
      </c>
      <c r="G117" s="37">
        <v>372</v>
      </c>
      <c r="H117" s="37">
        <v>0</v>
      </c>
      <c r="I117" s="37">
        <f>G117*AO117</f>
        <v>0</v>
      </c>
      <c r="J117" s="37">
        <f>G117*AP117</f>
        <v>0</v>
      </c>
      <c r="K117" s="37">
        <f>G117*H117</f>
        <v>0</v>
      </c>
      <c r="L117" s="38" t="s">
        <v>54</v>
      </c>
      <c r="Z117" s="37">
        <f>IF(AQ117="5",BJ117,0)</f>
        <v>0</v>
      </c>
      <c r="AB117" s="37">
        <f>IF(AQ117="1",BH117,0)</f>
        <v>0</v>
      </c>
      <c r="AC117" s="37">
        <f>IF(AQ117="1",BI117,0)</f>
        <v>0</v>
      </c>
      <c r="AD117" s="37">
        <f>IF(AQ117="7",BH117,0)</f>
        <v>0</v>
      </c>
      <c r="AE117" s="37">
        <f>IF(AQ117="7",BI117,0)</f>
        <v>0</v>
      </c>
      <c r="AF117" s="37">
        <f>IF(AQ117="2",BH117,0)</f>
        <v>0</v>
      </c>
      <c r="AG117" s="37">
        <f>IF(AQ117="2",BI117,0)</f>
        <v>0</v>
      </c>
      <c r="AH117" s="37">
        <f>IF(AQ117="0",BJ117,0)</f>
        <v>0</v>
      </c>
      <c r="AI117" s="31"/>
      <c r="AJ117" s="37">
        <f>IF(AN117=0,K117,0)</f>
        <v>0</v>
      </c>
      <c r="AK117" s="37">
        <f>IF(AN117=15,K117,0)</f>
        <v>0</v>
      </c>
      <c r="AL117" s="37">
        <f>IF(AN117=21,K117,0)</f>
        <v>0</v>
      </c>
      <c r="AN117" s="37">
        <v>15</v>
      </c>
      <c r="AO117" s="37">
        <f>H117*0.657213930348259</f>
        <v>0</v>
      </c>
      <c r="AP117" s="37">
        <f>H117*(1-0.657213930348259)</f>
        <v>0</v>
      </c>
      <c r="AQ117" s="38" t="s">
        <v>50</v>
      </c>
      <c r="AV117" s="37">
        <f>AW117+AX117</f>
        <v>0</v>
      </c>
      <c r="AW117" s="37">
        <f>G117*AO117</f>
        <v>0</v>
      </c>
      <c r="AX117" s="37">
        <f>G117*AP117</f>
        <v>0</v>
      </c>
      <c r="AY117" s="38" t="s">
        <v>158</v>
      </c>
      <c r="AZ117" s="38" t="s">
        <v>152</v>
      </c>
      <c r="BA117" s="31" t="s">
        <v>56</v>
      </c>
      <c r="BC117" s="37">
        <f>AW117+AX117</f>
        <v>0</v>
      </c>
      <c r="BD117" s="37">
        <f>H117/(100-BE117)*100</f>
        <v>0</v>
      </c>
      <c r="BE117" s="37">
        <v>0</v>
      </c>
      <c r="BF117" s="37">
        <f>117</f>
        <v>117</v>
      </c>
      <c r="BH117" s="37">
        <f>G117*AO117</f>
        <v>0</v>
      </c>
      <c r="BI117" s="37">
        <f>G117*AP117</f>
        <v>0</v>
      </c>
      <c r="BJ117" s="37">
        <f>G117*H117</f>
        <v>0</v>
      </c>
    </row>
    <row r="118" spans="3:7" ht="12.75">
      <c r="C118" s="39" t="s">
        <v>247</v>
      </c>
      <c r="D118" s="39"/>
      <c r="E118" s="39"/>
      <c r="G118" s="40">
        <v>372</v>
      </c>
    </row>
    <row r="119" spans="1:62" ht="12.75">
      <c r="A119" s="10" t="s">
        <v>248</v>
      </c>
      <c r="B119" s="10" t="s">
        <v>249</v>
      </c>
      <c r="C119" s="10" t="s">
        <v>250</v>
      </c>
      <c r="D119" s="10"/>
      <c r="E119" s="10"/>
      <c r="F119" s="10" t="s">
        <v>167</v>
      </c>
      <c r="G119" s="37">
        <v>1206.9</v>
      </c>
      <c r="H119" s="37">
        <v>0</v>
      </c>
      <c r="I119" s="37">
        <f>G119*AO119</f>
        <v>0</v>
      </c>
      <c r="J119" s="37">
        <f>G119*AP119</f>
        <v>0</v>
      </c>
      <c r="K119" s="37">
        <f>G119*H119</f>
        <v>0</v>
      </c>
      <c r="L119" s="38" t="s">
        <v>54</v>
      </c>
      <c r="Z119" s="37">
        <f>IF(AQ119="5",BJ119,0)</f>
        <v>0</v>
      </c>
      <c r="AB119" s="37">
        <f>IF(AQ119="1",BH119,0)</f>
        <v>0</v>
      </c>
      <c r="AC119" s="37">
        <f>IF(AQ119="1",BI119,0)</f>
        <v>0</v>
      </c>
      <c r="AD119" s="37">
        <f>IF(AQ119="7",BH119,0)</f>
        <v>0</v>
      </c>
      <c r="AE119" s="37">
        <f>IF(AQ119="7",BI119,0)</f>
        <v>0</v>
      </c>
      <c r="AF119" s="37">
        <f>IF(AQ119="2",BH119,0)</f>
        <v>0</v>
      </c>
      <c r="AG119" s="37">
        <f>IF(AQ119="2",BI119,0)</f>
        <v>0</v>
      </c>
      <c r="AH119" s="37">
        <f>IF(AQ119="0",BJ119,0)</f>
        <v>0</v>
      </c>
      <c r="AI119" s="31"/>
      <c r="AJ119" s="37">
        <f>IF(AN119=0,K119,0)</f>
        <v>0</v>
      </c>
      <c r="AK119" s="37">
        <f>IF(AN119=15,K119,0)</f>
        <v>0</v>
      </c>
      <c r="AL119" s="37">
        <f>IF(AN119=21,K119,0)</f>
        <v>0</v>
      </c>
      <c r="AN119" s="37">
        <v>15</v>
      </c>
      <c r="AO119" s="37">
        <f>H119*0.701731601731602</f>
        <v>0</v>
      </c>
      <c r="AP119" s="37">
        <f>H119*(1-0.701731601731602)</f>
        <v>0</v>
      </c>
      <c r="AQ119" s="38" t="s">
        <v>50</v>
      </c>
      <c r="AV119" s="37">
        <f>AW119+AX119</f>
        <v>0</v>
      </c>
      <c r="AW119" s="37">
        <f>G119*AO119</f>
        <v>0</v>
      </c>
      <c r="AX119" s="37">
        <f>G119*AP119</f>
        <v>0</v>
      </c>
      <c r="AY119" s="38" t="s">
        <v>158</v>
      </c>
      <c r="AZ119" s="38" t="s">
        <v>152</v>
      </c>
      <c r="BA119" s="31" t="s">
        <v>56</v>
      </c>
      <c r="BC119" s="37">
        <f>AW119+AX119</f>
        <v>0</v>
      </c>
      <c r="BD119" s="37">
        <f>H119/(100-BE119)*100</f>
        <v>0</v>
      </c>
      <c r="BE119" s="37">
        <v>0</v>
      </c>
      <c r="BF119" s="37">
        <f>119</f>
        <v>119</v>
      </c>
      <c r="BH119" s="37">
        <f>G119*AO119</f>
        <v>0</v>
      </c>
      <c r="BI119" s="37">
        <f>G119*AP119</f>
        <v>0</v>
      </c>
      <c r="BJ119" s="37">
        <f>G119*H119</f>
        <v>0</v>
      </c>
    </row>
    <row r="120" spans="3:7" ht="12.75">
      <c r="C120" s="39" t="s">
        <v>251</v>
      </c>
      <c r="D120" s="39"/>
      <c r="E120" s="39"/>
      <c r="G120" s="40">
        <v>921.2</v>
      </c>
    </row>
    <row r="121" spans="3:7" ht="12.75">
      <c r="C121" s="39" t="s">
        <v>252</v>
      </c>
      <c r="D121" s="39"/>
      <c r="E121" s="39"/>
      <c r="G121" s="40">
        <v>285.7</v>
      </c>
    </row>
    <row r="122" spans="1:62" ht="12.75">
      <c r="A122" s="10" t="s">
        <v>253</v>
      </c>
      <c r="B122" s="10" t="s">
        <v>254</v>
      </c>
      <c r="C122" s="10" t="s">
        <v>255</v>
      </c>
      <c r="D122" s="10"/>
      <c r="E122" s="10"/>
      <c r="F122" s="10" t="s">
        <v>167</v>
      </c>
      <c r="G122" s="37">
        <v>1337</v>
      </c>
      <c r="H122" s="37">
        <v>0</v>
      </c>
      <c r="I122" s="37">
        <f>G122*AO122</f>
        <v>0</v>
      </c>
      <c r="J122" s="37">
        <f>G122*AP122</f>
        <v>0</v>
      </c>
      <c r="K122" s="37">
        <f>G122*H122</f>
        <v>0</v>
      </c>
      <c r="L122" s="38" t="s">
        <v>54</v>
      </c>
      <c r="Z122" s="37">
        <f>IF(AQ122="5",BJ122,0)</f>
        <v>0</v>
      </c>
      <c r="AB122" s="37">
        <f>IF(AQ122="1",BH122,0)</f>
        <v>0</v>
      </c>
      <c r="AC122" s="37">
        <f>IF(AQ122="1",BI122,0)</f>
        <v>0</v>
      </c>
      <c r="AD122" s="37">
        <f>IF(AQ122="7",BH122,0)</f>
        <v>0</v>
      </c>
      <c r="AE122" s="37">
        <f>IF(AQ122="7",BI122,0)</f>
        <v>0</v>
      </c>
      <c r="AF122" s="37">
        <f>IF(AQ122="2",BH122,0)</f>
        <v>0</v>
      </c>
      <c r="AG122" s="37">
        <f>IF(AQ122="2",BI122,0)</f>
        <v>0</v>
      </c>
      <c r="AH122" s="37">
        <f>IF(AQ122="0",BJ122,0)</f>
        <v>0</v>
      </c>
      <c r="AI122" s="31"/>
      <c r="AJ122" s="37">
        <f>IF(AN122=0,K122,0)</f>
        <v>0</v>
      </c>
      <c r="AK122" s="37">
        <f>IF(AN122=15,K122,0)</f>
        <v>0</v>
      </c>
      <c r="AL122" s="37">
        <f>IF(AN122=21,K122,0)</f>
        <v>0</v>
      </c>
      <c r="AN122" s="37">
        <v>15</v>
      </c>
      <c r="AO122" s="37">
        <f>H122*1</f>
        <v>0</v>
      </c>
      <c r="AP122" s="37">
        <f>H122*(1-1)</f>
        <v>0</v>
      </c>
      <c r="AQ122" s="38" t="s">
        <v>50</v>
      </c>
      <c r="AV122" s="37">
        <f>AW122+AX122</f>
        <v>0</v>
      </c>
      <c r="AW122" s="37">
        <f>G122*AO122</f>
        <v>0</v>
      </c>
      <c r="AX122" s="37">
        <f>G122*AP122</f>
        <v>0</v>
      </c>
      <c r="AY122" s="38" t="s">
        <v>158</v>
      </c>
      <c r="AZ122" s="38" t="s">
        <v>152</v>
      </c>
      <c r="BA122" s="31" t="s">
        <v>56</v>
      </c>
      <c r="BC122" s="37">
        <f>AW122+AX122</f>
        <v>0</v>
      </c>
      <c r="BD122" s="37">
        <f>H122/(100-BE122)*100</f>
        <v>0</v>
      </c>
      <c r="BE122" s="37">
        <v>0</v>
      </c>
      <c r="BF122" s="37">
        <f>122</f>
        <v>122</v>
      </c>
      <c r="BH122" s="37">
        <f>G122*AO122</f>
        <v>0</v>
      </c>
      <c r="BI122" s="37">
        <f>G122*AP122</f>
        <v>0</v>
      </c>
      <c r="BJ122" s="37">
        <f>G122*H122</f>
        <v>0</v>
      </c>
    </row>
    <row r="123" spans="3:7" ht="12.75">
      <c r="C123" s="39" t="s">
        <v>256</v>
      </c>
      <c r="D123" s="39"/>
      <c r="E123" s="39"/>
      <c r="G123" s="40">
        <v>533.1</v>
      </c>
    </row>
    <row r="124" spans="3:7" ht="12.75">
      <c r="C124" s="39" t="s">
        <v>257</v>
      </c>
      <c r="D124" s="39"/>
      <c r="E124" s="39"/>
      <c r="G124" s="40">
        <v>570</v>
      </c>
    </row>
    <row r="125" spans="3:7" ht="12.75">
      <c r="C125" s="39" t="s">
        <v>258</v>
      </c>
      <c r="D125" s="39"/>
      <c r="E125" s="39"/>
      <c r="G125" s="40">
        <v>233.9</v>
      </c>
    </row>
    <row r="126" spans="1:62" ht="12.75">
      <c r="A126" s="10" t="s">
        <v>259</v>
      </c>
      <c r="B126" s="10" t="s">
        <v>260</v>
      </c>
      <c r="C126" s="10" t="s">
        <v>261</v>
      </c>
      <c r="D126" s="10"/>
      <c r="E126" s="10"/>
      <c r="F126" s="10" t="s">
        <v>167</v>
      </c>
      <c r="G126" s="37">
        <v>566.35</v>
      </c>
      <c r="H126" s="37">
        <v>0</v>
      </c>
      <c r="I126" s="37">
        <f>G126*AO126</f>
        <v>0</v>
      </c>
      <c r="J126" s="37">
        <f>G126*AP126</f>
        <v>0</v>
      </c>
      <c r="K126" s="37">
        <f>G126*H126</f>
        <v>0</v>
      </c>
      <c r="L126" s="38" t="s">
        <v>54</v>
      </c>
      <c r="Z126" s="37">
        <f>IF(AQ126="5",BJ126,0)</f>
        <v>0</v>
      </c>
      <c r="AB126" s="37">
        <f>IF(AQ126="1",BH126,0)</f>
        <v>0</v>
      </c>
      <c r="AC126" s="37">
        <f>IF(AQ126="1",BI126,0)</f>
        <v>0</v>
      </c>
      <c r="AD126" s="37">
        <f>IF(AQ126="7",BH126,0)</f>
        <v>0</v>
      </c>
      <c r="AE126" s="37">
        <f>IF(AQ126="7",BI126,0)</f>
        <v>0</v>
      </c>
      <c r="AF126" s="37">
        <f>IF(AQ126="2",BH126,0)</f>
        <v>0</v>
      </c>
      <c r="AG126" s="37">
        <f>IF(AQ126="2",BI126,0)</f>
        <v>0</v>
      </c>
      <c r="AH126" s="37">
        <f>IF(AQ126="0",BJ126,0)</f>
        <v>0</v>
      </c>
      <c r="AI126" s="31"/>
      <c r="AJ126" s="37">
        <f>IF(AN126=0,K126,0)</f>
        <v>0</v>
      </c>
      <c r="AK126" s="37">
        <f>IF(AN126=15,K126,0)</f>
        <v>0</v>
      </c>
      <c r="AL126" s="37">
        <f>IF(AN126=21,K126,0)</f>
        <v>0</v>
      </c>
      <c r="AN126" s="37">
        <v>15</v>
      </c>
      <c r="AO126" s="37">
        <f>H126*1</f>
        <v>0</v>
      </c>
      <c r="AP126" s="37">
        <f>H126*(1-1)</f>
        <v>0</v>
      </c>
      <c r="AQ126" s="38" t="s">
        <v>50</v>
      </c>
      <c r="AV126" s="37">
        <f>AW126+AX126</f>
        <v>0</v>
      </c>
      <c r="AW126" s="37">
        <f>G126*AO126</f>
        <v>0</v>
      </c>
      <c r="AX126" s="37">
        <f>G126*AP126</f>
        <v>0</v>
      </c>
      <c r="AY126" s="38" t="s">
        <v>158</v>
      </c>
      <c r="AZ126" s="38" t="s">
        <v>152</v>
      </c>
      <c r="BA126" s="31" t="s">
        <v>56</v>
      </c>
      <c r="BC126" s="37">
        <f>AW126+AX126</f>
        <v>0</v>
      </c>
      <c r="BD126" s="37">
        <f>H126/(100-BE126)*100</f>
        <v>0</v>
      </c>
      <c r="BE126" s="37">
        <v>0</v>
      </c>
      <c r="BF126" s="37">
        <f>126</f>
        <v>126</v>
      </c>
      <c r="BH126" s="37">
        <f>G126*AO126</f>
        <v>0</v>
      </c>
      <c r="BI126" s="37">
        <f>G126*AP126</f>
        <v>0</v>
      </c>
      <c r="BJ126" s="37">
        <f>G126*H126</f>
        <v>0</v>
      </c>
    </row>
    <row r="127" spans="3:7" ht="12.75">
      <c r="C127" s="39" t="s">
        <v>262</v>
      </c>
      <c r="D127" s="39"/>
      <c r="E127" s="39"/>
      <c r="G127" s="40">
        <v>281.65</v>
      </c>
    </row>
    <row r="128" spans="3:7" ht="12.75">
      <c r="C128" s="39" t="s">
        <v>263</v>
      </c>
      <c r="D128" s="39"/>
      <c r="E128" s="39"/>
      <c r="G128" s="40">
        <v>237.2</v>
      </c>
    </row>
    <row r="129" spans="3:7" ht="12.75">
      <c r="C129" s="39" t="s">
        <v>264</v>
      </c>
      <c r="D129" s="39"/>
      <c r="E129" s="39"/>
      <c r="G129" s="40">
        <v>47.5</v>
      </c>
    </row>
    <row r="130" spans="1:62" ht="12.75">
      <c r="A130" s="10" t="s">
        <v>265</v>
      </c>
      <c r="B130" s="10" t="s">
        <v>266</v>
      </c>
      <c r="C130" s="10" t="s">
        <v>267</v>
      </c>
      <c r="D130" s="10"/>
      <c r="E130" s="10"/>
      <c r="F130" s="10" t="s">
        <v>117</v>
      </c>
      <c r="G130" s="37">
        <v>1730</v>
      </c>
      <c r="H130" s="37">
        <v>0</v>
      </c>
      <c r="I130" s="37">
        <f>G130*AO130</f>
        <v>0</v>
      </c>
      <c r="J130" s="37">
        <f>G130*AP130</f>
        <v>0</v>
      </c>
      <c r="K130" s="37">
        <f>G130*H130</f>
        <v>0</v>
      </c>
      <c r="L130" s="38" t="s">
        <v>54</v>
      </c>
      <c r="Z130" s="37">
        <f>IF(AQ130="5",BJ130,0)</f>
        <v>0</v>
      </c>
      <c r="AB130" s="37">
        <f>IF(AQ130="1",BH130,0)</f>
        <v>0</v>
      </c>
      <c r="AC130" s="37">
        <f>IF(AQ130="1",BI130,0)</f>
        <v>0</v>
      </c>
      <c r="AD130" s="37">
        <f>IF(AQ130="7",BH130,0)</f>
        <v>0</v>
      </c>
      <c r="AE130" s="37">
        <f>IF(AQ130="7",BI130,0)</f>
        <v>0</v>
      </c>
      <c r="AF130" s="37">
        <f>IF(AQ130="2",BH130,0)</f>
        <v>0</v>
      </c>
      <c r="AG130" s="37">
        <f>IF(AQ130="2",BI130,0)</f>
        <v>0</v>
      </c>
      <c r="AH130" s="37">
        <f>IF(AQ130="0",BJ130,0)</f>
        <v>0</v>
      </c>
      <c r="AI130" s="31"/>
      <c r="AJ130" s="37">
        <f>IF(AN130=0,K130,0)</f>
        <v>0</v>
      </c>
      <c r="AK130" s="37">
        <f>IF(AN130=15,K130,0)</f>
        <v>0</v>
      </c>
      <c r="AL130" s="37">
        <f>IF(AN130=21,K130,0)</f>
        <v>0</v>
      </c>
      <c r="AN130" s="37">
        <v>15</v>
      </c>
      <c r="AO130" s="37">
        <f>H130*0.920970873786408</f>
        <v>0</v>
      </c>
      <c r="AP130" s="37">
        <f>H130*(1-0.920970873786408)</f>
        <v>0</v>
      </c>
      <c r="AQ130" s="38" t="s">
        <v>50</v>
      </c>
      <c r="AV130" s="37">
        <f>AW130+AX130</f>
        <v>0</v>
      </c>
      <c r="AW130" s="37">
        <f>G130*AO130</f>
        <v>0</v>
      </c>
      <c r="AX130" s="37">
        <f>G130*AP130</f>
        <v>0</v>
      </c>
      <c r="AY130" s="38" t="s">
        <v>158</v>
      </c>
      <c r="AZ130" s="38" t="s">
        <v>152</v>
      </c>
      <c r="BA130" s="31" t="s">
        <v>56</v>
      </c>
      <c r="BC130" s="37">
        <f>AW130+AX130</f>
        <v>0</v>
      </c>
      <c r="BD130" s="37">
        <f>H130/(100-BE130)*100</f>
        <v>0</v>
      </c>
      <c r="BE130" s="37">
        <v>0</v>
      </c>
      <c r="BF130" s="37">
        <f>130</f>
        <v>130</v>
      </c>
      <c r="BH130" s="37">
        <f>G130*AO130</f>
        <v>0</v>
      </c>
      <c r="BI130" s="37">
        <f>G130*AP130</f>
        <v>0</v>
      </c>
      <c r="BJ130" s="37">
        <f>G130*H130</f>
        <v>0</v>
      </c>
    </row>
    <row r="131" spans="3:7" ht="12.75">
      <c r="C131" s="39" t="s">
        <v>268</v>
      </c>
      <c r="D131" s="39"/>
      <c r="E131" s="39"/>
      <c r="G131" s="40">
        <v>1730</v>
      </c>
    </row>
    <row r="132" spans="1:62" ht="12.75">
      <c r="A132" s="10" t="s">
        <v>269</v>
      </c>
      <c r="B132" s="10" t="s">
        <v>270</v>
      </c>
      <c r="C132" s="10" t="s">
        <v>271</v>
      </c>
      <c r="D132" s="10"/>
      <c r="E132" s="10"/>
      <c r="F132" s="10" t="s">
        <v>145</v>
      </c>
      <c r="G132" s="37">
        <v>81.871</v>
      </c>
      <c r="H132" s="37">
        <v>0</v>
      </c>
      <c r="I132" s="37">
        <f>G132*AO132</f>
        <v>0</v>
      </c>
      <c r="J132" s="37">
        <f>G132*AP132</f>
        <v>0</v>
      </c>
      <c r="K132" s="37">
        <f>G132*H132</f>
        <v>0</v>
      </c>
      <c r="L132" s="38" t="s">
        <v>54</v>
      </c>
      <c r="Z132" s="37">
        <f>IF(AQ132="5",BJ132,0)</f>
        <v>0</v>
      </c>
      <c r="AB132" s="37">
        <f>IF(AQ132="1",BH132,0)</f>
        <v>0</v>
      </c>
      <c r="AC132" s="37">
        <f>IF(AQ132="1",BI132,0)</f>
        <v>0</v>
      </c>
      <c r="AD132" s="37">
        <f>IF(AQ132="7",BH132,0)</f>
        <v>0</v>
      </c>
      <c r="AE132" s="37">
        <f>IF(AQ132="7",BI132,0)</f>
        <v>0</v>
      </c>
      <c r="AF132" s="37">
        <f>IF(AQ132="2",BH132,0)</f>
        <v>0</v>
      </c>
      <c r="AG132" s="37">
        <f>IF(AQ132="2",BI132,0)</f>
        <v>0</v>
      </c>
      <c r="AH132" s="37">
        <f>IF(AQ132="0",BJ132,0)</f>
        <v>0</v>
      </c>
      <c r="AI132" s="31"/>
      <c r="AJ132" s="37">
        <f>IF(AN132=0,K132,0)</f>
        <v>0</v>
      </c>
      <c r="AK132" s="37">
        <f>IF(AN132=15,K132,0)</f>
        <v>0</v>
      </c>
      <c r="AL132" s="37">
        <f>IF(AN132=21,K132,0)</f>
        <v>0</v>
      </c>
      <c r="AN132" s="37">
        <v>15</v>
      </c>
      <c r="AO132" s="37">
        <f>H132*0</f>
        <v>0</v>
      </c>
      <c r="AP132" s="37">
        <f>H132*(1-0)</f>
        <v>0</v>
      </c>
      <c r="AQ132" s="38" t="s">
        <v>68</v>
      </c>
      <c r="AV132" s="37">
        <f>AW132+AX132</f>
        <v>0</v>
      </c>
      <c r="AW132" s="37">
        <f>G132*AO132</f>
        <v>0</v>
      </c>
      <c r="AX132" s="37">
        <f>G132*AP132</f>
        <v>0</v>
      </c>
      <c r="AY132" s="38" t="s">
        <v>158</v>
      </c>
      <c r="AZ132" s="38" t="s">
        <v>152</v>
      </c>
      <c r="BA132" s="31" t="s">
        <v>56</v>
      </c>
      <c r="BC132" s="37">
        <f>AW132+AX132</f>
        <v>0</v>
      </c>
      <c r="BD132" s="37">
        <f>H132/(100-BE132)*100</f>
        <v>0</v>
      </c>
      <c r="BE132" s="37">
        <v>0</v>
      </c>
      <c r="BF132" s="37">
        <f>132</f>
        <v>132</v>
      </c>
      <c r="BH132" s="37">
        <f>G132*AO132</f>
        <v>0</v>
      </c>
      <c r="BI132" s="37">
        <f>G132*AP132</f>
        <v>0</v>
      </c>
      <c r="BJ132" s="37">
        <f>G132*H132</f>
        <v>0</v>
      </c>
    </row>
    <row r="133" spans="3:7" ht="12.75">
      <c r="C133" s="39" t="s">
        <v>272</v>
      </c>
      <c r="D133" s="39"/>
      <c r="E133" s="39"/>
      <c r="G133" s="40">
        <v>81.871</v>
      </c>
    </row>
    <row r="134" spans="1:47" ht="12.75">
      <c r="A134" s="41"/>
      <c r="B134" s="42" t="s">
        <v>273</v>
      </c>
      <c r="C134" s="42" t="s">
        <v>274</v>
      </c>
      <c r="D134" s="42"/>
      <c r="E134" s="42"/>
      <c r="F134" s="41" t="s">
        <v>4</v>
      </c>
      <c r="G134" s="41" t="s">
        <v>4</v>
      </c>
      <c r="H134" s="41" t="s">
        <v>4</v>
      </c>
      <c r="I134" s="36">
        <f>SUM(I135:I157)</f>
        <v>0</v>
      </c>
      <c r="J134" s="36">
        <f>SUM(J135:J157)</f>
        <v>0</v>
      </c>
      <c r="K134" s="36">
        <f>SUM(K135:K157)</f>
        <v>0</v>
      </c>
      <c r="L134" s="31"/>
      <c r="AI134" s="31"/>
      <c r="AS134" s="36">
        <f>SUM(AJ135:AJ157)</f>
        <v>0</v>
      </c>
      <c r="AT134" s="36">
        <f>SUM(AK135:AK157)</f>
        <v>0</v>
      </c>
      <c r="AU134" s="36">
        <f>SUM(AL135:AL157)</f>
        <v>0</v>
      </c>
    </row>
    <row r="135" spans="1:62" ht="12.75">
      <c r="A135" s="10" t="s">
        <v>275</v>
      </c>
      <c r="B135" s="10" t="s">
        <v>276</v>
      </c>
      <c r="C135" s="10" t="s">
        <v>277</v>
      </c>
      <c r="D135" s="10"/>
      <c r="E135" s="10"/>
      <c r="F135" s="10" t="s">
        <v>117</v>
      </c>
      <c r="G135" s="37">
        <v>402.84</v>
      </c>
      <c r="H135" s="37">
        <v>0</v>
      </c>
      <c r="I135" s="37">
        <f>G135*AO135</f>
        <v>0</v>
      </c>
      <c r="J135" s="37">
        <f>G135*AP135</f>
        <v>0</v>
      </c>
      <c r="K135" s="37">
        <f>G135*H135</f>
        <v>0</v>
      </c>
      <c r="L135" s="38" t="s">
        <v>54</v>
      </c>
      <c r="Z135" s="37">
        <f>IF(AQ135="5",BJ135,0)</f>
        <v>0</v>
      </c>
      <c r="AB135" s="37">
        <f>IF(AQ135="1",BH135,0)</f>
        <v>0</v>
      </c>
      <c r="AC135" s="37">
        <f>IF(AQ135="1",BI135,0)</f>
        <v>0</v>
      </c>
      <c r="AD135" s="37">
        <f>IF(AQ135="7",BH135,0)</f>
        <v>0</v>
      </c>
      <c r="AE135" s="37">
        <f>IF(AQ135="7",BI135,0)</f>
        <v>0</v>
      </c>
      <c r="AF135" s="37">
        <f>IF(AQ135="2",BH135,0)</f>
        <v>0</v>
      </c>
      <c r="AG135" s="37">
        <f>IF(AQ135="2",BI135,0)</f>
        <v>0</v>
      </c>
      <c r="AH135" s="37">
        <f>IF(AQ135="0",BJ135,0)</f>
        <v>0</v>
      </c>
      <c r="AI135" s="31"/>
      <c r="AJ135" s="37">
        <f>IF(AN135=0,K135,0)</f>
        <v>0</v>
      </c>
      <c r="AK135" s="37">
        <f>IF(AN135=15,K135,0)</f>
        <v>0</v>
      </c>
      <c r="AL135" s="37">
        <f>IF(AN135=21,K135,0)</f>
        <v>0</v>
      </c>
      <c r="AN135" s="37">
        <v>15</v>
      </c>
      <c r="AO135" s="37">
        <f>H135*0.0793991585492272</f>
        <v>0</v>
      </c>
      <c r="AP135" s="37">
        <f>H135*(1-0.0793991585492272)</f>
        <v>0</v>
      </c>
      <c r="AQ135" s="38" t="s">
        <v>80</v>
      </c>
      <c r="AV135" s="37">
        <f>AW135+AX135</f>
        <v>0</v>
      </c>
      <c r="AW135" s="37">
        <f>G135*AO135</f>
        <v>0</v>
      </c>
      <c r="AX135" s="37">
        <f>G135*AP135</f>
        <v>0</v>
      </c>
      <c r="AY135" s="38" t="s">
        <v>278</v>
      </c>
      <c r="AZ135" s="38" t="s">
        <v>279</v>
      </c>
      <c r="BA135" s="31" t="s">
        <v>56</v>
      </c>
      <c r="BC135" s="37">
        <f>AW135+AX135</f>
        <v>0</v>
      </c>
      <c r="BD135" s="37">
        <f>H135/(100-BE135)*100</f>
        <v>0</v>
      </c>
      <c r="BE135" s="37">
        <v>0</v>
      </c>
      <c r="BF135" s="37">
        <f>135</f>
        <v>135</v>
      </c>
      <c r="BH135" s="37">
        <f>G135*AO135</f>
        <v>0</v>
      </c>
      <c r="BI135" s="37">
        <f>G135*AP135</f>
        <v>0</v>
      </c>
      <c r="BJ135" s="37">
        <f>G135*H135</f>
        <v>0</v>
      </c>
    </row>
    <row r="136" spans="3:7" ht="12.75">
      <c r="C136" s="39" t="s">
        <v>280</v>
      </c>
      <c r="D136" s="39"/>
      <c r="E136" s="39"/>
      <c r="G136" s="40">
        <v>402.84</v>
      </c>
    </row>
    <row r="137" spans="1:62" ht="12.75">
      <c r="A137" s="10" t="s">
        <v>281</v>
      </c>
      <c r="B137" s="10" t="s">
        <v>282</v>
      </c>
      <c r="C137" s="10" t="s">
        <v>283</v>
      </c>
      <c r="D137" s="10"/>
      <c r="E137" s="10"/>
      <c r="F137" s="10" t="s">
        <v>117</v>
      </c>
      <c r="G137" s="37">
        <v>89.04</v>
      </c>
      <c r="H137" s="37">
        <v>0</v>
      </c>
      <c r="I137" s="37">
        <f>G137*AO137</f>
        <v>0</v>
      </c>
      <c r="J137" s="37">
        <f>G137*AP137</f>
        <v>0</v>
      </c>
      <c r="K137" s="37">
        <f>G137*H137</f>
        <v>0</v>
      </c>
      <c r="L137" s="38" t="s">
        <v>54</v>
      </c>
      <c r="Z137" s="37">
        <f>IF(AQ137="5",BJ137,0)</f>
        <v>0</v>
      </c>
      <c r="AB137" s="37">
        <f>IF(AQ137="1",BH137,0)</f>
        <v>0</v>
      </c>
      <c r="AC137" s="37">
        <f>IF(AQ137="1",BI137,0)</f>
        <v>0</v>
      </c>
      <c r="AD137" s="37">
        <f>IF(AQ137="7",BH137,0)</f>
        <v>0</v>
      </c>
      <c r="AE137" s="37">
        <f>IF(AQ137="7",BI137,0)</f>
        <v>0</v>
      </c>
      <c r="AF137" s="37">
        <f>IF(AQ137="2",BH137,0)</f>
        <v>0</v>
      </c>
      <c r="AG137" s="37">
        <f>IF(AQ137="2",BI137,0)</f>
        <v>0</v>
      </c>
      <c r="AH137" s="37">
        <f>IF(AQ137="0",BJ137,0)</f>
        <v>0</v>
      </c>
      <c r="AI137" s="31"/>
      <c r="AJ137" s="37">
        <f>IF(AN137=0,K137,0)</f>
        <v>0</v>
      </c>
      <c r="AK137" s="37">
        <f>IF(AN137=15,K137,0)</f>
        <v>0</v>
      </c>
      <c r="AL137" s="37">
        <f>IF(AN137=21,K137,0)</f>
        <v>0</v>
      </c>
      <c r="AN137" s="37">
        <v>15</v>
      </c>
      <c r="AO137" s="37">
        <f>H137*0</f>
        <v>0</v>
      </c>
      <c r="AP137" s="37">
        <f>H137*(1-0)</f>
        <v>0</v>
      </c>
      <c r="AQ137" s="38" t="s">
        <v>80</v>
      </c>
      <c r="AV137" s="37">
        <f>AW137+AX137</f>
        <v>0</v>
      </c>
      <c r="AW137" s="37">
        <f>G137*AO137</f>
        <v>0</v>
      </c>
      <c r="AX137" s="37">
        <f>G137*AP137</f>
        <v>0</v>
      </c>
      <c r="AY137" s="38" t="s">
        <v>278</v>
      </c>
      <c r="AZ137" s="38" t="s">
        <v>279</v>
      </c>
      <c r="BA137" s="31" t="s">
        <v>56</v>
      </c>
      <c r="BC137" s="37">
        <f>AW137+AX137</f>
        <v>0</v>
      </c>
      <c r="BD137" s="37">
        <f>H137/(100-BE137)*100</f>
        <v>0</v>
      </c>
      <c r="BE137" s="37">
        <v>0</v>
      </c>
      <c r="BF137" s="37">
        <f>137</f>
        <v>137</v>
      </c>
      <c r="BH137" s="37">
        <f>G137*AO137</f>
        <v>0</v>
      </c>
      <c r="BI137" s="37">
        <f>G137*AP137</f>
        <v>0</v>
      </c>
      <c r="BJ137" s="37">
        <f>G137*H137</f>
        <v>0</v>
      </c>
    </row>
    <row r="138" spans="3:7" ht="12.75">
      <c r="C138" s="39" t="s">
        <v>284</v>
      </c>
      <c r="D138" s="39"/>
      <c r="E138" s="39"/>
      <c r="G138" s="40">
        <v>89.04</v>
      </c>
    </row>
    <row r="139" spans="1:62" ht="12.75">
      <c r="A139" s="10" t="s">
        <v>127</v>
      </c>
      <c r="B139" s="10" t="s">
        <v>285</v>
      </c>
      <c r="C139" s="10" t="s">
        <v>286</v>
      </c>
      <c r="D139" s="10"/>
      <c r="E139" s="10"/>
      <c r="F139" s="10" t="s">
        <v>117</v>
      </c>
      <c r="G139" s="37">
        <v>212.04</v>
      </c>
      <c r="H139" s="37">
        <v>0</v>
      </c>
      <c r="I139" s="37">
        <f>G139*AO139</f>
        <v>0</v>
      </c>
      <c r="J139" s="37">
        <f>G139*AP139</f>
        <v>0</v>
      </c>
      <c r="K139" s="37">
        <f>G139*H139</f>
        <v>0</v>
      </c>
      <c r="L139" s="38" t="s">
        <v>54</v>
      </c>
      <c r="Z139" s="37">
        <f>IF(AQ139="5",BJ139,0)</f>
        <v>0</v>
      </c>
      <c r="AB139" s="37">
        <f>IF(AQ139="1",BH139,0)</f>
        <v>0</v>
      </c>
      <c r="AC139" s="37">
        <f>IF(AQ139="1",BI139,0)</f>
        <v>0</v>
      </c>
      <c r="AD139" s="37">
        <f>IF(AQ139="7",BH139,0)</f>
        <v>0</v>
      </c>
      <c r="AE139" s="37">
        <f>IF(AQ139="7",BI139,0)</f>
        <v>0</v>
      </c>
      <c r="AF139" s="37">
        <f>IF(AQ139="2",BH139,0)</f>
        <v>0</v>
      </c>
      <c r="AG139" s="37">
        <f>IF(AQ139="2",BI139,0)</f>
        <v>0</v>
      </c>
      <c r="AH139" s="37">
        <f>IF(AQ139="0",BJ139,0)</f>
        <v>0</v>
      </c>
      <c r="AI139" s="31"/>
      <c r="AJ139" s="37">
        <f>IF(AN139=0,K139,0)</f>
        <v>0</v>
      </c>
      <c r="AK139" s="37">
        <f>IF(AN139=15,K139,0)</f>
        <v>0</v>
      </c>
      <c r="AL139" s="37">
        <f>IF(AN139=21,K139,0)</f>
        <v>0</v>
      </c>
      <c r="AN139" s="37">
        <v>15</v>
      </c>
      <c r="AO139" s="37">
        <f>H139*0.823648840810071</f>
        <v>0</v>
      </c>
      <c r="AP139" s="37">
        <f>H139*(1-0.823648840810071)</f>
        <v>0</v>
      </c>
      <c r="AQ139" s="38" t="s">
        <v>80</v>
      </c>
      <c r="AV139" s="37">
        <f>AW139+AX139</f>
        <v>0</v>
      </c>
      <c r="AW139" s="37">
        <f>G139*AO139</f>
        <v>0</v>
      </c>
      <c r="AX139" s="37">
        <f>G139*AP139</f>
        <v>0</v>
      </c>
      <c r="AY139" s="38" t="s">
        <v>278</v>
      </c>
      <c r="AZ139" s="38" t="s">
        <v>279</v>
      </c>
      <c r="BA139" s="31" t="s">
        <v>56</v>
      </c>
      <c r="BC139" s="37">
        <f>AW139+AX139</f>
        <v>0</v>
      </c>
      <c r="BD139" s="37">
        <f>H139/(100-BE139)*100</f>
        <v>0</v>
      </c>
      <c r="BE139" s="37">
        <v>0</v>
      </c>
      <c r="BF139" s="37">
        <f>139</f>
        <v>139</v>
      </c>
      <c r="BH139" s="37">
        <f>G139*AO139</f>
        <v>0</v>
      </c>
      <c r="BI139" s="37">
        <f>G139*AP139</f>
        <v>0</v>
      </c>
      <c r="BJ139" s="37">
        <f>G139*H139</f>
        <v>0</v>
      </c>
    </row>
    <row r="140" spans="3:7" ht="12.75">
      <c r="C140" s="39" t="s">
        <v>287</v>
      </c>
      <c r="D140" s="39"/>
      <c r="E140" s="39"/>
      <c r="G140" s="40">
        <v>212.04</v>
      </c>
    </row>
    <row r="141" spans="1:62" ht="12.75">
      <c r="A141" s="10" t="s">
        <v>288</v>
      </c>
      <c r="B141" s="10" t="s">
        <v>174</v>
      </c>
      <c r="C141" s="10" t="s">
        <v>289</v>
      </c>
      <c r="D141" s="10"/>
      <c r="E141" s="10"/>
      <c r="F141" s="10" t="s">
        <v>117</v>
      </c>
      <c r="G141" s="37">
        <v>212.04</v>
      </c>
      <c r="H141" s="37">
        <v>0</v>
      </c>
      <c r="I141" s="37">
        <f>G141*AO141</f>
        <v>0</v>
      </c>
      <c r="J141" s="37">
        <f>G141*AP141</f>
        <v>0</v>
      </c>
      <c r="K141" s="37">
        <f>G141*H141</f>
        <v>0</v>
      </c>
      <c r="L141" s="38" t="s">
        <v>54</v>
      </c>
      <c r="Z141" s="37">
        <f>IF(AQ141="5",BJ141,0)</f>
        <v>0</v>
      </c>
      <c r="AB141" s="37">
        <f>IF(AQ141="1",BH141,0)</f>
        <v>0</v>
      </c>
      <c r="AC141" s="37">
        <f>IF(AQ141="1",BI141,0)</f>
        <v>0</v>
      </c>
      <c r="AD141" s="37">
        <f>IF(AQ141="7",BH141,0)</f>
        <v>0</v>
      </c>
      <c r="AE141" s="37">
        <f>IF(AQ141="7",BI141,0)</f>
        <v>0</v>
      </c>
      <c r="AF141" s="37">
        <f>IF(AQ141="2",BH141,0)</f>
        <v>0</v>
      </c>
      <c r="AG141" s="37">
        <f>IF(AQ141="2",BI141,0)</f>
        <v>0</v>
      </c>
      <c r="AH141" s="37">
        <f>IF(AQ141="0",BJ141,0)</f>
        <v>0</v>
      </c>
      <c r="AI141" s="31"/>
      <c r="AJ141" s="37">
        <f>IF(AN141=0,K141,0)</f>
        <v>0</v>
      </c>
      <c r="AK141" s="37">
        <f>IF(AN141=15,K141,0)</f>
        <v>0</v>
      </c>
      <c r="AL141" s="37">
        <f>IF(AN141=21,K141,0)</f>
        <v>0</v>
      </c>
      <c r="AN141" s="37">
        <v>15</v>
      </c>
      <c r="AO141" s="37">
        <f>H141*0.619635949943117</f>
        <v>0</v>
      </c>
      <c r="AP141" s="37">
        <f>H141*(1-0.619635949943117)</f>
        <v>0</v>
      </c>
      <c r="AQ141" s="38" t="s">
        <v>80</v>
      </c>
      <c r="AV141" s="37">
        <f>AW141+AX141</f>
        <v>0</v>
      </c>
      <c r="AW141" s="37">
        <f>G141*AO141</f>
        <v>0</v>
      </c>
      <c r="AX141" s="37">
        <f>G141*AP141</f>
        <v>0</v>
      </c>
      <c r="AY141" s="38" t="s">
        <v>278</v>
      </c>
      <c r="AZ141" s="38" t="s">
        <v>279</v>
      </c>
      <c r="BA141" s="31" t="s">
        <v>56</v>
      </c>
      <c r="BC141" s="37">
        <f>AW141+AX141</f>
        <v>0</v>
      </c>
      <c r="BD141" s="37">
        <f>H141/(100-BE141)*100</f>
        <v>0</v>
      </c>
      <c r="BE141" s="37">
        <v>0</v>
      </c>
      <c r="BF141" s="37">
        <f>141</f>
        <v>141</v>
      </c>
      <c r="BH141" s="37">
        <f>G141*AO141</f>
        <v>0</v>
      </c>
      <c r="BI141" s="37">
        <f>G141*AP141</f>
        <v>0</v>
      </c>
      <c r="BJ141" s="37">
        <f>G141*H141</f>
        <v>0</v>
      </c>
    </row>
    <row r="142" spans="3:7" ht="12.75">
      <c r="C142" s="39" t="s">
        <v>290</v>
      </c>
      <c r="D142" s="39"/>
      <c r="E142" s="39"/>
      <c r="G142" s="40">
        <v>212.04</v>
      </c>
    </row>
    <row r="143" spans="1:62" ht="12.75">
      <c r="A143" s="10" t="s">
        <v>291</v>
      </c>
      <c r="B143" s="10" t="s">
        <v>292</v>
      </c>
      <c r="C143" s="10" t="s">
        <v>293</v>
      </c>
      <c r="D143" s="10"/>
      <c r="E143" s="10"/>
      <c r="F143" s="10" t="s">
        <v>117</v>
      </c>
      <c r="G143" s="37">
        <v>33.12</v>
      </c>
      <c r="H143" s="37">
        <v>0</v>
      </c>
      <c r="I143" s="37">
        <f>G143*AO143</f>
        <v>0</v>
      </c>
      <c r="J143" s="37">
        <f>G143*AP143</f>
        <v>0</v>
      </c>
      <c r="K143" s="37">
        <f>G143*H143</f>
        <v>0</v>
      </c>
      <c r="L143" s="38" t="s">
        <v>54</v>
      </c>
      <c r="Z143" s="37">
        <f>IF(AQ143="5",BJ143,0)</f>
        <v>0</v>
      </c>
      <c r="AB143" s="37">
        <f>IF(AQ143="1",BH143,0)</f>
        <v>0</v>
      </c>
      <c r="AC143" s="37">
        <f>IF(AQ143="1",BI143,0)</f>
        <v>0</v>
      </c>
      <c r="AD143" s="37">
        <f>IF(AQ143="7",BH143,0)</f>
        <v>0</v>
      </c>
      <c r="AE143" s="37">
        <f>IF(AQ143="7",BI143,0)</f>
        <v>0</v>
      </c>
      <c r="AF143" s="37">
        <f>IF(AQ143="2",BH143,0)</f>
        <v>0</v>
      </c>
      <c r="AG143" s="37">
        <f>IF(AQ143="2",BI143,0)</f>
        <v>0</v>
      </c>
      <c r="AH143" s="37">
        <f>IF(AQ143="0",BJ143,0)</f>
        <v>0</v>
      </c>
      <c r="AI143" s="31"/>
      <c r="AJ143" s="37">
        <f>IF(AN143=0,K143,0)</f>
        <v>0</v>
      </c>
      <c r="AK143" s="37">
        <f>IF(AN143=15,K143,0)</f>
        <v>0</v>
      </c>
      <c r="AL143" s="37">
        <f>IF(AN143=21,K143,0)</f>
        <v>0</v>
      </c>
      <c r="AN143" s="37">
        <v>15</v>
      </c>
      <c r="AO143" s="37">
        <f>H143*0.541361538461538</f>
        <v>0</v>
      </c>
      <c r="AP143" s="37">
        <f>H143*(1-0.541361538461538)</f>
        <v>0</v>
      </c>
      <c r="AQ143" s="38" t="s">
        <v>80</v>
      </c>
      <c r="AV143" s="37">
        <f>AW143+AX143</f>
        <v>0</v>
      </c>
      <c r="AW143" s="37">
        <f>G143*AO143</f>
        <v>0</v>
      </c>
      <c r="AX143" s="37">
        <f>G143*AP143</f>
        <v>0</v>
      </c>
      <c r="AY143" s="38" t="s">
        <v>278</v>
      </c>
      <c r="AZ143" s="38" t="s">
        <v>279</v>
      </c>
      <c r="BA143" s="31" t="s">
        <v>56</v>
      </c>
      <c r="BC143" s="37">
        <f>AW143+AX143</f>
        <v>0</v>
      </c>
      <c r="BD143" s="37">
        <f>H143/(100-BE143)*100</f>
        <v>0</v>
      </c>
      <c r="BE143" s="37">
        <v>0</v>
      </c>
      <c r="BF143" s="37">
        <f>143</f>
        <v>143</v>
      </c>
      <c r="BH143" s="37">
        <f>G143*AO143</f>
        <v>0</v>
      </c>
      <c r="BI143" s="37">
        <f>G143*AP143</f>
        <v>0</v>
      </c>
      <c r="BJ143" s="37">
        <f>G143*H143</f>
        <v>0</v>
      </c>
    </row>
    <row r="144" spans="3:7" ht="12.75">
      <c r="C144" s="39" t="s">
        <v>294</v>
      </c>
      <c r="D144" s="39"/>
      <c r="E144" s="39"/>
      <c r="G144" s="40">
        <v>33.12</v>
      </c>
    </row>
    <row r="145" spans="1:62" ht="12.75">
      <c r="A145" s="10" t="s">
        <v>295</v>
      </c>
      <c r="B145" s="10" t="s">
        <v>296</v>
      </c>
      <c r="C145" s="10" t="s">
        <v>297</v>
      </c>
      <c r="D145" s="10"/>
      <c r="E145" s="10"/>
      <c r="F145" s="10" t="s">
        <v>117</v>
      </c>
      <c r="G145" s="37">
        <v>176.4</v>
      </c>
      <c r="H145" s="37">
        <v>0</v>
      </c>
      <c r="I145" s="37">
        <f>G145*AO145</f>
        <v>0</v>
      </c>
      <c r="J145" s="37">
        <f>G145*AP145</f>
        <v>0</v>
      </c>
      <c r="K145" s="37">
        <f>G145*H145</f>
        <v>0</v>
      </c>
      <c r="L145" s="38" t="s">
        <v>54</v>
      </c>
      <c r="Z145" s="37">
        <f>IF(AQ145="5",BJ145,0)</f>
        <v>0</v>
      </c>
      <c r="AB145" s="37">
        <f>IF(AQ145="1",BH145,0)</f>
        <v>0</v>
      </c>
      <c r="AC145" s="37">
        <f>IF(AQ145="1",BI145,0)</f>
        <v>0</v>
      </c>
      <c r="AD145" s="37">
        <f>IF(AQ145="7",BH145,0)</f>
        <v>0</v>
      </c>
      <c r="AE145" s="37">
        <f>IF(AQ145="7",BI145,0)</f>
        <v>0</v>
      </c>
      <c r="AF145" s="37">
        <f>IF(AQ145="2",BH145,0)</f>
        <v>0</v>
      </c>
      <c r="AG145" s="37">
        <f>IF(AQ145="2",BI145,0)</f>
        <v>0</v>
      </c>
      <c r="AH145" s="37">
        <f>IF(AQ145="0",BJ145,0)</f>
        <v>0</v>
      </c>
      <c r="AI145" s="31"/>
      <c r="AJ145" s="37">
        <f>IF(AN145=0,K145,0)</f>
        <v>0</v>
      </c>
      <c r="AK145" s="37">
        <f>IF(AN145=15,K145,0)</f>
        <v>0</v>
      </c>
      <c r="AL145" s="37">
        <f>IF(AN145=21,K145,0)</f>
        <v>0</v>
      </c>
      <c r="AN145" s="37">
        <v>15</v>
      </c>
      <c r="AO145" s="37">
        <f>H145*0.686065727699531</f>
        <v>0</v>
      </c>
      <c r="AP145" s="37">
        <f>H145*(1-0.686065727699531)</f>
        <v>0</v>
      </c>
      <c r="AQ145" s="38" t="s">
        <v>80</v>
      </c>
      <c r="AV145" s="37">
        <f>AW145+AX145</f>
        <v>0</v>
      </c>
      <c r="AW145" s="37">
        <f>G145*AO145</f>
        <v>0</v>
      </c>
      <c r="AX145" s="37">
        <f>G145*AP145</f>
        <v>0</v>
      </c>
      <c r="AY145" s="38" t="s">
        <v>278</v>
      </c>
      <c r="AZ145" s="38" t="s">
        <v>279</v>
      </c>
      <c r="BA145" s="31" t="s">
        <v>56</v>
      </c>
      <c r="BC145" s="37">
        <f>AW145+AX145</f>
        <v>0</v>
      </c>
      <c r="BD145" s="37">
        <f>H145/(100-BE145)*100</f>
        <v>0</v>
      </c>
      <c r="BE145" s="37">
        <v>0</v>
      </c>
      <c r="BF145" s="37">
        <f>145</f>
        <v>145</v>
      </c>
      <c r="BH145" s="37">
        <f>G145*AO145</f>
        <v>0</v>
      </c>
      <c r="BI145" s="37">
        <f>G145*AP145</f>
        <v>0</v>
      </c>
      <c r="BJ145" s="37">
        <f>G145*H145</f>
        <v>0</v>
      </c>
    </row>
    <row r="146" spans="3:7" ht="12.75">
      <c r="C146" s="39" t="s">
        <v>298</v>
      </c>
      <c r="D146" s="39"/>
      <c r="E146" s="39"/>
      <c r="G146" s="40">
        <v>176.4</v>
      </c>
    </row>
    <row r="147" spans="1:62" ht="12.75">
      <c r="A147" s="10" t="s">
        <v>299</v>
      </c>
      <c r="B147" s="10" t="s">
        <v>300</v>
      </c>
      <c r="C147" s="10" t="s">
        <v>301</v>
      </c>
      <c r="D147" s="10"/>
      <c r="E147" s="10"/>
      <c r="F147" s="10" t="s">
        <v>117</v>
      </c>
      <c r="G147" s="37">
        <v>14.4</v>
      </c>
      <c r="H147" s="37">
        <v>0</v>
      </c>
      <c r="I147" s="37">
        <f>G147*AO147</f>
        <v>0</v>
      </c>
      <c r="J147" s="37">
        <f>G147*AP147</f>
        <v>0</v>
      </c>
      <c r="K147" s="37">
        <f>G147*H147</f>
        <v>0</v>
      </c>
      <c r="L147" s="38" t="s">
        <v>54</v>
      </c>
      <c r="Z147" s="37">
        <f>IF(AQ147="5",BJ147,0)</f>
        <v>0</v>
      </c>
      <c r="AB147" s="37">
        <f>IF(AQ147="1",BH147,0)</f>
        <v>0</v>
      </c>
      <c r="AC147" s="37">
        <f>IF(AQ147="1",BI147,0)</f>
        <v>0</v>
      </c>
      <c r="AD147" s="37">
        <f>IF(AQ147="7",BH147,0)</f>
        <v>0</v>
      </c>
      <c r="AE147" s="37">
        <f>IF(AQ147="7",BI147,0)</f>
        <v>0</v>
      </c>
      <c r="AF147" s="37">
        <f>IF(AQ147="2",BH147,0)</f>
        <v>0</v>
      </c>
      <c r="AG147" s="37">
        <f>IF(AQ147="2",BI147,0)</f>
        <v>0</v>
      </c>
      <c r="AH147" s="37">
        <f>IF(AQ147="0",BJ147,0)</f>
        <v>0</v>
      </c>
      <c r="AI147" s="31"/>
      <c r="AJ147" s="37">
        <f>IF(AN147=0,K147,0)</f>
        <v>0</v>
      </c>
      <c r="AK147" s="37">
        <f>IF(AN147=15,K147,0)</f>
        <v>0</v>
      </c>
      <c r="AL147" s="37">
        <f>IF(AN147=21,K147,0)</f>
        <v>0</v>
      </c>
      <c r="AN147" s="37">
        <v>15</v>
      </c>
      <c r="AO147" s="37">
        <f>H147*0.672221000549753</f>
        <v>0</v>
      </c>
      <c r="AP147" s="37">
        <f>H147*(1-0.672221000549753)</f>
        <v>0</v>
      </c>
      <c r="AQ147" s="38" t="s">
        <v>80</v>
      </c>
      <c r="AV147" s="37">
        <f>AW147+AX147</f>
        <v>0</v>
      </c>
      <c r="AW147" s="37">
        <f>G147*AO147</f>
        <v>0</v>
      </c>
      <c r="AX147" s="37">
        <f>G147*AP147</f>
        <v>0</v>
      </c>
      <c r="AY147" s="38" t="s">
        <v>278</v>
      </c>
      <c r="AZ147" s="38" t="s">
        <v>279</v>
      </c>
      <c r="BA147" s="31" t="s">
        <v>56</v>
      </c>
      <c r="BC147" s="37">
        <f>AW147+AX147</f>
        <v>0</v>
      </c>
      <c r="BD147" s="37">
        <f>H147/(100-BE147)*100</f>
        <v>0</v>
      </c>
      <c r="BE147" s="37">
        <v>0</v>
      </c>
      <c r="BF147" s="37">
        <f>147</f>
        <v>147</v>
      </c>
      <c r="BH147" s="37">
        <f>G147*AO147</f>
        <v>0</v>
      </c>
      <c r="BI147" s="37">
        <f>G147*AP147</f>
        <v>0</v>
      </c>
      <c r="BJ147" s="37">
        <f>G147*H147</f>
        <v>0</v>
      </c>
    </row>
    <row r="148" spans="3:7" ht="12.75">
      <c r="C148" s="39" t="s">
        <v>302</v>
      </c>
      <c r="D148" s="39"/>
      <c r="E148" s="39"/>
      <c r="G148" s="40">
        <v>14.4</v>
      </c>
    </row>
    <row r="149" spans="1:62" ht="12.75">
      <c r="A149" s="10" t="s">
        <v>303</v>
      </c>
      <c r="B149" s="10" t="s">
        <v>174</v>
      </c>
      <c r="C149" s="10" t="s">
        <v>289</v>
      </c>
      <c r="D149" s="10"/>
      <c r="E149" s="10"/>
      <c r="F149" s="10" t="s">
        <v>117</v>
      </c>
      <c r="G149" s="37">
        <v>61.74</v>
      </c>
      <c r="H149" s="37">
        <v>0</v>
      </c>
      <c r="I149" s="37">
        <f>G149*AO149</f>
        <v>0</v>
      </c>
      <c r="J149" s="37">
        <f>G149*AP149</f>
        <v>0</v>
      </c>
      <c r="K149" s="37">
        <f>G149*H149</f>
        <v>0</v>
      </c>
      <c r="L149" s="38" t="s">
        <v>54</v>
      </c>
      <c r="Z149" s="37">
        <f>IF(AQ149="5",BJ149,0)</f>
        <v>0</v>
      </c>
      <c r="AB149" s="37">
        <f>IF(AQ149="1",BH149,0)</f>
        <v>0</v>
      </c>
      <c r="AC149" s="37">
        <f>IF(AQ149="1",BI149,0)</f>
        <v>0</v>
      </c>
      <c r="AD149" s="37">
        <f>IF(AQ149="7",BH149,0)</f>
        <v>0</v>
      </c>
      <c r="AE149" s="37">
        <f>IF(AQ149="7",BI149,0)</f>
        <v>0</v>
      </c>
      <c r="AF149" s="37">
        <f>IF(AQ149="2",BH149,0)</f>
        <v>0</v>
      </c>
      <c r="AG149" s="37">
        <f>IF(AQ149="2",BI149,0)</f>
        <v>0</v>
      </c>
      <c r="AH149" s="37">
        <f>IF(AQ149="0",BJ149,0)</f>
        <v>0</v>
      </c>
      <c r="AI149" s="31"/>
      <c r="AJ149" s="37">
        <f>IF(AN149=0,K149,0)</f>
        <v>0</v>
      </c>
      <c r="AK149" s="37">
        <f>IF(AN149=15,K149,0)</f>
        <v>0</v>
      </c>
      <c r="AL149" s="37">
        <f>IF(AN149=21,K149,0)</f>
        <v>0</v>
      </c>
      <c r="AN149" s="37">
        <v>15</v>
      </c>
      <c r="AO149" s="37">
        <f>H149*0.619635949943117</f>
        <v>0</v>
      </c>
      <c r="AP149" s="37">
        <f>H149*(1-0.619635949943117)</f>
        <v>0</v>
      </c>
      <c r="AQ149" s="38" t="s">
        <v>80</v>
      </c>
      <c r="AV149" s="37">
        <f>AW149+AX149</f>
        <v>0</v>
      </c>
      <c r="AW149" s="37">
        <f>G149*AO149</f>
        <v>0</v>
      </c>
      <c r="AX149" s="37">
        <f>G149*AP149</f>
        <v>0</v>
      </c>
      <c r="AY149" s="38" t="s">
        <v>278</v>
      </c>
      <c r="AZ149" s="38" t="s">
        <v>279</v>
      </c>
      <c r="BA149" s="31" t="s">
        <v>56</v>
      </c>
      <c r="BC149" s="37">
        <f>AW149+AX149</f>
        <v>0</v>
      </c>
      <c r="BD149" s="37">
        <f>H149/(100-BE149)*100</f>
        <v>0</v>
      </c>
      <c r="BE149" s="37">
        <v>0</v>
      </c>
      <c r="BF149" s="37">
        <f>149</f>
        <v>149</v>
      </c>
      <c r="BH149" s="37">
        <f>G149*AO149</f>
        <v>0</v>
      </c>
      <c r="BI149" s="37">
        <f>G149*AP149</f>
        <v>0</v>
      </c>
      <c r="BJ149" s="37">
        <f>G149*H149</f>
        <v>0</v>
      </c>
    </row>
    <row r="150" spans="3:7" ht="12.75">
      <c r="C150" s="39" t="s">
        <v>304</v>
      </c>
      <c r="D150" s="39"/>
      <c r="E150" s="39"/>
      <c r="G150" s="40">
        <v>61.74</v>
      </c>
    </row>
    <row r="151" spans="1:62" ht="12.75">
      <c r="A151" s="10" t="s">
        <v>305</v>
      </c>
      <c r="B151" s="10" t="s">
        <v>306</v>
      </c>
      <c r="C151" s="10" t="s">
        <v>307</v>
      </c>
      <c r="D151" s="10"/>
      <c r="E151" s="10"/>
      <c r="F151" s="10" t="s">
        <v>117</v>
      </c>
      <c r="G151" s="37">
        <v>104.37</v>
      </c>
      <c r="H151" s="37">
        <v>0</v>
      </c>
      <c r="I151" s="37">
        <f>G151*AO151</f>
        <v>0</v>
      </c>
      <c r="J151" s="37">
        <f>G151*AP151</f>
        <v>0</v>
      </c>
      <c r="K151" s="37">
        <f>G151*H151</f>
        <v>0</v>
      </c>
      <c r="L151" s="38" t="s">
        <v>54</v>
      </c>
      <c r="Z151" s="37">
        <f>IF(AQ151="5",BJ151,0)</f>
        <v>0</v>
      </c>
      <c r="AB151" s="37">
        <f>IF(AQ151="1",BH151,0)</f>
        <v>0</v>
      </c>
      <c r="AC151" s="37">
        <f>IF(AQ151="1",BI151,0)</f>
        <v>0</v>
      </c>
      <c r="AD151" s="37">
        <f>IF(AQ151="7",BH151,0)</f>
        <v>0</v>
      </c>
      <c r="AE151" s="37">
        <f>IF(AQ151="7",BI151,0)</f>
        <v>0</v>
      </c>
      <c r="AF151" s="37">
        <f>IF(AQ151="2",BH151,0)</f>
        <v>0</v>
      </c>
      <c r="AG151" s="37">
        <f>IF(AQ151="2",BI151,0)</f>
        <v>0</v>
      </c>
      <c r="AH151" s="37">
        <f>IF(AQ151="0",BJ151,0)</f>
        <v>0</v>
      </c>
      <c r="AI151" s="31"/>
      <c r="AJ151" s="37">
        <f>IF(AN151=0,K151,0)</f>
        <v>0</v>
      </c>
      <c r="AK151" s="37">
        <f>IF(AN151=15,K151,0)</f>
        <v>0</v>
      </c>
      <c r="AL151" s="37">
        <f>IF(AN151=21,K151,0)</f>
        <v>0</v>
      </c>
      <c r="AN151" s="37">
        <v>15</v>
      </c>
      <c r="AO151" s="37">
        <f>H151*0.56152131147541</f>
        <v>0</v>
      </c>
      <c r="AP151" s="37">
        <f>H151*(1-0.56152131147541)</f>
        <v>0</v>
      </c>
      <c r="AQ151" s="38" t="s">
        <v>80</v>
      </c>
      <c r="AV151" s="37">
        <f>AW151+AX151</f>
        <v>0</v>
      </c>
      <c r="AW151" s="37">
        <f>G151*AO151</f>
        <v>0</v>
      </c>
      <c r="AX151" s="37">
        <f>G151*AP151</f>
        <v>0</v>
      </c>
      <c r="AY151" s="38" t="s">
        <v>278</v>
      </c>
      <c r="AZ151" s="38" t="s">
        <v>279</v>
      </c>
      <c r="BA151" s="31" t="s">
        <v>56</v>
      </c>
      <c r="BC151" s="37">
        <f>AW151+AX151</f>
        <v>0</v>
      </c>
      <c r="BD151" s="37">
        <f>H151/(100-BE151)*100</f>
        <v>0</v>
      </c>
      <c r="BE151" s="37">
        <v>0</v>
      </c>
      <c r="BF151" s="37">
        <f>151</f>
        <v>151</v>
      </c>
      <c r="BH151" s="37">
        <f>G151*AO151</f>
        <v>0</v>
      </c>
      <c r="BI151" s="37">
        <f>G151*AP151</f>
        <v>0</v>
      </c>
      <c r="BJ151" s="37">
        <f>G151*H151</f>
        <v>0</v>
      </c>
    </row>
    <row r="152" spans="3:7" ht="12.75">
      <c r="C152" s="39" t="s">
        <v>308</v>
      </c>
      <c r="D152" s="39"/>
      <c r="E152" s="39"/>
      <c r="G152" s="40">
        <v>104.37</v>
      </c>
    </row>
    <row r="153" spans="1:62" ht="12.75">
      <c r="A153" s="10" t="s">
        <v>309</v>
      </c>
      <c r="B153" s="10" t="s">
        <v>292</v>
      </c>
      <c r="C153" s="10" t="s">
        <v>310</v>
      </c>
      <c r="D153" s="10"/>
      <c r="E153" s="10"/>
      <c r="F153" s="10" t="s">
        <v>117</v>
      </c>
      <c r="G153" s="37">
        <v>5.04</v>
      </c>
      <c r="H153" s="37">
        <v>0</v>
      </c>
      <c r="I153" s="37">
        <f>G153*AO153</f>
        <v>0</v>
      </c>
      <c r="J153" s="37">
        <f>G153*AP153</f>
        <v>0</v>
      </c>
      <c r="K153" s="37">
        <f>G153*H153</f>
        <v>0</v>
      </c>
      <c r="L153" s="38" t="s">
        <v>54</v>
      </c>
      <c r="Z153" s="37">
        <f>IF(AQ153="5",BJ153,0)</f>
        <v>0</v>
      </c>
      <c r="AB153" s="37">
        <f>IF(AQ153="1",BH153,0)</f>
        <v>0</v>
      </c>
      <c r="AC153" s="37">
        <f>IF(AQ153="1",BI153,0)</f>
        <v>0</v>
      </c>
      <c r="AD153" s="37">
        <f>IF(AQ153="7",BH153,0)</f>
        <v>0</v>
      </c>
      <c r="AE153" s="37">
        <f>IF(AQ153="7",BI153,0)</f>
        <v>0</v>
      </c>
      <c r="AF153" s="37">
        <f>IF(AQ153="2",BH153,0)</f>
        <v>0</v>
      </c>
      <c r="AG153" s="37">
        <f>IF(AQ153="2",BI153,0)</f>
        <v>0</v>
      </c>
      <c r="AH153" s="37">
        <f>IF(AQ153="0",BJ153,0)</f>
        <v>0</v>
      </c>
      <c r="AI153" s="31"/>
      <c r="AJ153" s="37">
        <f>IF(AN153=0,K153,0)</f>
        <v>0</v>
      </c>
      <c r="AK153" s="37">
        <f>IF(AN153=15,K153,0)</f>
        <v>0</v>
      </c>
      <c r="AL153" s="37">
        <f>IF(AN153=21,K153,0)</f>
        <v>0</v>
      </c>
      <c r="AN153" s="37">
        <v>15</v>
      </c>
      <c r="AO153" s="37">
        <f>H153*0.541361538461538</f>
        <v>0</v>
      </c>
      <c r="AP153" s="37">
        <f>H153*(1-0.541361538461538)</f>
        <v>0</v>
      </c>
      <c r="AQ153" s="38" t="s">
        <v>80</v>
      </c>
      <c r="AV153" s="37">
        <f>AW153+AX153</f>
        <v>0</v>
      </c>
      <c r="AW153" s="37">
        <f>G153*AO153</f>
        <v>0</v>
      </c>
      <c r="AX153" s="37">
        <f>G153*AP153</f>
        <v>0</v>
      </c>
      <c r="AY153" s="38" t="s">
        <v>278</v>
      </c>
      <c r="AZ153" s="38" t="s">
        <v>279</v>
      </c>
      <c r="BA153" s="31" t="s">
        <v>56</v>
      </c>
      <c r="BC153" s="37">
        <f>AW153+AX153</f>
        <v>0</v>
      </c>
      <c r="BD153" s="37">
        <f>H153/(100-BE153)*100</f>
        <v>0</v>
      </c>
      <c r="BE153" s="37">
        <v>0</v>
      </c>
      <c r="BF153" s="37">
        <f>153</f>
        <v>153</v>
      </c>
      <c r="BH153" s="37">
        <f>G153*AO153</f>
        <v>0</v>
      </c>
      <c r="BI153" s="37">
        <f>G153*AP153</f>
        <v>0</v>
      </c>
      <c r="BJ153" s="37">
        <f>G153*H153</f>
        <v>0</v>
      </c>
    </row>
    <row r="154" spans="3:7" ht="12.75">
      <c r="C154" s="39" t="s">
        <v>311</v>
      </c>
      <c r="D154" s="39"/>
      <c r="E154" s="39"/>
      <c r="G154" s="40">
        <v>5.04</v>
      </c>
    </row>
    <row r="155" spans="1:62" ht="12.75">
      <c r="A155" s="10" t="s">
        <v>312</v>
      </c>
      <c r="B155" s="10" t="s">
        <v>313</v>
      </c>
      <c r="C155" s="10" t="s">
        <v>314</v>
      </c>
      <c r="D155" s="10"/>
      <c r="E155" s="10"/>
      <c r="F155" s="10" t="s">
        <v>117</v>
      </c>
      <c r="G155" s="37">
        <v>157.32</v>
      </c>
      <c r="H155" s="37">
        <v>0</v>
      </c>
      <c r="I155" s="37">
        <f>G155*AO155</f>
        <v>0</v>
      </c>
      <c r="J155" s="37">
        <f>G155*AP155</f>
        <v>0</v>
      </c>
      <c r="K155" s="37">
        <f>G155*H155</f>
        <v>0</v>
      </c>
      <c r="L155" s="38" t="s">
        <v>54</v>
      </c>
      <c r="Z155" s="37">
        <f>IF(AQ155="5",BJ155,0)</f>
        <v>0</v>
      </c>
      <c r="AB155" s="37">
        <f>IF(AQ155="1",BH155,0)</f>
        <v>0</v>
      </c>
      <c r="AC155" s="37">
        <f>IF(AQ155="1",BI155,0)</f>
        <v>0</v>
      </c>
      <c r="AD155" s="37">
        <f>IF(AQ155="7",BH155,0)</f>
        <v>0</v>
      </c>
      <c r="AE155" s="37">
        <f>IF(AQ155="7",BI155,0)</f>
        <v>0</v>
      </c>
      <c r="AF155" s="37">
        <f>IF(AQ155="2",BH155,0)</f>
        <v>0</v>
      </c>
      <c r="AG155" s="37">
        <f>IF(AQ155="2",BI155,0)</f>
        <v>0</v>
      </c>
      <c r="AH155" s="37">
        <f>IF(AQ155="0",BJ155,0)</f>
        <v>0</v>
      </c>
      <c r="AI155" s="31"/>
      <c r="AJ155" s="37">
        <f>IF(AN155=0,K155,0)</f>
        <v>0</v>
      </c>
      <c r="AK155" s="37">
        <f>IF(AN155=15,K155,0)</f>
        <v>0</v>
      </c>
      <c r="AL155" s="37">
        <f>IF(AN155=21,K155,0)</f>
        <v>0</v>
      </c>
      <c r="AN155" s="37">
        <v>15</v>
      </c>
      <c r="AO155" s="37">
        <f>H155*0.479275109170306</f>
        <v>0</v>
      </c>
      <c r="AP155" s="37">
        <f>H155*(1-0.479275109170306)</f>
        <v>0</v>
      </c>
      <c r="AQ155" s="38" t="s">
        <v>80</v>
      </c>
      <c r="AV155" s="37">
        <f>AW155+AX155</f>
        <v>0</v>
      </c>
      <c r="AW155" s="37">
        <f>G155*AO155</f>
        <v>0</v>
      </c>
      <c r="AX155" s="37">
        <f>G155*AP155</f>
        <v>0</v>
      </c>
      <c r="AY155" s="38" t="s">
        <v>278</v>
      </c>
      <c r="AZ155" s="38" t="s">
        <v>279</v>
      </c>
      <c r="BA155" s="31" t="s">
        <v>56</v>
      </c>
      <c r="BC155" s="37">
        <f>AW155+AX155</f>
        <v>0</v>
      </c>
      <c r="BD155" s="37">
        <f>H155/(100-BE155)*100</f>
        <v>0</v>
      </c>
      <c r="BE155" s="37">
        <v>0</v>
      </c>
      <c r="BF155" s="37">
        <f>155</f>
        <v>155</v>
      </c>
      <c r="BH155" s="37">
        <f>G155*AO155</f>
        <v>0</v>
      </c>
      <c r="BI155" s="37">
        <f>G155*AP155</f>
        <v>0</v>
      </c>
      <c r="BJ155" s="37">
        <f>G155*H155</f>
        <v>0</v>
      </c>
    </row>
    <row r="156" spans="3:7" ht="12.75">
      <c r="C156" s="39" t="s">
        <v>315</v>
      </c>
      <c r="D156" s="39"/>
      <c r="E156" s="39"/>
      <c r="G156" s="40">
        <v>157.32</v>
      </c>
    </row>
    <row r="157" spans="1:62" ht="12.75">
      <c r="A157" s="10" t="s">
        <v>316</v>
      </c>
      <c r="B157" s="10" t="s">
        <v>270</v>
      </c>
      <c r="C157" s="10" t="s">
        <v>271</v>
      </c>
      <c r="D157" s="10"/>
      <c r="E157" s="10"/>
      <c r="F157" s="10" t="s">
        <v>145</v>
      </c>
      <c r="G157" s="37">
        <v>37.028</v>
      </c>
      <c r="H157" s="37">
        <v>0</v>
      </c>
      <c r="I157" s="37">
        <f>G157*AO157</f>
        <v>0</v>
      </c>
      <c r="J157" s="37">
        <f>G157*AP157</f>
        <v>0</v>
      </c>
      <c r="K157" s="37">
        <f>G157*H157</f>
        <v>0</v>
      </c>
      <c r="L157" s="38" t="s">
        <v>54</v>
      </c>
      <c r="Z157" s="37">
        <f>IF(AQ157="5",BJ157,0)</f>
        <v>0</v>
      </c>
      <c r="AB157" s="37">
        <f>IF(AQ157="1",BH157,0)</f>
        <v>0</v>
      </c>
      <c r="AC157" s="37">
        <f>IF(AQ157="1",BI157,0)</f>
        <v>0</v>
      </c>
      <c r="AD157" s="37">
        <f>IF(AQ157="7",BH157,0)</f>
        <v>0</v>
      </c>
      <c r="AE157" s="37">
        <f>IF(AQ157="7",BI157,0)</f>
        <v>0</v>
      </c>
      <c r="AF157" s="37">
        <f>IF(AQ157="2",BH157,0)</f>
        <v>0</v>
      </c>
      <c r="AG157" s="37">
        <f>IF(AQ157="2",BI157,0)</f>
        <v>0</v>
      </c>
      <c r="AH157" s="37">
        <f>IF(AQ157="0",BJ157,0)</f>
        <v>0</v>
      </c>
      <c r="AI157" s="31"/>
      <c r="AJ157" s="37">
        <f>IF(AN157=0,K157,0)</f>
        <v>0</v>
      </c>
      <c r="AK157" s="37">
        <f>IF(AN157=15,K157,0)</f>
        <v>0</v>
      </c>
      <c r="AL157" s="37">
        <f>IF(AN157=21,K157,0)</f>
        <v>0</v>
      </c>
      <c r="AN157" s="37">
        <v>15</v>
      </c>
      <c r="AO157" s="37">
        <f>H157*0</f>
        <v>0</v>
      </c>
      <c r="AP157" s="37">
        <f>H157*(1-0)</f>
        <v>0</v>
      </c>
      <c r="AQ157" s="38" t="s">
        <v>68</v>
      </c>
      <c r="AV157" s="37">
        <f>AW157+AX157</f>
        <v>0</v>
      </c>
      <c r="AW157" s="37">
        <f>G157*AO157</f>
        <v>0</v>
      </c>
      <c r="AX157" s="37">
        <f>G157*AP157</f>
        <v>0</v>
      </c>
      <c r="AY157" s="38" t="s">
        <v>278</v>
      </c>
      <c r="AZ157" s="38" t="s">
        <v>279</v>
      </c>
      <c r="BA157" s="31" t="s">
        <v>56</v>
      </c>
      <c r="BC157" s="37">
        <f>AW157+AX157</f>
        <v>0</v>
      </c>
      <c r="BD157" s="37">
        <f>H157/(100-BE157)*100</f>
        <v>0</v>
      </c>
      <c r="BE157" s="37">
        <v>0</v>
      </c>
      <c r="BF157" s="37">
        <f>157</f>
        <v>157</v>
      </c>
      <c r="BH157" s="37">
        <f>G157*AO157</f>
        <v>0</v>
      </c>
      <c r="BI157" s="37">
        <f>G157*AP157</f>
        <v>0</v>
      </c>
      <c r="BJ157" s="37">
        <f>G157*H157</f>
        <v>0</v>
      </c>
    </row>
    <row r="158" spans="3:7" ht="12.75">
      <c r="C158" s="39" t="s">
        <v>317</v>
      </c>
      <c r="D158" s="39"/>
      <c r="E158" s="39"/>
      <c r="G158" s="40">
        <v>37.028</v>
      </c>
    </row>
    <row r="159" spans="1:47" ht="12.75">
      <c r="A159" s="41"/>
      <c r="B159" s="42" t="s">
        <v>318</v>
      </c>
      <c r="C159" s="42" t="s">
        <v>319</v>
      </c>
      <c r="D159" s="42"/>
      <c r="E159" s="42"/>
      <c r="F159" s="41" t="s">
        <v>4</v>
      </c>
      <c r="G159" s="41" t="s">
        <v>4</v>
      </c>
      <c r="H159" s="41" t="s">
        <v>4</v>
      </c>
      <c r="I159" s="36">
        <f>SUM(I160:I168)</f>
        <v>0</v>
      </c>
      <c r="J159" s="36">
        <f>SUM(J160:J168)</f>
        <v>0</v>
      </c>
      <c r="K159" s="36">
        <f>SUM(K160:K168)</f>
        <v>0</v>
      </c>
      <c r="L159" s="31"/>
      <c r="AI159" s="31"/>
      <c r="AS159" s="36">
        <f>SUM(AJ160:AJ168)</f>
        <v>0</v>
      </c>
      <c r="AT159" s="36">
        <f>SUM(AK160:AK168)</f>
        <v>0</v>
      </c>
      <c r="AU159" s="36">
        <f>SUM(AL160:AL168)</f>
        <v>0</v>
      </c>
    </row>
    <row r="160" spans="1:62" ht="12.75">
      <c r="A160" s="10" t="s">
        <v>320</v>
      </c>
      <c r="B160" s="10" t="s">
        <v>321</v>
      </c>
      <c r="C160" s="10" t="s">
        <v>322</v>
      </c>
      <c r="D160" s="10"/>
      <c r="E160" s="10"/>
      <c r="F160" s="10" t="s">
        <v>117</v>
      </c>
      <c r="G160" s="37">
        <v>28.75625</v>
      </c>
      <c r="H160" s="37">
        <v>0</v>
      </c>
      <c r="I160" s="37">
        <f>G160*AO160</f>
        <v>0</v>
      </c>
      <c r="J160" s="37">
        <f>G160*AP160</f>
        <v>0</v>
      </c>
      <c r="K160" s="37">
        <f>G160*H160</f>
        <v>0</v>
      </c>
      <c r="L160" s="38" t="s">
        <v>54</v>
      </c>
      <c r="Z160" s="37">
        <f>IF(AQ160="5",BJ160,0)</f>
        <v>0</v>
      </c>
      <c r="AB160" s="37">
        <f>IF(AQ160="1",BH160,0)</f>
        <v>0</v>
      </c>
      <c r="AC160" s="37">
        <f>IF(AQ160="1",BI160,0)</f>
        <v>0</v>
      </c>
      <c r="AD160" s="37">
        <f>IF(AQ160="7",BH160,0)</f>
        <v>0</v>
      </c>
      <c r="AE160" s="37">
        <f>IF(AQ160="7",BI160,0)</f>
        <v>0</v>
      </c>
      <c r="AF160" s="37">
        <f>IF(AQ160="2",BH160,0)</f>
        <v>0</v>
      </c>
      <c r="AG160" s="37">
        <f>IF(AQ160="2",BI160,0)</f>
        <v>0</v>
      </c>
      <c r="AH160" s="37">
        <f>IF(AQ160="0",BJ160,0)</f>
        <v>0</v>
      </c>
      <c r="AI160" s="31"/>
      <c r="AJ160" s="37">
        <f>IF(AN160=0,K160,0)</f>
        <v>0</v>
      </c>
      <c r="AK160" s="37">
        <f>IF(AN160=15,K160,0)</f>
        <v>0</v>
      </c>
      <c r="AL160" s="37">
        <f>IF(AN160=21,K160,0)</f>
        <v>0</v>
      </c>
      <c r="AN160" s="37">
        <v>15</v>
      </c>
      <c r="AO160" s="37">
        <f>H160*0.257174730749398</f>
        <v>0</v>
      </c>
      <c r="AP160" s="37">
        <f>H160*(1-0.257174730749398)</f>
        <v>0</v>
      </c>
      <c r="AQ160" s="38" t="s">
        <v>80</v>
      </c>
      <c r="AV160" s="37">
        <f>AW160+AX160</f>
        <v>0</v>
      </c>
      <c r="AW160" s="37">
        <f>G160*AO160</f>
        <v>0</v>
      </c>
      <c r="AX160" s="37">
        <f>G160*AP160</f>
        <v>0</v>
      </c>
      <c r="AY160" s="38" t="s">
        <v>323</v>
      </c>
      <c r="AZ160" s="38" t="s">
        <v>324</v>
      </c>
      <c r="BA160" s="31" t="s">
        <v>56</v>
      </c>
      <c r="BC160" s="37">
        <f>AW160+AX160</f>
        <v>0</v>
      </c>
      <c r="BD160" s="37">
        <f>H160/(100-BE160)*100</f>
        <v>0</v>
      </c>
      <c r="BE160" s="37">
        <v>0</v>
      </c>
      <c r="BF160" s="37">
        <f>160</f>
        <v>160</v>
      </c>
      <c r="BH160" s="37">
        <f>G160*AO160</f>
        <v>0</v>
      </c>
      <c r="BI160" s="37">
        <f>G160*AP160</f>
        <v>0</v>
      </c>
      <c r="BJ160" s="37">
        <f>G160*H160</f>
        <v>0</v>
      </c>
    </row>
    <row r="161" spans="3:7" ht="12.75">
      <c r="C161" s="39" t="s">
        <v>325</v>
      </c>
      <c r="D161" s="39"/>
      <c r="E161" s="39"/>
      <c r="G161" s="40">
        <v>28.75625</v>
      </c>
    </row>
    <row r="162" spans="1:62" ht="12.75">
      <c r="A162" s="10" t="s">
        <v>326</v>
      </c>
      <c r="B162" s="10" t="s">
        <v>327</v>
      </c>
      <c r="C162" s="10" t="s">
        <v>328</v>
      </c>
      <c r="D162" s="10"/>
      <c r="E162" s="10"/>
      <c r="F162" s="10" t="s">
        <v>117</v>
      </c>
      <c r="G162" s="37">
        <v>28.75625</v>
      </c>
      <c r="H162" s="37">
        <v>0</v>
      </c>
      <c r="I162" s="37">
        <f>G162*AO162</f>
        <v>0</v>
      </c>
      <c r="J162" s="37">
        <f>G162*AP162</f>
        <v>0</v>
      </c>
      <c r="K162" s="37">
        <f>G162*H162</f>
        <v>0</v>
      </c>
      <c r="L162" s="38" t="s">
        <v>54</v>
      </c>
      <c r="Z162" s="37">
        <f>IF(AQ162="5",BJ162,0)</f>
        <v>0</v>
      </c>
      <c r="AB162" s="37">
        <f>IF(AQ162="1",BH162,0)</f>
        <v>0</v>
      </c>
      <c r="AC162" s="37">
        <f>IF(AQ162="1",BI162,0)</f>
        <v>0</v>
      </c>
      <c r="AD162" s="37">
        <f>IF(AQ162="7",BH162,0)</f>
        <v>0</v>
      </c>
      <c r="AE162" s="37">
        <f>IF(AQ162="7",BI162,0)</f>
        <v>0</v>
      </c>
      <c r="AF162" s="37">
        <f>IF(AQ162="2",BH162,0)</f>
        <v>0</v>
      </c>
      <c r="AG162" s="37">
        <f>IF(AQ162="2",BI162,0)</f>
        <v>0</v>
      </c>
      <c r="AH162" s="37">
        <f>IF(AQ162="0",BJ162,0)</f>
        <v>0</v>
      </c>
      <c r="AI162" s="31"/>
      <c r="AJ162" s="37">
        <f>IF(AN162=0,K162,0)</f>
        <v>0</v>
      </c>
      <c r="AK162" s="37">
        <f>IF(AN162=15,K162,0)</f>
        <v>0</v>
      </c>
      <c r="AL162" s="37">
        <f>IF(AN162=21,K162,0)</f>
        <v>0</v>
      </c>
      <c r="AN162" s="37">
        <v>15</v>
      </c>
      <c r="AO162" s="37">
        <f>H162*0.727796704433477</f>
        <v>0</v>
      </c>
      <c r="AP162" s="37">
        <f>H162*(1-0.727796704433477)</f>
        <v>0</v>
      </c>
      <c r="AQ162" s="38" t="s">
        <v>80</v>
      </c>
      <c r="AV162" s="37">
        <f>AW162+AX162</f>
        <v>0</v>
      </c>
      <c r="AW162" s="37">
        <f>G162*AO162</f>
        <v>0</v>
      </c>
      <c r="AX162" s="37">
        <f>G162*AP162</f>
        <v>0</v>
      </c>
      <c r="AY162" s="38" t="s">
        <v>323</v>
      </c>
      <c r="AZ162" s="38" t="s">
        <v>324</v>
      </c>
      <c r="BA162" s="31" t="s">
        <v>56</v>
      </c>
      <c r="BC162" s="37">
        <f>AW162+AX162</f>
        <v>0</v>
      </c>
      <c r="BD162" s="37">
        <f>H162/(100-BE162)*100</f>
        <v>0</v>
      </c>
      <c r="BE162" s="37">
        <v>0</v>
      </c>
      <c r="BF162" s="37">
        <f>162</f>
        <v>162</v>
      </c>
      <c r="BH162" s="37">
        <f>G162*AO162</f>
        <v>0</v>
      </c>
      <c r="BI162" s="37">
        <f>G162*AP162</f>
        <v>0</v>
      </c>
      <c r="BJ162" s="37">
        <f>G162*H162</f>
        <v>0</v>
      </c>
    </row>
    <row r="163" spans="3:7" ht="12.75">
      <c r="C163" s="39" t="s">
        <v>329</v>
      </c>
      <c r="D163" s="39"/>
      <c r="E163" s="39"/>
      <c r="G163" s="40">
        <v>28.75625</v>
      </c>
    </row>
    <row r="164" spans="1:62" ht="12.75">
      <c r="A164" s="10" t="s">
        <v>330</v>
      </c>
      <c r="B164" s="10" t="s">
        <v>331</v>
      </c>
      <c r="C164" s="10" t="s">
        <v>332</v>
      </c>
      <c r="D164" s="10"/>
      <c r="E164" s="10"/>
      <c r="F164" s="10" t="s">
        <v>117</v>
      </c>
      <c r="G164" s="37">
        <v>28.75625</v>
      </c>
      <c r="H164" s="37">
        <v>0</v>
      </c>
      <c r="I164" s="37">
        <f>G164*AO164</f>
        <v>0</v>
      </c>
      <c r="J164" s="37">
        <f>G164*AP164</f>
        <v>0</v>
      </c>
      <c r="K164" s="37">
        <f>G164*H164</f>
        <v>0</v>
      </c>
      <c r="L164" s="38" t="s">
        <v>99</v>
      </c>
      <c r="Z164" s="37">
        <f>IF(AQ164="5",BJ164,0)</f>
        <v>0</v>
      </c>
      <c r="AB164" s="37">
        <f>IF(AQ164="1",BH164,0)</f>
        <v>0</v>
      </c>
      <c r="AC164" s="37">
        <f>IF(AQ164="1",BI164,0)</f>
        <v>0</v>
      </c>
      <c r="AD164" s="37">
        <f>IF(AQ164="7",BH164,0)</f>
        <v>0</v>
      </c>
      <c r="AE164" s="37">
        <f>IF(AQ164="7",BI164,0)</f>
        <v>0</v>
      </c>
      <c r="AF164" s="37">
        <f>IF(AQ164="2",BH164,0)</f>
        <v>0</v>
      </c>
      <c r="AG164" s="37">
        <f>IF(AQ164="2",BI164,0)</f>
        <v>0</v>
      </c>
      <c r="AH164" s="37">
        <f>IF(AQ164="0",BJ164,0)</f>
        <v>0</v>
      </c>
      <c r="AI164" s="31"/>
      <c r="AJ164" s="37">
        <f>IF(AN164=0,K164,0)</f>
        <v>0</v>
      </c>
      <c r="AK164" s="37">
        <f>IF(AN164=15,K164,0)</f>
        <v>0</v>
      </c>
      <c r="AL164" s="37">
        <f>IF(AN164=21,K164,0)</f>
        <v>0</v>
      </c>
      <c r="AN164" s="37">
        <v>15</v>
      </c>
      <c r="AO164" s="37">
        <f>H164*0.372140050887731</f>
        <v>0</v>
      </c>
      <c r="AP164" s="37">
        <f>H164*(1-0.372140050887731)</f>
        <v>0</v>
      </c>
      <c r="AQ164" s="38" t="s">
        <v>80</v>
      </c>
      <c r="AV164" s="37">
        <f>AW164+AX164</f>
        <v>0</v>
      </c>
      <c r="AW164" s="37">
        <f>G164*AO164</f>
        <v>0</v>
      </c>
      <c r="AX164" s="37">
        <f>G164*AP164</f>
        <v>0</v>
      </c>
      <c r="AY164" s="38" t="s">
        <v>323</v>
      </c>
      <c r="AZ164" s="38" t="s">
        <v>324</v>
      </c>
      <c r="BA164" s="31" t="s">
        <v>56</v>
      </c>
      <c r="BC164" s="37">
        <f>AW164+AX164</f>
        <v>0</v>
      </c>
      <c r="BD164" s="37">
        <f>H164/(100-BE164)*100</f>
        <v>0</v>
      </c>
      <c r="BE164" s="37">
        <v>0</v>
      </c>
      <c r="BF164" s="37">
        <f>164</f>
        <v>164</v>
      </c>
      <c r="BH164" s="37">
        <f>G164*AO164</f>
        <v>0</v>
      </c>
      <c r="BI164" s="37">
        <f>G164*AP164</f>
        <v>0</v>
      </c>
      <c r="BJ164" s="37">
        <f>G164*H164</f>
        <v>0</v>
      </c>
    </row>
    <row r="165" spans="3:7" ht="12.75">
      <c r="C165" s="39" t="s">
        <v>333</v>
      </c>
      <c r="D165" s="39"/>
      <c r="E165" s="39"/>
      <c r="G165" s="40">
        <v>28.75625</v>
      </c>
    </row>
    <row r="166" spans="1:62" ht="12.75">
      <c r="A166" s="10" t="s">
        <v>334</v>
      </c>
      <c r="B166" s="10" t="s">
        <v>335</v>
      </c>
      <c r="C166" s="10" t="s">
        <v>336</v>
      </c>
      <c r="D166" s="10"/>
      <c r="E166" s="10"/>
      <c r="F166" s="10" t="s">
        <v>117</v>
      </c>
      <c r="G166" s="37">
        <v>28.75625</v>
      </c>
      <c r="H166" s="37">
        <v>0</v>
      </c>
      <c r="I166" s="37">
        <f>G166*AO166</f>
        <v>0</v>
      </c>
      <c r="J166" s="37">
        <f>G166*AP166</f>
        <v>0</v>
      </c>
      <c r="K166" s="37">
        <f>G166*H166</f>
        <v>0</v>
      </c>
      <c r="L166" s="38" t="s">
        <v>337</v>
      </c>
      <c r="Z166" s="37">
        <f>IF(AQ166="5",BJ166,0)</f>
        <v>0</v>
      </c>
      <c r="AB166" s="37">
        <f>IF(AQ166="1",BH166,0)</f>
        <v>0</v>
      </c>
      <c r="AC166" s="37">
        <f>IF(AQ166="1",BI166,0)</f>
        <v>0</v>
      </c>
      <c r="AD166" s="37">
        <f>IF(AQ166="7",BH166,0)</f>
        <v>0</v>
      </c>
      <c r="AE166" s="37">
        <f>IF(AQ166="7",BI166,0)</f>
        <v>0</v>
      </c>
      <c r="AF166" s="37">
        <f>IF(AQ166="2",BH166,0)</f>
        <v>0</v>
      </c>
      <c r="AG166" s="37">
        <f>IF(AQ166="2",BI166,0)</f>
        <v>0</v>
      </c>
      <c r="AH166" s="37">
        <f>IF(AQ166="0",BJ166,0)</f>
        <v>0</v>
      </c>
      <c r="AI166" s="31"/>
      <c r="AJ166" s="37">
        <f>IF(AN166=0,K166,0)</f>
        <v>0</v>
      </c>
      <c r="AK166" s="37">
        <f>IF(AN166=15,K166,0)</f>
        <v>0</v>
      </c>
      <c r="AL166" s="37">
        <f>IF(AN166=21,K166,0)</f>
        <v>0</v>
      </c>
      <c r="AN166" s="37">
        <v>15</v>
      </c>
      <c r="AO166" s="37">
        <f>H166*0</f>
        <v>0</v>
      </c>
      <c r="AP166" s="37">
        <f>H166*(1-0)</f>
        <v>0</v>
      </c>
      <c r="AQ166" s="38" t="s">
        <v>80</v>
      </c>
      <c r="AV166" s="37">
        <f>AW166+AX166</f>
        <v>0</v>
      </c>
      <c r="AW166" s="37">
        <f>G166*AO166</f>
        <v>0</v>
      </c>
      <c r="AX166" s="37">
        <f>G166*AP166</f>
        <v>0</v>
      </c>
      <c r="AY166" s="38" t="s">
        <v>323</v>
      </c>
      <c r="AZ166" s="38" t="s">
        <v>324</v>
      </c>
      <c r="BA166" s="31" t="s">
        <v>56</v>
      </c>
      <c r="BC166" s="37">
        <f>AW166+AX166</f>
        <v>0</v>
      </c>
      <c r="BD166" s="37">
        <f>H166/(100-BE166)*100</f>
        <v>0</v>
      </c>
      <c r="BE166" s="37">
        <v>0</v>
      </c>
      <c r="BF166" s="37">
        <f>166</f>
        <v>166</v>
      </c>
      <c r="BH166" s="37">
        <f>G166*AO166</f>
        <v>0</v>
      </c>
      <c r="BI166" s="37">
        <f>G166*AP166</f>
        <v>0</v>
      </c>
      <c r="BJ166" s="37">
        <f>G166*H166</f>
        <v>0</v>
      </c>
    </row>
    <row r="167" spans="3:7" ht="12.75">
      <c r="C167" s="39" t="s">
        <v>333</v>
      </c>
      <c r="D167" s="39"/>
      <c r="E167" s="39"/>
      <c r="G167" s="40">
        <v>28.75625</v>
      </c>
    </row>
    <row r="168" spans="1:62" ht="12.75">
      <c r="A168" s="10" t="s">
        <v>338</v>
      </c>
      <c r="B168" s="10" t="s">
        <v>339</v>
      </c>
      <c r="C168" s="10" t="s">
        <v>340</v>
      </c>
      <c r="D168" s="10"/>
      <c r="E168" s="10"/>
      <c r="F168" s="10" t="s">
        <v>145</v>
      </c>
      <c r="G168" s="37">
        <v>0.475</v>
      </c>
      <c r="H168" s="37">
        <v>0</v>
      </c>
      <c r="I168" s="37">
        <f>G168*AO168</f>
        <v>0</v>
      </c>
      <c r="J168" s="37">
        <f>G168*AP168</f>
        <v>0</v>
      </c>
      <c r="K168" s="37">
        <f>G168*H168</f>
        <v>0</v>
      </c>
      <c r="L168" s="38" t="s">
        <v>54</v>
      </c>
      <c r="Z168" s="37">
        <f>IF(AQ168="5",BJ168,0)</f>
        <v>0</v>
      </c>
      <c r="AB168" s="37">
        <f>IF(AQ168="1",BH168,0)</f>
        <v>0</v>
      </c>
      <c r="AC168" s="37">
        <f>IF(AQ168="1",BI168,0)</f>
        <v>0</v>
      </c>
      <c r="AD168" s="37">
        <f>IF(AQ168="7",BH168,0)</f>
        <v>0</v>
      </c>
      <c r="AE168" s="37">
        <f>IF(AQ168="7",BI168,0)</f>
        <v>0</v>
      </c>
      <c r="AF168" s="37">
        <f>IF(AQ168="2",BH168,0)</f>
        <v>0</v>
      </c>
      <c r="AG168" s="37">
        <f>IF(AQ168="2",BI168,0)</f>
        <v>0</v>
      </c>
      <c r="AH168" s="37">
        <f>IF(AQ168="0",BJ168,0)</f>
        <v>0</v>
      </c>
      <c r="AI168" s="31"/>
      <c r="AJ168" s="37">
        <f>IF(AN168=0,K168,0)</f>
        <v>0</v>
      </c>
      <c r="AK168" s="37">
        <f>IF(AN168=15,K168,0)</f>
        <v>0</v>
      </c>
      <c r="AL168" s="37">
        <f>IF(AN168=21,K168,0)</f>
        <v>0</v>
      </c>
      <c r="AN168" s="37">
        <v>15</v>
      </c>
      <c r="AO168" s="37">
        <f>H168*0</f>
        <v>0</v>
      </c>
      <c r="AP168" s="37">
        <f>H168*(1-0)</f>
        <v>0</v>
      </c>
      <c r="AQ168" s="38" t="s">
        <v>68</v>
      </c>
      <c r="AV168" s="37">
        <f>AW168+AX168</f>
        <v>0</v>
      </c>
      <c r="AW168" s="37">
        <f>G168*AO168</f>
        <v>0</v>
      </c>
      <c r="AX168" s="37">
        <f>G168*AP168</f>
        <v>0</v>
      </c>
      <c r="AY168" s="38" t="s">
        <v>323</v>
      </c>
      <c r="AZ168" s="38" t="s">
        <v>324</v>
      </c>
      <c r="BA168" s="31" t="s">
        <v>56</v>
      </c>
      <c r="BC168" s="37">
        <f>AW168+AX168</f>
        <v>0</v>
      </c>
      <c r="BD168" s="37">
        <f>H168/(100-BE168)*100</f>
        <v>0</v>
      </c>
      <c r="BE168" s="37">
        <v>0</v>
      </c>
      <c r="BF168" s="37">
        <f>168</f>
        <v>168</v>
      </c>
      <c r="BH168" s="37">
        <f>G168*AO168</f>
        <v>0</v>
      </c>
      <c r="BI168" s="37">
        <f>G168*AP168</f>
        <v>0</v>
      </c>
      <c r="BJ168" s="37">
        <f>G168*H168</f>
        <v>0</v>
      </c>
    </row>
    <row r="169" spans="3:7" ht="12.75">
      <c r="C169" s="39" t="s">
        <v>341</v>
      </c>
      <c r="D169" s="39"/>
      <c r="E169" s="39"/>
      <c r="G169" s="40">
        <v>0.475</v>
      </c>
    </row>
    <row r="170" spans="1:47" ht="12.75">
      <c r="A170" s="41"/>
      <c r="B170" s="42" t="s">
        <v>342</v>
      </c>
      <c r="C170" s="42" t="s">
        <v>343</v>
      </c>
      <c r="D170" s="42"/>
      <c r="E170" s="42"/>
      <c r="F170" s="41" t="s">
        <v>4</v>
      </c>
      <c r="G170" s="41" t="s">
        <v>4</v>
      </c>
      <c r="H170" s="41" t="s">
        <v>4</v>
      </c>
      <c r="I170" s="36">
        <f>SUM(I171:I186)</f>
        <v>0</v>
      </c>
      <c r="J170" s="36">
        <f>SUM(J171:J186)</f>
        <v>0</v>
      </c>
      <c r="K170" s="36">
        <f>SUM(K171:K186)</f>
        <v>0</v>
      </c>
      <c r="L170" s="31"/>
      <c r="AI170" s="31"/>
      <c r="AS170" s="36">
        <f>SUM(AJ171:AJ186)</f>
        <v>0</v>
      </c>
      <c r="AT170" s="36">
        <f>SUM(AK171:AK186)</f>
        <v>0</v>
      </c>
      <c r="AU170" s="36">
        <f>SUM(AL171:AL186)</f>
        <v>0</v>
      </c>
    </row>
    <row r="171" spans="1:62" ht="12.75">
      <c r="A171" s="10" t="s">
        <v>344</v>
      </c>
      <c r="B171" s="10" t="s">
        <v>345</v>
      </c>
      <c r="C171" s="10" t="s">
        <v>346</v>
      </c>
      <c r="D171" s="10"/>
      <c r="E171" s="10"/>
      <c r="F171" s="10" t="s">
        <v>347</v>
      </c>
      <c r="G171" s="37">
        <v>3058</v>
      </c>
      <c r="H171" s="37">
        <v>0</v>
      </c>
      <c r="I171" s="37">
        <f>G171*AO171</f>
        <v>0</v>
      </c>
      <c r="J171" s="37">
        <f>G171*AP171</f>
        <v>0</v>
      </c>
      <c r="K171" s="37">
        <f>G171*H171</f>
        <v>0</v>
      </c>
      <c r="L171" s="38" t="s">
        <v>337</v>
      </c>
      <c r="Z171" s="37">
        <f>IF(AQ171="5",BJ171,0)</f>
        <v>0</v>
      </c>
      <c r="AB171" s="37">
        <f>IF(AQ171="1",BH171,0)</f>
        <v>0</v>
      </c>
      <c r="AC171" s="37">
        <f>IF(AQ171="1",BI171,0)</f>
        <v>0</v>
      </c>
      <c r="AD171" s="37">
        <f>IF(AQ171="7",BH171,0)</f>
        <v>0</v>
      </c>
      <c r="AE171" s="37">
        <f>IF(AQ171="7",BI171,0)</f>
        <v>0</v>
      </c>
      <c r="AF171" s="37">
        <f>IF(AQ171="2",BH171,0)</f>
        <v>0</v>
      </c>
      <c r="AG171" s="37">
        <f>IF(AQ171="2",BI171,0)</f>
        <v>0</v>
      </c>
      <c r="AH171" s="37">
        <f>IF(AQ171="0",BJ171,0)</f>
        <v>0</v>
      </c>
      <c r="AI171" s="31"/>
      <c r="AJ171" s="37">
        <f>IF(AN171=0,K171,0)</f>
        <v>0</v>
      </c>
      <c r="AK171" s="37">
        <f>IF(AN171=15,K171,0)</f>
        <v>0</v>
      </c>
      <c r="AL171" s="37">
        <f>IF(AN171=21,K171,0)</f>
        <v>0</v>
      </c>
      <c r="AN171" s="37">
        <v>15</v>
      </c>
      <c r="AO171" s="37">
        <f>H171*0.471645021645022</f>
        <v>0</v>
      </c>
      <c r="AP171" s="37">
        <f>H171*(1-0.471645021645022)</f>
        <v>0</v>
      </c>
      <c r="AQ171" s="38" t="s">
        <v>80</v>
      </c>
      <c r="AV171" s="37">
        <f>AW171+AX171</f>
        <v>0</v>
      </c>
      <c r="AW171" s="37">
        <f>G171*AO171</f>
        <v>0</v>
      </c>
      <c r="AX171" s="37">
        <f>G171*AP171</f>
        <v>0</v>
      </c>
      <c r="AY171" s="38" t="s">
        <v>348</v>
      </c>
      <c r="AZ171" s="38" t="s">
        <v>324</v>
      </c>
      <c r="BA171" s="31" t="s">
        <v>56</v>
      </c>
      <c r="BC171" s="37">
        <f>AW171+AX171</f>
        <v>0</v>
      </c>
      <c r="BD171" s="37">
        <f>H171/(100-BE171)*100</f>
        <v>0</v>
      </c>
      <c r="BE171" s="37">
        <v>0</v>
      </c>
      <c r="BF171" s="37">
        <f>171</f>
        <v>171</v>
      </c>
      <c r="BH171" s="37">
        <f>G171*AO171</f>
        <v>0</v>
      </c>
      <c r="BI171" s="37">
        <f>G171*AP171</f>
        <v>0</v>
      </c>
      <c r="BJ171" s="37">
        <f>G171*H171</f>
        <v>0</v>
      </c>
    </row>
    <row r="172" spans="3:7" ht="12.75">
      <c r="C172" s="39" t="s">
        <v>349</v>
      </c>
      <c r="D172" s="39"/>
      <c r="E172" s="39"/>
      <c r="G172" s="40">
        <v>3058</v>
      </c>
    </row>
    <row r="173" spans="1:62" ht="12.75">
      <c r="A173" s="10" t="s">
        <v>350</v>
      </c>
      <c r="B173" s="10" t="s">
        <v>351</v>
      </c>
      <c r="C173" s="10" t="s">
        <v>352</v>
      </c>
      <c r="D173" s="10"/>
      <c r="E173" s="10"/>
      <c r="F173" s="10" t="s">
        <v>117</v>
      </c>
      <c r="G173" s="37">
        <v>404.26</v>
      </c>
      <c r="H173" s="37">
        <v>0</v>
      </c>
      <c r="I173" s="37">
        <f>G173*AO173</f>
        <v>0</v>
      </c>
      <c r="J173" s="37">
        <f>G173*AP173</f>
        <v>0</v>
      </c>
      <c r="K173" s="37">
        <f>G173*H173</f>
        <v>0</v>
      </c>
      <c r="L173" s="38" t="s">
        <v>337</v>
      </c>
      <c r="Z173" s="37">
        <f>IF(AQ173="5",BJ173,0)</f>
        <v>0</v>
      </c>
      <c r="AB173" s="37">
        <f>IF(AQ173="1",BH173,0)</f>
        <v>0</v>
      </c>
      <c r="AC173" s="37">
        <f>IF(AQ173="1",BI173,0)</f>
        <v>0</v>
      </c>
      <c r="AD173" s="37">
        <f>IF(AQ173="7",BH173,0)</f>
        <v>0</v>
      </c>
      <c r="AE173" s="37">
        <f>IF(AQ173="7",BI173,0)</f>
        <v>0</v>
      </c>
      <c r="AF173" s="37">
        <f>IF(AQ173="2",BH173,0)</f>
        <v>0</v>
      </c>
      <c r="AG173" s="37">
        <f>IF(AQ173="2",BI173,0)</f>
        <v>0</v>
      </c>
      <c r="AH173" s="37">
        <f>IF(AQ173="0",BJ173,0)</f>
        <v>0</v>
      </c>
      <c r="AI173" s="31"/>
      <c r="AJ173" s="37">
        <f>IF(AN173=0,K173,0)</f>
        <v>0</v>
      </c>
      <c r="AK173" s="37">
        <f>IF(AN173=15,K173,0)</f>
        <v>0</v>
      </c>
      <c r="AL173" s="37">
        <f>IF(AN173=21,K173,0)</f>
        <v>0</v>
      </c>
      <c r="AN173" s="37">
        <v>15</v>
      </c>
      <c r="AO173" s="37">
        <f>H173*0.426504172809986</f>
        <v>0</v>
      </c>
      <c r="AP173" s="37">
        <f>H173*(1-0.426504172809986)</f>
        <v>0</v>
      </c>
      <c r="AQ173" s="38" t="s">
        <v>80</v>
      </c>
      <c r="AV173" s="37">
        <f>AW173+AX173</f>
        <v>0</v>
      </c>
      <c r="AW173" s="37">
        <f>G173*AO173</f>
        <v>0</v>
      </c>
      <c r="AX173" s="37">
        <f>G173*AP173</f>
        <v>0</v>
      </c>
      <c r="AY173" s="38" t="s">
        <v>348</v>
      </c>
      <c r="AZ173" s="38" t="s">
        <v>324</v>
      </c>
      <c r="BA173" s="31" t="s">
        <v>56</v>
      </c>
      <c r="BC173" s="37">
        <f>AW173+AX173</f>
        <v>0</v>
      </c>
      <c r="BD173" s="37">
        <f>H173/(100-BE173)*100</f>
        <v>0</v>
      </c>
      <c r="BE173" s="37">
        <v>0</v>
      </c>
      <c r="BF173" s="37">
        <f>173</f>
        <v>173</v>
      </c>
      <c r="BH173" s="37">
        <f>G173*AO173</f>
        <v>0</v>
      </c>
      <c r="BI173" s="37">
        <f>G173*AP173</f>
        <v>0</v>
      </c>
      <c r="BJ173" s="37">
        <f>G173*H173</f>
        <v>0</v>
      </c>
    </row>
    <row r="174" spans="3:7" ht="12.75">
      <c r="C174" s="39" t="s">
        <v>353</v>
      </c>
      <c r="D174" s="39"/>
      <c r="E174" s="39"/>
      <c r="G174" s="40">
        <v>375.5</v>
      </c>
    </row>
    <row r="175" spans="3:7" ht="12.75">
      <c r="C175" s="39" t="s">
        <v>354</v>
      </c>
      <c r="D175" s="39"/>
      <c r="E175" s="39"/>
      <c r="G175" s="40">
        <v>28.76</v>
      </c>
    </row>
    <row r="176" spans="1:62" ht="12.75">
      <c r="A176" s="10" t="s">
        <v>355</v>
      </c>
      <c r="B176" s="10" t="s">
        <v>356</v>
      </c>
      <c r="C176" s="10" t="s">
        <v>357</v>
      </c>
      <c r="D176" s="10"/>
      <c r="E176" s="10"/>
      <c r="F176" s="10" t="s">
        <v>117</v>
      </c>
      <c r="G176" s="37">
        <v>375.5</v>
      </c>
      <c r="H176" s="37">
        <v>0</v>
      </c>
      <c r="I176" s="37">
        <f>G176*AO176</f>
        <v>0</v>
      </c>
      <c r="J176" s="37">
        <f>G176*AP176</f>
        <v>0</v>
      </c>
      <c r="K176" s="37">
        <f>G176*H176</f>
        <v>0</v>
      </c>
      <c r="L176" s="38" t="s">
        <v>99</v>
      </c>
      <c r="Z176" s="37">
        <f>IF(AQ176="5",BJ176,0)</f>
        <v>0</v>
      </c>
      <c r="AB176" s="37">
        <f>IF(AQ176="1",BH176,0)</f>
        <v>0</v>
      </c>
      <c r="AC176" s="37">
        <f>IF(AQ176="1",BI176,0)</f>
        <v>0</v>
      </c>
      <c r="AD176" s="37">
        <f>IF(AQ176="7",BH176,0)</f>
        <v>0</v>
      </c>
      <c r="AE176" s="37">
        <f>IF(AQ176="7",BI176,0)</f>
        <v>0</v>
      </c>
      <c r="AF176" s="37">
        <f>IF(AQ176="2",BH176,0)</f>
        <v>0</v>
      </c>
      <c r="AG176" s="37">
        <f>IF(AQ176="2",BI176,0)</f>
        <v>0</v>
      </c>
      <c r="AH176" s="37">
        <f>IF(AQ176="0",BJ176,0)</f>
        <v>0</v>
      </c>
      <c r="AI176" s="31"/>
      <c r="AJ176" s="37">
        <f>IF(AN176=0,K176,0)</f>
        <v>0</v>
      </c>
      <c r="AK176" s="37">
        <f>IF(AN176=15,K176,0)</f>
        <v>0</v>
      </c>
      <c r="AL176" s="37">
        <f>IF(AN176=21,K176,0)</f>
        <v>0</v>
      </c>
      <c r="AN176" s="37">
        <v>15</v>
      </c>
      <c r="AO176" s="37">
        <f>H176*0.0407079646017699</f>
        <v>0</v>
      </c>
      <c r="AP176" s="37">
        <f>H176*(1-0.0407079646017699)</f>
        <v>0</v>
      </c>
      <c r="AQ176" s="38" t="s">
        <v>80</v>
      </c>
      <c r="AV176" s="37">
        <f>AW176+AX176</f>
        <v>0</v>
      </c>
      <c r="AW176" s="37">
        <f>G176*AO176</f>
        <v>0</v>
      </c>
      <c r="AX176" s="37">
        <f>G176*AP176</f>
        <v>0</v>
      </c>
      <c r="AY176" s="38" t="s">
        <v>348</v>
      </c>
      <c r="AZ176" s="38" t="s">
        <v>324</v>
      </c>
      <c r="BA176" s="31" t="s">
        <v>56</v>
      </c>
      <c r="BC176" s="37">
        <f>AW176+AX176</f>
        <v>0</v>
      </c>
      <c r="BD176" s="37">
        <f>H176/(100-BE176)*100</f>
        <v>0</v>
      </c>
      <c r="BE176" s="37">
        <v>0</v>
      </c>
      <c r="BF176" s="37">
        <f>176</f>
        <v>176</v>
      </c>
      <c r="BH176" s="37">
        <f>G176*AO176</f>
        <v>0</v>
      </c>
      <c r="BI176" s="37">
        <f>G176*AP176</f>
        <v>0</v>
      </c>
      <c r="BJ176" s="37">
        <f>G176*H176</f>
        <v>0</v>
      </c>
    </row>
    <row r="177" spans="3:7" ht="12.75">
      <c r="C177" s="39" t="s">
        <v>353</v>
      </c>
      <c r="D177" s="39"/>
      <c r="E177" s="39"/>
      <c r="G177" s="40">
        <v>375.5</v>
      </c>
    </row>
    <row r="178" spans="1:62" ht="12.75">
      <c r="A178" s="10" t="s">
        <v>135</v>
      </c>
      <c r="B178" s="10" t="s">
        <v>358</v>
      </c>
      <c r="C178" s="10" t="s">
        <v>359</v>
      </c>
      <c r="D178" s="10"/>
      <c r="E178" s="10"/>
      <c r="F178" s="10" t="s">
        <v>117</v>
      </c>
      <c r="G178" s="37">
        <v>431.825</v>
      </c>
      <c r="H178" s="37">
        <v>0</v>
      </c>
      <c r="I178" s="37">
        <f>G178*AO178</f>
        <v>0</v>
      </c>
      <c r="J178" s="37">
        <f>G178*AP178</f>
        <v>0</v>
      </c>
      <c r="K178" s="37">
        <f>G178*H178</f>
        <v>0</v>
      </c>
      <c r="L178" s="38" t="s">
        <v>99</v>
      </c>
      <c r="Z178" s="37">
        <f>IF(AQ178="5",BJ178,0)</f>
        <v>0</v>
      </c>
      <c r="AB178" s="37">
        <f>IF(AQ178="1",BH178,0)</f>
        <v>0</v>
      </c>
      <c r="AC178" s="37">
        <f>IF(AQ178="1",BI178,0)</f>
        <v>0</v>
      </c>
      <c r="AD178" s="37">
        <f>IF(AQ178="7",BH178,0)</f>
        <v>0</v>
      </c>
      <c r="AE178" s="37">
        <f>IF(AQ178="7",BI178,0)</f>
        <v>0</v>
      </c>
      <c r="AF178" s="37">
        <f>IF(AQ178="2",BH178,0)</f>
        <v>0</v>
      </c>
      <c r="AG178" s="37">
        <f>IF(AQ178="2",BI178,0)</f>
        <v>0</v>
      </c>
      <c r="AH178" s="37">
        <f>IF(AQ178="0",BJ178,0)</f>
        <v>0</v>
      </c>
      <c r="AI178" s="31"/>
      <c r="AJ178" s="37">
        <f>IF(AN178=0,K178,0)</f>
        <v>0</v>
      </c>
      <c r="AK178" s="37">
        <f>IF(AN178=15,K178,0)</f>
        <v>0</v>
      </c>
      <c r="AL178" s="37">
        <f>IF(AN178=21,K178,0)</f>
        <v>0</v>
      </c>
      <c r="AN178" s="37">
        <v>15</v>
      </c>
      <c r="AO178" s="37">
        <f>H178*1</f>
        <v>0</v>
      </c>
      <c r="AP178" s="37">
        <f>H178*(1-1)</f>
        <v>0</v>
      </c>
      <c r="AQ178" s="38" t="s">
        <v>80</v>
      </c>
      <c r="AV178" s="37">
        <f>AW178+AX178</f>
        <v>0</v>
      </c>
      <c r="AW178" s="37">
        <f>G178*AO178</f>
        <v>0</v>
      </c>
      <c r="AX178" s="37">
        <f>G178*AP178</f>
        <v>0</v>
      </c>
      <c r="AY178" s="38" t="s">
        <v>348</v>
      </c>
      <c r="AZ178" s="38" t="s">
        <v>324</v>
      </c>
      <c r="BA178" s="31" t="s">
        <v>56</v>
      </c>
      <c r="BC178" s="37">
        <f>AW178+AX178</f>
        <v>0</v>
      </c>
      <c r="BD178" s="37">
        <f>H178/(100-BE178)*100</f>
        <v>0</v>
      </c>
      <c r="BE178" s="37">
        <v>0</v>
      </c>
      <c r="BF178" s="37">
        <f>178</f>
        <v>178</v>
      </c>
      <c r="BH178" s="37">
        <f>G178*AO178</f>
        <v>0</v>
      </c>
      <c r="BI178" s="37">
        <f>G178*AP178</f>
        <v>0</v>
      </c>
      <c r="BJ178" s="37">
        <f>G178*H178</f>
        <v>0</v>
      </c>
    </row>
    <row r="179" spans="3:7" ht="12.75">
      <c r="C179" s="39" t="s">
        <v>353</v>
      </c>
      <c r="D179" s="39"/>
      <c r="E179" s="39"/>
      <c r="G179" s="40">
        <v>375.5</v>
      </c>
    </row>
    <row r="180" spans="3:7" ht="12.75">
      <c r="C180" s="39" t="s">
        <v>360</v>
      </c>
      <c r="D180" s="39"/>
      <c r="E180" s="39"/>
      <c r="G180" s="40">
        <v>56.325</v>
      </c>
    </row>
    <row r="181" spans="1:62" ht="12.75">
      <c r="A181" s="10" t="s">
        <v>361</v>
      </c>
      <c r="B181" s="10" t="s">
        <v>362</v>
      </c>
      <c r="C181" s="10" t="s">
        <v>363</v>
      </c>
      <c r="D181" s="10"/>
      <c r="E181" s="10"/>
      <c r="F181" s="10" t="s">
        <v>117</v>
      </c>
      <c r="G181" s="37">
        <v>375.5</v>
      </c>
      <c r="H181" s="37">
        <v>0</v>
      </c>
      <c r="I181" s="37">
        <f>G181*AO181</f>
        <v>0</v>
      </c>
      <c r="J181" s="37">
        <f>G181*AP181</f>
        <v>0</v>
      </c>
      <c r="K181" s="37">
        <f>G181*H181</f>
        <v>0</v>
      </c>
      <c r="L181" s="38" t="s">
        <v>99</v>
      </c>
      <c r="Z181" s="37">
        <f>IF(AQ181="5",BJ181,0)</f>
        <v>0</v>
      </c>
      <c r="AB181" s="37">
        <f>IF(AQ181="1",BH181,0)</f>
        <v>0</v>
      </c>
      <c r="AC181" s="37">
        <f>IF(AQ181="1",BI181,0)</f>
        <v>0</v>
      </c>
      <c r="AD181" s="37">
        <f>IF(AQ181="7",BH181,0)</f>
        <v>0</v>
      </c>
      <c r="AE181" s="37">
        <f>IF(AQ181="7",BI181,0)</f>
        <v>0</v>
      </c>
      <c r="AF181" s="37">
        <f>IF(AQ181="2",BH181,0)</f>
        <v>0</v>
      </c>
      <c r="AG181" s="37">
        <f>IF(AQ181="2",BI181,0)</f>
        <v>0</v>
      </c>
      <c r="AH181" s="37">
        <f>IF(AQ181="0",BJ181,0)</f>
        <v>0</v>
      </c>
      <c r="AI181" s="31"/>
      <c r="AJ181" s="37">
        <f>IF(AN181=0,K181,0)</f>
        <v>0</v>
      </c>
      <c r="AK181" s="37">
        <f>IF(AN181=15,K181,0)</f>
        <v>0</v>
      </c>
      <c r="AL181" s="37">
        <f>IF(AN181=21,K181,0)</f>
        <v>0</v>
      </c>
      <c r="AN181" s="37">
        <v>15</v>
      </c>
      <c r="AO181" s="37">
        <f>H181*0.0882027649769585</f>
        <v>0</v>
      </c>
      <c r="AP181" s="37">
        <f>H181*(1-0.0882027649769585)</f>
        <v>0</v>
      </c>
      <c r="AQ181" s="38" t="s">
        <v>80</v>
      </c>
      <c r="AV181" s="37">
        <f>AW181+AX181</f>
        <v>0</v>
      </c>
      <c r="AW181" s="37">
        <f>G181*AO181</f>
        <v>0</v>
      </c>
      <c r="AX181" s="37">
        <f>G181*AP181</f>
        <v>0</v>
      </c>
      <c r="AY181" s="38" t="s">
        <v>348</v>
      </c>
      <c r="AZ181" s="38" t="s">
        <v>324</v>
      </c>
      <c r="BA181" s="31" t="s">
        <v>56</v>
      </c>
      <c r="BC181" s="37">
        <f>AW181+AX181</f>
        <v>0</v>
      </c>
      <c r="BD181" s="37">
        <f>H181/(100-BE181)*100</f>
        <v>0</v>
      </c>
      <c r="BE181" s="37">
        <v>0</v>
      </c>
      <c r="BF181" s="37">
        <f>181</f>
        <v>181</v>
      </c>
      <c r="BH181" s="37">
        <f>G181*AO181</f>
        <v>0</v>
      </c>
      <c r="BI181" s="37">
        <f>G181*AP181</f>
        <v>0</v>
      </c>
      <c r="BJ181" s="37">
        <f>G181*H181</f>
        <v>0</v>
      </c>
    </row>
    <row r="182" spans="3:7" ht="12.75">
      <c r="C182" s="39" t="s">
        <v>353</v>
      </c>
      <c r="D182" s="39"/>
      <c r="E182" s="39"/>
      <c r="G182" s="40">
        <v>375.5</v>
      </c>
    </row>
    <row r="183" spans="1:62" ht="12.75">
      <c r="A183" s="10" t="s">
        <v>147</v>
      </c>
      <c r="B183" s="10" t="s">
        <v>364</v>
      </c>
      <c r="C183" s="10" t="s">
        <v>365</v>
      </c>
      <c r="D183" s="10"/>
      <c r="E183" s="10"/>
      <c r="F183" s="10" t="s">
        <v>117</v>
      </c>
      <c r="G183" s="37">
        <v>431.825</v>
      </c>
      <c r="H183" s="37">
        <v>0</v>
      </c>
      <c r="I183" s="37">
        <f>G183*AO183</f>
        <v>0</v>
      </c>
      <c r="J183" s="37">
        <f>G183*AP183</f>
        <v>0</v>
      </c>
      <c r="K183" s="37">
        <f>G183*H183</f>
        <v>0</v>
      </c>
      <c r="L183" s="38" t="s">
        <v>99</v>
      </c>
      <c r="Z183" s="37">
        <f>IF(AQ183="5",BJ183,0)</f>
        <v>0</v>
      </c>
      <c r="AB183" s="37">
        <f>IF(AQ183="1",BH183,0)</f>
        <v>0</v>
      </c>
      <c r="AC183" s="37">
        <f>IF(AQ183="1",BI183,0)</f>
        <v>0</v>
      </c>
      <c r="AD183" s="37">
        <f>IF(AQ183="7",BH183,0)</f>
        <v>0</v>
      </c>
      <c r="AE183" s="37">
        <f>IF(AQ183="7",BI183,0)</f>
        <v>0</v>
      </c>
      <c r="AF183" s="37">
        <f>IF(AQ183="2",BH183,0)</f>
        <v>0</v>
      </c>
      <c r="AG183" s="37">
        <f>IF(AQ183="2",BI183,0)</f>
        <v>0</v>
      </c>
      <c r="AH183" s="37">
        <f>IF(AQ183="0",BJ183,0)</f>
        <v>0</v>
      </c>
      <c r="AI183" s="31"/>
      <c r="AJ183" s="37">
        <f>IF(AN183=0,K183,0)</f>
        <v>0</v>
      </c>
      <c r="AK183" s="37">
        <f>IF(AN183=15,K183,0)</f>
        <v>0</v>
      </c>
      <c r="AL183" s="37">
        <f>IF(AN183=21,K183,0)</f>
        <v>0</v>
      </c>
      <c r="AN183" s="37">
        <v>15</v>
      </c>
      <c r="AO183" s="37">
        <f>H183*1</f>
        <v>0</v>
      </c>
      <c r="AP183" s="37">
        <f>H183*(1-1)</f>
        <v>0</v>
      </c>
      <c r="AQ183" s="38" t="s">
        <v>80</v>
      </c>
      <c r="AV183" s="37">
        <f>AW183+AX183</f>
        <v>0</v>
      </c>
      <c r="AW183" s="37">
        <f>G183*AO183</f>
        <v>0</v>
      </c>
      <c r="AX183" s="37">
        <f>G183*AP183</f>
        <v>0</v>
      </c>
      <c r="AY183" s="38" t="s">
        <v>348</v>
      </c>
      <c r="AZ183" s="38" t="s">
        <v>324</v>
      </c>
      <c r="BA183" s="31" t="s">
        <v>56</v>
      </c>
      <c r="BC183" s="37">
        <f>AW183+AX183</f>
        <v>0</v>
      </c>
      <c r="BD183" s="37">
        <f>H183/(100-BE183)*100</f>
        <v>0</v>
      </c>
      <c r="BE183" s="37">
        <v>0</v>
      </c>
      <c r="BF183" s="37">
        <f>183</f>
        <v>183</v>
      </c>
      <c r="BH183" s="37">
        <f>G183*AO183</f>
        <v>0</v>
      </c>
      <c r="BI183" s="37">
        <f>G183*AP183</f>
        <v>0</v>
      </c>
      <c r="BJ183" s="37">
        <f>G183*H183</f>
        <v>0</v>
      </c>
    </row>
    <row r="184" spans="3:7" ht="12.75">
      <c r="C184" s="39" t="s">
        <v>366</v>
      </c>
      <c r="D184" s="39"/>
      <c r="E184" s="39"/>
      <c r="G184" s="40">
        <v>375.5</v>
      </c>
    </row>
    <row r="185" spans="3:7" ht="12.75">
      <c r="C185" s="39" t="s">
        <v>360</v>
      </c>
      <c r="D185" s="39"/>
      <c r="E185" s="39"/>
      <c r="G185" s="40">
        <v>56.325</v>
      </c>
    </row>
    <row r="186" spans="1:62" ht="12.75">
      <c r="A186" s="10" t="s">
        <v>154</v>
      </c>
      <c r="B186" s="10" t="s">
        <v>367</v>
      </c>
      <c r="C186" s="10" t="s">
        <v>368</v>
      </c>
      <c r="D186" s="10"/>
      <c r="E186" s="10"/>
      <c r="F186" s="10" t="s">
        <v>145</v>
      </c>
      <c r="G186" s="37">
        <v>4.186</v>
      </c>
      <c r="H186" s="37">
        <v>0</v>
      </c>
      <c r="I186" s="37">
        <f>G186*AO186</f>
        <v>0</v>
      </c>
      <c r="J186" s="37">
        <f>G186*AP186</f>
        <v>0</v>
      </c>
      <c r="K186" s="37">
        <f>G186*H186</f>
        <v>0</v>
      </c>
      <c r="L186" s="38" t="s">
        <v>337</v>
      </c>
      <c r="Z186" s="37">
        <f>IF(AQ186="5",BJ186,0)</f>
        <v>0</v>
      </c>
      <c r="AB186" s="37">
        <f>IF(AQ186="1",BH186,0)</f>
        <v>0</v>
      </c>
      <c r="AC186" s="37">
        <f>IF(AQ186="1",BI186,0)</f>
        <v>0</v>
      </c>
      <c r="AD186" s="37">
        <f>IF(AQ186="7",BH186,0)</f>
        <v>0</v>
      </c>
      <c r="AE186" s="37">
        <f>IF(AQ186="7",BI186,0)</f>
        <v>0</v>
      </c>
      <c r="AF186" s="37">
        <f>IF(AQ186="2",BH186,0)</f>
        <v>0</v>
      </c>
      <c r="AG186" s="37">
        <f>IF(AQ186="2",BI186,0)</f>
        <v>0</v>
      </c>
      <c r="AH186" s="37">
        <f>IF(AQ186="0",BJ186,0)</f>
        <v>0</v>
      </c>
      <c r="AI186" s="31"/>
      <c r="AJ186" s="37">
        <f>IF(AN186=0,K186,0)</f>
        <v>0</v>
      </c>
      <c r="AK186" s="37">
        <f>IF(AN186=15,K186,0)</f>
        <v>0</v>
      </c>
      <c r="AL186" s="37">
        <f>IF(AN186=21,K186,0)</f>
        <v>0</v>
      </c>
      <c r="AN186" s="37">
        <v>15</v>
      </c>
      <c r="AO186" s="37">
        <f>H186*0</f>
        <v>0</v>
      </c>
      <c r="AP186" s="37">
        <f>H186*(1-0)</f>
        <v>0</v>
      </c>
      <c r="AQ186" s="38" t="s">
        <v>68</v>
      </c>
      <c r="AV186" s="37">
        <f>AW186+AX186</f>
        <v>0</v>
      </c>
      <c r="AW186" s="37">
        <f>G186*AO186</f>
        <v>0</v>
      </c>
      <c r="AX186" s="37">
        <f>G186*AP186</f>
        <v>0</v>
      </c>
      <c r="AY186" s="38" t="s">
        <v>348</v>
      </c>
      <c r="AZ186" s="38" t="s">
        <v>324</v>
      </c>
      <c r="BA186" s="31" t="s">
        <v>56</v>
      </c>
      <c r="BC186" s="37">
        <f>AW186+AX186</f>
        <v>0</v>
      </c>
      <c r="BD186" s="37">
        <f>H186/(100-BE186)*100</f>
        <v>0</v>
      </c>
      <c r="BE186" s="37">
        <v>0</v>
      </c>
      <c r="BF186" s="37">
        <f>186</f>
        <v>186</v>
      </c>
      <c r="BH186" s="37">
        <f>G186*AO186</f>
        <v>0</v>
      </c>
      <c r="BI186" s="37">
        <f>G186*AP186</f>
        <v>0</v>
      </c>
      <c r="BJ186" s="37">
        <f>G186*H186</f>
        <v>0</v>
      </c>
    </row>
    <row r="187" spans="3:7" ht="12.75">
      <c r="C187" s="39" t="s">
        <v>369</v>
      </c>
      <c r="D187" s="39"/>
      <c r="E187" s="39"/>
      <c r="G187" s="40">
        <v>4.186</v>
      </c>
    </row>
    <row r="188" spans="1:47" ht="12.75">
      <c r="A188" s="41"/>
      <c r="B188" s="42" t="s">
        <v>370</v>
      </c>
      <c r="C188" s="42" t="s">
        <v>371</v>
      </c>
      <c r="D188" s="42"/>
      <c r="E188" s="42"/>
      <c r="F188" s="41" t="s">
        <v>4</v>
      </c>
      <c r="G188" s="41" t="s">
        <v>4</v>
      </c>
      <c r="H188" s="41" t="s">
        <v>4</v>
      </c>
      <c r="I188" s="36">
        <f>SUM(I189:I198)</f>
        <v>0</v>
      </c>
      <c r="J188" s="36">
        <f>SUM(J189:J198)</f>
        <v>0</v>
      </c>
      <c r="K188" s="36">
        <f>SUM(K189:K198)</f>
        <v>0</v>
      </c>
      <c r="L188" s="31"/>
      <c r="AI188" s="31"/>
      <c r="AS188" s="36">
        <f>SUM(AJ189:AJ198)</f>
        <v>0</v>
      </c>
      <c r="AT188" s="36">
        <f>SUM(AK189:AK198)</f>
        <v>0</v>
      </c>
      <c r="AU188" s="36">
        <f>SUM(AL189:AL198)</f>
        <v>0</v>
      </c>
    </row>
    <row r="189" spans="1:62" ht="12.75">
      <c r="A189" s="10" t="s">
        <v>372</v>
      </c>
      <c r="B189" s="10" t="s">
        <v>373</v>
      </c>
      <c r="C189" s="10" t="s">
        <v>374</v>
      </c>
      <c r="D189" s="10"/>
      <c r="E189" s="10"/>
      <c r="F189" s="10" t="s">
        <v>117</v>
      </c>
      <c r="G189" s="37">
        <v>21.7155</v>
      </c>
      <c r="H189" s="37">
        <v>0</v>
      </c>
      <c r="I189" s="37">
        <f>G189*AO189</f>
        <v>0</v>
      </c>
      <c r="J189" s="37">
        <f>G189*AP189</f>
        <v>0</v>
      </c>
      <c r="K189" s="37">
        <f>G189*H189</f>
        <v>0</v>
      </c>
      <c r="L189" s="38" t="s">
        <v>54</v>
      </c>
      <c r="Z189" s="37">
        <f>IF(AQ189="5",BJ189,0)</f>
        <v>0</v>
      </c>
      <c r="AB189" s="37">
        <f>IF(AQ189="1",BH189,0)</f>
        <v>0</v>
      </c>
      <c r="AC189" s="37">
        <f>IF(AQ189="1",BI189,0)</f>
        <v>0</v>
      </c>
      <c r="AD189" s="37">
        <f>IF(AQ189="7",BH189,0)</f>
        <v>0</v>
      </c>
      <c r="AE189" s="37">
        <f>IF(AQ189="7",BI189,0)</f>
        <v>0</v>
      </c>
      <c r="AF189" s="37">
        <f>IF(AQ189="2",BH189,0)</f>
        <v>0</v>
      </c>
      <c r="AG189" s="37">
        <f>IF(AQ189="2",BI189,0)</f>
        <v>0</v>
      </c>
      <c r="AH189" s="37">
        <f>IF(AQ189="0",BJ189,0)</f>
        <v>0</v>
      </c>
      <c r="AI189" s="31"/>
      <c r="AJ189" s="37">
        <f>IF(AN189=0,K189,0)</f>
        <v>0</v>
      </c>
      <c r="AK189" s="37">
        <f>IF(AN189=15,K189,0)</f>
        <v>0</v>
      </c>
      <c r="AL189" s="37">
        <f>IF(AN189=21,K189,0)</f>
        <v>0</v>
      </c>
      <c r="AN189" s="37">
        <v>15</v>
      </c>
      <c r="AO189" s="37">
        <f>H189*0</f>
        <v>0</v>
      </c>
      <c r="AP189" s="37">
        <f>H189*(1-0)</f>
        <v>0</v>
      </c>
      <c r="AQ189" s="38" t="s">
        <v>80</v>
      </c>
      <c r="AV189" s="37">
        <f>AW189+AX189</f>
        <v>0</v>
      </c>
      <c r="AW189" s="37">
        <f>G189*AO189</f>
        <v>0</v>
      </c>
      <c r="AX189" s="37">
        <f>G189*AP189</f>
        <v>0</v>
      </c>
      <c r="AY189" s="38" t="s">
        <v>375</v>
      </c>
      <c r="AZ189" s="38" t="s">
        <v>324</v>
      </c>
      <c r="BA189" s="31" t="s">
        <v>56</v>
      </c>
      <c r="BC189" s="37">
        <f>AW189+AX189</f>
        <v>0</v>
      </c>
      <c r="BD189" s="37">
        <f>H189/(100-BE189)*100</f>
        <v>0</v>
      </c>
      <c r="BE189" s="37">
        <v>0</v>
      </c>
      <c r="BF189" s="37">
        <f>189</f>
        <v>189</v>
      </c>
      <c r="BH189" s="37">
        <f>G189*AO189</f>
        <v>0</v>
      </c>
      <c r="BI189" s="37">
        <f>G189*AP189</f>
        <v>0</v>
      </c>
      <c r="BJ189" s="37">
        <f>G189*H189</f>
        <v>0</v>
      </c>
    </row>
    <row r="190" spans="3:7" ht="12.75">
      <c r="C190" s="39" t="s">
        <v>376</v>
      </c>
      <c r="D190" s="39"/>
      <c r="E190" s="39"/>
      <c r="G190" s="40">
        <v>21.7155</v>
      </c>
    </row>
    <row r="191" spans="1:62" ht="12.75">
      <c r="A191" s="10" t="s">
        <v>377</v>
      </c>
      <c r="B191" s="10" t="s">
        <v>378</v>
      </c>
      <c r="C191" s="10" t="s">
        <v>379</v>
      </c>
      <c r="D191" s="10"/>
      <c r="E191" s="10"/>
      <c r="F191" s="10" t="s">
        <v>117</v>
      </c>
      <c r="G191" s="37">
        <v>43.431</v>
      </c>
      <c r="H191" s="37">
        <v>0</v>
      </c>
      <c r="I191" s="37">
        <f>G191*AO191</f>
        <v>0</v>
      </c>
      <c r="J191" s="37">
        <f>G191*AP191</f>
        <v>0</v>
      </c>
      <c r="K191" s="37">
        <f>G191*H191</f>
        <v>0</v>
      </c>
      <c r="L191" s="38" t="s">
        <v>54</v>
      </c>
      <c r="Z191" s="37">
        <f>IF(AQ191="5",BJ191,0)</f>
        <v>0</v>
      </c>
      <c r="AB191" s="37">
        <f>IF(AQ191="1",BH191,0)</f>
        <v>0</v>
      </c>
      <c r="AC191" s="37">
        <f>IF(AQ191="1",BI191,0)</f>
        <v>0</v>
      </c>
      <c r="AD191" s="37">
        <f>IF(AQ191="7",BH191,0)</f>
        <v>0</v>
      </c>
      <c r="AE191" s="37">
        <f>IF(AQ191="7",BI191,0)</f>
        <v>0</v>
      </c>
      <c r="AF191" s="37">
        <f>IF(AQ191="2",BH191,0)</f>
        <v>0</v>
      </c>
      <c r="AG191" s="37">
        <f>IF(AQ191="2",BI191,0)</f>
        <v>0</v>
      </c>
      <c r="AH191" s="37">
        <f>IF(AQ191="0",BJ191,0)</f>
        <v>0</v>
      </c>
      <c r="AI191" s="31"/>
      <c r="AJ191" s="37">
        <f>IF(AN191=0,K191,0)</f>
        <v>0</v>
      </c>
      <c r="AK191" s="37">
        <f>IF(AN191=15,K191,0)</f>
        <v>0</v>
      </c>
      <c r="AL191" s="37">
        <f>IF(AN191=21,K191,0)</f>
        <v>0</v>
      </c>
      <c r="AN191" s="37">
        <v>15</v>
      </c>
      <c r="AO191" s="37">
        <f>H191*1</f>
        <v>0</v>
      </c>
      <c r="AP191" s="37">
        <f>H191*(1-1)</f>
        <v>0</v>
      </c>
      <c r="AQ191" s="38" t="s">
        <v>80</v>
      </c>
      <c r="AV191" s="37">
        <f>AW191+AX191</f>
        <v>0</v>
      </c>
      <c r="AW191" s="37">
        <f>G191*AO191</f>
        <v>0</v>
      </c>
      <c r="AX191" s="37">
        <f>G191*AP191</f>
        <v>0</v>
      </c>
      <c r="AY191" s="38" t="s">
        <v>375</v>
      </c>
      <c r="AZ191" s="38" t="s">
        <v>324</v>
      </c>
      <c r="BA191" s="31" t="s">
        <v>56</v>
      </c>
      <c r="BC191" s="37">
        <f>AW191+AX191</f>
        <v>0</v>
      </c>
      <c r="BD191" s="37">
        <f>H191/(100-BE191)*100</f>
        <v>0</v>
      </c>
      <c r="BE191" s="37">
        <v>0</v>
      </c>
      <c r="BF191" s="37">
        <f>191</f>
        <v>191</v>
      </c>
      <c r="BH191" s="37">
        <f>G191*AO191</f>
        <v>0</v>
      </c>
      <c r="BI191" s="37">
        <f>G191*AP191</f>
        <v>0</v>
      </c>
      <c r="BJ191" s="37">
        <f>G191*H191</f>
        <v>0</v>
      </c>
    </row>
    <row r="192" spans="3:7" ht="12.75">
      <c r="C192" s="39" t="s">
        <v>380</v>
      </c>
      <c r="D192" s="39"/>
      <c r="E192" s="39"/>
      <c r="G192" s="40">
        <v>43.431</v>
      </c>
    </row>
    <row r="193" spans="1:62" ht="12.75">
      <c r="A193" s="10" t="s">
        <v>381</v>
      </c>
      <c r="B193" s="10" t="s">
        <v>382</v>
      </c>
      <c r="C193" s="10" t="s">
        <v>383</v>
      </c>
      <c r="D193" s="10"/>
      <c r="E193" s="10"/>
      <c r="F193" s="10" t="s">
        <v>117</v>
      </c>
      <c r="G193" s="37">
        <v>375.5</v>
      </c>
      <c r="H193" s="37">
        <v>0</v>
      </c>
      <c r="I193" s="37">
        <f>G193*AO193</f>
        <v>0</v>
      </c>
      <c r="J193" s="37">
        <f>G193*AP193</f>
        <v>0</v>
      </c>
      <c r="K193" s="37">
        <f>G193*H193</f>
        <v>0</v>
      </c>
      <c r="L193" s="38" t="s">
        <v>99</v>
      </c>
      <c r="Z193" s="37">
        <f>IF(AQ193="5",BJ193,0)</f>
        <v>0</v>
      </c>
      <c r="AB193" s="37">
        <f>IF(AQ193="1",BH193,0)</f>
        <v>0</v>
      </c>
      <c r="AC193" s="37">
        <f>IF(AQ193="1",BI193,0)</f>
        <v>0</v>
      </c>
      <c r="AD193" s="37">
        <f>IF(AQ193="7",BH193,0)</f>
        <v>0</v>
      </c>
      <c r="AE193" s="37">
        <f>IF(AQ193="7",BI193,0)</f>
        <v>0</v>
      </c>
      <c r="AF193" s="37">
        <f>IF(AQ193="2",BH193,0)</f>
        <v>0</v>
      </c>
      <c r="AG193" s="37">
        <f>IF(AQ193="2",BI193,0)</f>
        <v>0</v>
      </c>
      <c r="AH193" s="37">
        <f>IF(AQ193="0",BJ193,0)</f>
        <v>0</v>
      </c>
      <c r="AI193" s="31"/>
      <c r="AJ193" s="37">
        <f>IF(AN193=0,K193,0)</f>
        <v>0</v>
      </c>
      <c r="AK193" s="37">
        <f>IF(AN193=15,K193,0)</f>
        <v>0</v>
      </c>
      <c r="AL193" s="37">
        <f>IF(AN193=21,K193,0)</f>
        <v>0</v>
      </c>
      <c r="AN193" s="37">
        <v>15</v>
      </c>
      <c r="AO193" s="37">
        <f>H193*0.299766990291262</f>
        <v>0</v>
      </c>
      <c r="AP193" s="37">
        <f>H193*(1-0.299766990291262)</f>
        <v>0</v>
      </c>
      <c r="AQ193" s="38" t="s">
        <v>80</v>
      </c>
      <c r="AV193" s="37">
        <f>AW193+AX193</f>
        <v>0</v>
      </c>
      <c r="AW193" s="37">
        <f>G193*AO193</f>
        <v>0</v>
      </c>
      <c r="AX193" s="37">
        <f>G193*AP193</f>
        <v>0</v>
      </c>
      <c r="AY193" s="38" t="s">
        <v>375</v>
      </c>
      <c r="AZ193" s="38" t="s">
        <v>324</v>
      </c>
      <c r="BA193" s="31" t="s">
        <v>56</v>
      </c>
      <c r="BC193" s="37">
        <f>AW193+AX193</f>
        <v>0</v>
      </c>
      <c r="BD193" s="37">
        <f>H193/(100-BE193)*100</f>
        <v>0</v>
      </c>
      <c r="BE193" s="37">
        <v>0</v>
      </c>
      <c r="BF193" s="37">
        <f>193</f>
        <v>193</v>
      </c>
      <c r="BH193" s="37">
        <f>G193*AO193</f>
        <v>0</v>
      </c>
      <c r="BI193" s="37">
        <f>G193*AP193</f>
        <v>0</v>
      </c>
      <c r="BJ193" s="37">
        <f>G193*H193</f>
        <v>0</v>
      </c>
    </row>
    <row r="194" spans="3:7" ht="12.75">
      <c r="C194" s="39" t="s">
        <v>353</v>
      </c>
      <c r="D194" s="39"/>
      <c r="E194" s="39"/>
      <c r="G194" s="40">
        <v>375.5</v>
      </c>
    </row>
    <row r="195" spans="1:62" ht="12.75">
      <c r="A195" s="10" t="s">
        <v>384</v>
      </c>
      <c r="B195" s="10" t="s">
        <v>385</v>
      </c>
      <c r="C195" s="10" t="s">
        <v>386</v>
      </c>
      <c r="D195" s="10"/>
      <c r="E195" s="10"/>
      <c r="F195" s="10" t="s">
        <v>83</v>
      </c>
      <c r="G195" s="37">
        <v>81.108</v>
      </c>
      <c r="H195" s="37">
        <v>0</v>
      </c>
      <c r="I195" s="37">
        <f>G195*AO195</f>
        <v>0</v>
      </c>
      <c r="J195" s="37">
        <f>G195*AP195</f>
        <v>0</v>
      </c>
      <c r="K195" s="37">
        <f>G195*H195</f>
        <v>0</v>
      </c>
      <c r="L195" s="38" t="s">
        <v>99</v>
      </c>
      <c r="Z195" s="37">
        <f>IF(AQ195="5",BJ195,0)</f>
        <v>0</v>
      </c>
      <c r="AB195" s="37">
        <f>IF(AQ195="1",BH195,0)</f>
        <v>0</v>
      </c>
      <c r="AC195" s="37">
        <f>IF(AQ195="1",BI195,0)</f>
        <v>0</v>
      </c>
      <c r="AD195" s="37">
        <f>IF(AQ195="7",BH195,0)</f>
        <v>0</v>
      </c>
      <c r="AE195" s="37">
        <f>IF(AQ195="7",BI195,0)</f>
        <v>0</v>
      </c>
      <c r="AF195" s="37">
        <f>IF(AQ195="2",BH195,0)</f>
        <v>0</v>
      </c>
      <c r="AG195" s="37">
        <f>IF(AQ195="2",BI195,0)</f>
        <v>0</v>
      </c>
      <c r="AH195" s="37">
        <f>IF(AQ195="0",BJ195,0)</f>
        <v>0</v>
      </c>
      <c r="AI195" s="31"/>
      <c r="AJ195" s="37">
        <f>IF(AN195=0,K195,0)</f>
        <v>0</v>
      </c>
      <c r="AK195" s="37">
        <f>IF(AN195=15,K195,0)</f>
        <v>0</v>
      </c>
      <c r="AL195" s="37">
        <f>IF(AN195=21,K195,0)</f>
        <v>0</v>
      </c>
      <c r="AN195" s="37">
        <v>15</v>
      </c>
      <c r="AO195" s="37">
        <f>H195*1</f>
        <v>0</v>
      </c>
      <c r="AP195" s="37">
        <f>H195*(1-1)</f>
        <v>0</v>
      </c>
      <c r="AQ195" s="38" t="s">
        <v>80</v>
      </c>
      <c r="AV195" s="37">
        <f>AW195+AX195</f>
        <v>0</v>
      </c>
      <c r="AW195" s="37">
        <f>G195*AO195</f>
        <v>0</v>
      </c>
      <c r="AX195" s="37">
        <f>G195*AP195</f>
        <v>0</v>
      </c>
      <c r="AY195" s="38" t="s">
        <v>375</v>
      </c>
      <c r="AZ195" s="38" t="s">
        <v>324</v>
      </c>
      <c r="BA195" s="31" t="s">
        <v>56</v>
      </c>
      <c r="BC195" s="37">
        <f>AW195+AX195</f>
        <v>0</v>
      </c>
      <c r="BD195" s="37">
        <f>H195/(100-BE195)*100</f>
        <v>0</v>
      </c>
      <c r="BE195" s="37">
        <v>0</v>
      </c>
      <c r="BF195" s="37">
        <f>195</f>
        <v>195</v>
      </c>
      <c r="BH195" s="37">
        <f>G195*AO195</f>
        <v>0</v>
      </c>
      <c r="BI195" s="37">
        <f>G195*AP195</f>
        <v>0</v>
      </c>
      <c r="BJ195" s="37">
        <f>G195*H195</f>
        <v>0</v>
      </c>
    </row>
    <row r="196" spans="3:7" ht="12.75">
      <c r="C196" s="39" t="s">
        <v>387</v>
      </c>
      <c r="D196" s="39"/>
      <c r="E196" s="39"/>
      <c r="G196" s="40">
        <v>75.1</v>
      </c>
    </row>
    <row r="197" spans="3:7" ht="12.75">
      <c r="C197" s="39" t="s">
        <v>388</v>
      </c>
      <c r="D197" s="39"/>
      <c r="E197" s="39"/>
      <c r="G197" s="40">
        <v>6.008</v>
      </c>
    </row>
    <row r="198" spans="1:62" ht="12.75">
      <c r="A198" s="10" t="s">
        <v>389</v>
      </c>
      <c r="B198" s="10" t="s">
        <v>390</v>
      </c>
      <c r="C198" s="10" t="s">
        <v>368</v>
      </c>
      <c r="D198" s="10"/>
      <c r="E198" s="10"/>
      <c r="F198" s="10" t="s">
        <v>145</v>
      </c>
      <c r="G198" s="37">
        <v>1.752</v>
      </c>
      <c r="H198" s="37">
        <v>0</v>
      </c>
      <c r="I198" s="37">
        <f>G198*AO198</f>
        <v>0</v>
      </c>
      <c r="J198" s="37">
        <f>G198*AP198</f>
        <v>0</v>
      </c>
      <c r="K198" s="37">
        <f>G198*H198</f>
        <v>0</v>
      </c>
      <c r="L198" s="38" t="s">
        <v>54</v>
      </c>
      <c r="Z198" s="37">
        <f>IF(AQ198="5",BJ198,0)</f>
        <v>0</v>
      </c>
      <c r="AB198" s="37">
        <f>IF(AQ198="1",BH198,0)</f>
        <v>0</v>
      </c>
      <c r="AC198" s="37">
        <f>IF(AQ198="1",BI198,0)</f>
        <v>0</v>
      </c>
      <c r="AD198" s="37">
        <f>IF(AQ198="7",BH198,0)</f>
        <v>0</v>
      </c>
      <c r="AE198" s="37">
        <f>IF(AQ198="7",BI198,0)</f>
        <v>0</v>
      </c>
      <c r="AF198" s="37">
        <f>IF(AQ198="2",BH198,0)</f>
        <v>0</v>
      </c>
      <c r="AG198" s="37">
        <f>IF(AQ198="2",BI198,0)</f>
        <v>0</v>
      </c>
      <c r="AH198" s="37">
        <f>IF(AQ198="0",BJ198,0)</f>
        <v>0</v>
      </c>
      <c r="AI198" s="31"/>
      <c r="AJ198" s="37">
        <f>IF(AN198=0,K198,0)</f>
        <v>0</v>
      </c>
      <c r="AK198" s="37">
        <f>IF(AN198=15,K198,0)</f>
        <v>0</v>
      </c>
      <c r="AL198" s="37">
        <f>IF(AN198=21,K198,0)</f>
        <v>0</v>
      </c>
      <c r="AN198" s="37">
        <v>15</v>
      </c>
      <c r="AO198" s="37">
        <f>H198*0</f>
        <v>0</v>
      </c>
      <c r="AP198" s="37">
        <f>H198*(1-0)</f>
        <v>0</v>
      </c>
      <c r="AQ198" s="38" t="s">
        <v>68</v>
      </c>
      <c r="AV198" s="37">
        <f>AW198+AX198</f>
        <v>0</v>
      </c>
      <c r="AW198" s="37">
        <f>G198*AO198</f>
        <v>0</v>
      </c>
      <c r="AX198" s="37">
        <f>G198*AP198</f>
        <v>0</v>
      </c>
      <c r="AY198" s="38" t="s">
        <v>375</v>
      </c>
      <c r="AZ198" s="38" t="s">
        <v>324</v>
      </c>
      <c r="BA198" s="31" t="s">
        <v>56</v>
      </c>
      <c r="BC198" s="37">
        <f>AW198+AX198</f>
        <v>0</v>
      </c>
      <c r="BD198" s="37">
        <f>H198/(100-BE198)*100</f>
        <v>0</v>
      </c>
      <c r="BE198" s="37">
        <v>0</v>
      </c>
      <c r="BF198" s="37">
        <f>198</f>
        <v>198</v>
      </c>
      <c r="BH198" s="37">
        <f>G198*AO198</f>
        <v>0</v>
      </c>
      <c r="BI198" s="37">
        <f>G198*AP198</f>
        <v>0</v>
      </c>
      <c r="BJ198" s="37">
        <f>G198*H198</f>
        <v>0</v>
      </c>
    </row>
    <row r="199" spans="3:7" ht="12.75">
      <c r="C199" s="39" t="s">
        <v>391</v>
      </c>
      <c r="D199" s="39"/>
      <c r="E199" s="39"/>
      <c r="G199" s="40">
        <v>1.752</v>
      </c>
    </row>
    <row r="200" spans="1:47" ht="12.75">
      <c r="A200" s="41"/>
      <c r="B200" s="42" t="s">
        <v>392</v>
      </c>
      <c r="C200" s="42" t="s">
        <v>393</v>
      </c>
      <c r="D200" s="42"/>
      <c r="E200" s="42"/>
      <c r="F200" s="41" t="s">
        <v>4</v>
      </c>
      <c r="G200" s="41" t="s">
        <v>4</v>
      </c>
      <c r="H200" s="41" t="s">
        <v>4</v>
      </c>
      <c r="I200" s="36">
        <f>SUM(I201:I207)</f>
        <v>0</v>
      </c>
      <c r="J200" s="36">
        <f>SUM(J201:J207)</f>
        <v>0</v>
      </c>
      <c r="K200" s="36">
        <f>SUM(K201:K207)</f>
        <v>0</v>
      </c>
      <c r="L200" s="31"/>
      <c r="AI200" s="31"/>
      <c r="AS200" s="36">
        <f>SUM(AJ201:AJ207)</f>
        <v>0</v>
      </c>
      <c r="AT200" s="36">
        <f>SUM(AK201:AK207)</f>
        <v>0</v>
      </c>
      <c r="AU200" s="36">
        <f>SUM(AL201:AL207)</f>
        <v>0</v>
      </c>
    </row>
    <row r="201" spans="1:62" ht="12.75">
      <c r="A201" s="10" t="s">
        <v>394</v>
      </c>
      <c r="B201" s="10" t="s">
        <v>395</v>
      </c>
      <c r="C201" s="10" t="s">
        <v>396</v>
      </c>
      <c r="D201" s="10"/>
      <c r="E201" s="10"/>
      <c r="F201" s="10" t="s">
        <v>347</v>
      </c>
      <c r="G201" s="37">
        <v>5</v>
      </c>
      <c r="H201" s="37">
        <v>0</v>
      </c>
      <c r="I201" s="37">
        <f>G201*AO201</f>
        <v>0</v>
      </c>
      <c r="J201" s="37">
        <f>G201*AP201</f>
        <v>0</v>
      </c>
      <c r="K201" s="37">
        <f>G201*H201</f>
        <v>0</v>
      </c>
      <c r="L201" s="38" t="s">
        <v>54</v>
      </c>
      <c r="Z201" s="37">
        <f>IF(AQ201="5",BJ201,0)</f>
        <v>0</v>
      </c>
      <c r="AB201" s="37">
        <f>IF(AQ201="1",BH201,0)</f>
        <v>0</v>
      </c>
      <c r="AC201" s="37">
        <f>IF(AQ201="1",BI201,0)</f>
        <v>0</v>
      </c>
      <c r="AD201" s="37">
        <f>IF(AQ201="7",BH201,0)</f>
        <v>0</v>
      </c>
      <c r="AE201" s="37">
        <f>IF(AQ201="7",BI201,0)</f>
        <v>0</v>
      </c>
      <c r="AF201" s="37">
        <f>IF(AQ201="2",BH201,0)</f>
        <v>0</v>
      </c>
      <c r="AG201" s="37">
        <f>IF(AQ201="2",BI201,0)</f>
        <v>0</v>
      </c>
      <c r="AH201" s="37">
        <f>IF(AQ201="0",BJ201,0)</f>
        <v>0</v>
      </c>
      <c r="AI201" s="31"/>
      <c r="AJ201" s="37">
        <f>IF(AN201=0,K201,0)</f>
        <v>0</v>
      </c>
      <c r="AK201" s="37">
        <f>IF(AN201=15,K201,0)</f>
        <v>0</v>
      </c>
      <c r="AL201" s="37">
        <f>IF(AN201=21,K201,0)</f>
        <v>0</v>
      </c>
      <c r="AN201" s="37">
        <v>15</v>
      </c>
      <c r="AO201" s="37">
        <f>H201*0.812316221712717</f>
        <v>0</v>
      </c>
      <c r="AP201" s="37">
        <f>H201*(1-0.812316221712717)</f>
        <v>0</v>
      </c>
      <c r="AQ201" s="38" t="s">
        <v>80</v>
      </c>
      <c r="AV201" s="37">
        <f>AW201+AX201</f>
        <v>0</v>
      </c>
      <c r="AW201" s="37">
        <f>G201*AO201</f>
        <v>0</v>
      </c>
      <c r="AX201" s="37">
        <f>G201*AP201</f>
        <v>0</v>
      </c>
      <c r="AY201" s="38" t="s">
        <v>397</v>
      </c>
      <c r="AZ201" s="38" t="s">
        <v>398</v>
      </c>
      <c r="BA201" s="31" t="s">
        <v>56</v>
      </c>
      <c r="BC201" s="37">
        <f>AW201+AX201</f>
        <v>0</v>
      </c>
      <c r="BD201" s="37">
        <f>H201/(100-BE201)*100</f>
        <v>0</v>
      </c>
      <c r="BE201" s="37">
        <v>0</v>
      </c>
      <c r="BF201" s="37">
        <f>201</f>
        <v>201</v>
      </c>
      <c r="BH201" s="37">
        <f>G201*AO201</f>
        <v>0</v>
      </c>
      <c r="BI201" s="37">
        <f>G201*AP201</f>
        <v>0</v>
      </c>
      <c r="BJ201" s="37">
        <f>G201*H201</f>
        <v>0</v>
      </c>
    </row>
    <row r="202" spans="3:7" ht="12.75">
      <c r="C202" s="39" t="s">
        <v>399</v>
      </c>
      <c r="D202" s="39"/>
      <c r="E202" s="39"/>
      <c r="G202" s="40">
        <v>5</v>
      </c>
    </row>
    <row r="203" spans="1:62" ht="12.75">
      <c r="A203" s="10" t="s">
        <v>400</v>
      </c>
      <c r="B203" s="10" t="s">
        <v>401</v>
      </c>
      <c r="C203" s="10" t="s">
        <v>402</v>
      </c>
      <c r="D203" s="10"/>
      <c r="E203" s="10"/>
      <c r="F203" s="10" t="s">
        <v>347</v>
      </c>
      <c r="G203" s="37">
        <v>2</v>
      </c>
      <c r="H203" s="37">
        <v>0</v>
      </c>
      <c r="I203" s="37">
        <f>G203*AO203</f>
        <v>0</v>
      </c>
      <c r="J203" s="37">
        <f>G203*AP203</f>
        <v>0</v>
      </c>
      <c r="K203" s="37">
        <f>G203*H203</f>
        <v>0</v>
      </c>
      <c r="L203" s="38" t="s">
        <v>54</v>
      </c>
      <c r="Z203" s="37">
        <f>IF(AQ203="5",BJ203,0)</f>
        <v>0</v>
      </c>
      <c r="AB203" s="37">
        <f>IF(AQ203="1",BH203,0)</f>
        <v>0</v>
      </c>
      <c r="AC203" s="37">
        <f>IF(AQ203="1",BI203,0)</f>
        <v>0</v>
      </c>
      <c r="AD203" s="37">
        <f>IF(AQ203="7",BH203,0)</f>
        <v>0</v>
      </c>
      <c r="AE203" s="37">
        <f>IF(AQ203="7",BI203,0)</f>
        <v>0</v>
      </c>
      <c r="AF203" s="37">
        <f>IF(AQ203="2",BH203,0)</f>
        <v>0</v>
      </c>
      <c r="AG203" s="37">
        <f>IF(AQ203="2",BI203,0)</f>
        <v>0</v>
      </c>
      <c r="AH203" s="37">
        <f>IF(AQ203="0",BJ203,0)</f>
        <v>0</v>
      </c>
      <c r="AI203" s="31"/>
      <c r="AJ203" s="37">
        <f>IF(AN203=0,K203,0)</f>
        <v>0</v>
      </c>
      <c r="AK203" s="37">
        <f>IF(AN203=15,K203,0)</f>
        <v>0</v>
      </c>
      <c r="AL203" s="37">
        <f>IF(AN203=21,K203,0)</f>
        <v>0</v>
      </c>
      <c r="AN203" s="37">
        <v>15</v>
      </c>
      <c r="AO203" s="37">
        <f>H203*1</f>
        <v>0</v>
      </c>
      <c r="AP203" s="37">
        <f>H203*(1-1)</f>
        <v>0</v>
      </c>
      <c r="AQ203" s="38" t="s">
        <v>80</v>
      </c>
      <c r="AV203" s="37">
        <f>AW203+AX203</f>
        <v>0</v>
      </c>
      <c r="AW203" s="37">
        <f>G203*AO203</f>
        <v>0</v>
      </c>
      <c r="AX203" s="37">
        <f>G203*AP203</f>
        <v>0</v>
      </c>
      <c r="AY203" s="38" t="s">
        <v>397</v>
      </c>
      <c r="AZ203" s="38" t="s">
        <v>398</v>
      </c>
      <c r="BA203" s="31" t="s">
        <v>56</v>
      </c>
      <c r="BC203" s="37">
        <f>AW203+AX203</f>
        <v>0</v>
      </c>
      <c r="BD203" s="37">
        <f>H203/(100-BE203)*100</f>
        <v>0</v>
      </c>
      <c r="BE203" s="37">
        <v>0</v>
      </c>
      <c r="BF203" s="37">
        <f>203</f>
        <v>203</v>
      </c>
      <c r="BH203" s="37">
        <f>G203*AO203</f>
        <v>0</v>
      </c>
      <c r="BI203" s="37">
        <f>G203*AP203</f>
        <v>0</v>
      </c>
      <c r="BJ203" s="37">
        <f>G203*H203</f>
        <v>0</v>
      </c>
    </row>
    <row r="204" spans="3:7" ht="12.75">
      <c r="C204" s="39" t="s">
        <v>403</v>
      </c>
      <c r="D204" s="39"/>
      <c r="E204" s="39"/>
      <c r="G204" s="40">
        <v>2</v>
      </c>
    </row>
    <row r="205" spans="1:62" ht="12.75">
      <c r="A205" s="10" t="s">
        <v>404</v>
      </c>
      <c r="B205" s="10" t="s">
        <v>405</v>
      </c>
      <c r="C205" s="10" t="s">
        <v>406</v>
      </c>
      <c r="D205" s="10"/>
      <c r="E205" s="10"/>
      <c r="F205" s="10" t="s">
        <v>167</v>
      </c>
      <c r="G205" s="37">
        <v>2</v>
      </c>
      <c r="H205" s="37">
        <v>0</v>
      </c>
      <c r="I205" s="37">
        <f>G205*AO205</f>
        <v>0</v>
      </c>
      <c r="J205" s="37">
        <f>G205*AP205</f>
        <v>0</v>
      </c>
      <c r="K205" s="37">
        <f>G205*H205</f>
        <v>0</v>
      </c>
      <c r="L205" s="38" t="s">
        <v>54</v>
      </c>
      <c r="Z205" s="37">
        <f>IF(AQ205="5",BJ205,0)</f>
        <v>0</v>
      </c>
      <c r="AB205" s="37">
        <f>IF(AQ205="1",BH205,0)</f>
        <v>0</v>
      </c>
      <c r="AC205" s="37">
        <f>IF(AQ205="1",BI205,0)</f>
        <v>0</v>
      </c>
      <c r="AD205" s="37">
        <f>IF(AQ205="7",BH205,0)</f>
        <v>0</v>
      </c>
      <c r="AE205" s="37">
        <f>IF(AQ205="7",BI205,0)</f>
        <v>0</v>
      </c>
      <c r="AF205" s="37">
        <f>IF(AQ205="2",BH205,0)</f>
        <v>0</v>
      </c>
      <c r="AG205" s="37">
        <f>IF(AQ205="2",BI205,0)</f>
        <v>0</v>
      </c>
      <c r="AH205" s="37">
        <f>IF(AQ205="0",BJ205,0)</f>
        <v>0</v>
      </c>
      <c r="AI205" s="31"/>
      <c r="AJ205" s="37">
        <f>IF(AN205=0,K205,0)</f>
        <v>0</v>
      </c>
      <c r="AK205" s="37">
        <f>IF(AN205=15,K205,0)</f>
        <v>0</v>
      </c>
      <c r="AL205" s="37">
        <f>IF(AN205=21,K205,0)</f>
        <v>0</v>
      </c>
      <c r="AN205" s="37">
        <v>15</v>
      </c>
      <c r="AO205" s="37">
        <f>H205*0</f>
        <v>0</v>
      </c>
      <c r="AP205" s="37">
        <f>H205*(1-0)</f>
        <v>0</v>
      </c>
      <c r="AQ205" s="38" t="s">
        <v>80</v>
      </c>
      <c r="AV205" s="37">
        <f>AW205+AX205</f>
        <v>0</v>
      </c>
      <c r="AW205" s="37">
        <f>G205*AO205</f>
        <v>0</v>
      </c>
      <c r="AX205" s="37">
        <f>G205*AP205</f>
        <v>0</v>
      </c>
      <c r="AY205" s="38" t="s">
        <v>397</v>
      </c>
      <c r="AZ205" s="38" t="s">
        <v>398</v>
      </c>
      <c r="BA205" s="31" t="s">
        <v>56</v>
      </c>
      <c r="BC205" s="37">
        <f>AW205+AX205</f>
        <v>0</v>
      </c>
      <c r="BD205" s="37">
        <f>H205/(100-BE205)*100</f>
        <v>0</v>
      </c>
      <c r="BE205" s="37">
        <v>0</v>
      </c>
      <c r="BF205" s="37">
        <f>205</f>
        <v>205</v>
      </c>
      <c r="BH205" s="37">
        <f>G205*AO205</f>
        <v>0</v>
      </c>
      <c r="BI205" s="37">
        <f>G205*AP205</f>
        <v>0</v>
      </c>
      <c r="BJ205" s="37">
        <f>G205*H205</f>
        <v>0</v>
      </c>
    </row>
    <row r="206" spans="3:7" ht="12.75">
      <c r="C206" s="39" t="s">
        <v>403</v>
      </c>
      <c r="D206" s="39"/>
      <c r="E206" s="39"/>
      <c r="G206" s="40">
        <v>2</v>
      </c>
    </row>
    <row r="207" spans="1:62" ht="12.75">
      <c r="A207" s="10" t="s">
        <v>407</v>
      </c>
      <c r="B207" s="10" t="s">
        <v>408</v>
      </c>
      <c r="C207" s="10" t="s">
        <v>409</v>
      </c>
      <c r="D207" s="10"/>
      <c r="E207" s="10"/>
      <c r="F207" s="10" t="s">
        <v>347</v>
      </c>
      <c r="G207" s="37">
        <v>5</v>
      </c>
      <c r="H207" s="37">
        <v>0</v>
      </c>
      <c r="I207" s="37">
        <f>G207*AO207</f>
        <v>0</v>
      </c>
      <c r="J207" s="37">
        <f>G207*AP207</f>
        <v>0</v>
      </c>
      <c r="K207" s="37">
        <f>G207*H207</f>
        <v>0</v>
      </c>
      <c r="L207" s="38" t="s">
        <v>54</v>
      </c>
      <c r="Z207" s="37">
        <f>IF(AQ207="5",BJ207,0)</f>
        <v>0</v>
      </c>
      <c r="AB207" s="37">
        <f>IF(AQ207="1",BH207,0)</f>
        <v>0</v>
      </c>
      <c r="AC207" s="37">
        <f>IF(AQ207="1",BI207,0)</f>
        <v>0</v>
      </c>
      <c r="AD207" s="37">
        <f>IF(AQ207="7",BH207,0)</f>
        <v>0</v>
      </c>
      <c r="AE207" s="37">
        <f>IF(AQ207="7",BI207,0)</f>
        <v>0</v>
      </c>
      <c r="AF207" s="37">
        <f>IF(AQ207="2",BH207,0)</f>
        <v>0</v>
      </c>
      <c r="AG207" s="37">
        <f>IF(AQ207="2",BI207,0)</f>
        <v>0</v>
      </c>
      <c r="AH207" s="37">
        <f>IF(AQ207="0",BJ207,0)</f>
        <v>0</v>
      </c>
      <c r="AI207" s="31"/>
      <c r="AJ207" s="37">
        <f>IF(AN207=0,K207,0)</f>
        <v>0</v>
      </c>
      <c r="AK207" s="37">
        <f>IF(AN207=15,K207,0)</f>
        <v>0</v>
      </c>
      <c r="AL207" s="37">
        <f>IF(AN207=21,K207,0)</f>
        <v>0</v>
      </c>
      <c r="AN207" s="37">
        <v>15</v>
      </c>
      <c r="AO207" s="37">
        <f>H207*0.50207910924774</f>
        <v>0</v>
      </c>
      <c r="AP207" s="37">
        <f>H207*(1-0.50207910924774)</f>
        <v>0</v>
      </c>
      <c r="AQ207" s="38" t="s">
        <v>80</v>
      </c>
      <c r="AV207" s="37">
        <f>AW207+AX207</f>
        <v>0</v>
      </c>
      <c r="AW207" s="37">
        <f>G207*AO207</f>
        <v>0</v>
      </c>
      <c r="AX207" s="37">
        <f>G207*AP207</f>
        <v>0</v>
      </c>
      <c r="AY207" s="38" t="s">
        <v>397</v>
      </c>
      <c r="AZ207" s="38" t="s">
        <v>398</v>
      </c>
      <c r="BA207" s="31" t="s">
        <v>56</v>
      </c>
      <c r="BC207" s="37">
        <f>AW207+AX207</f>
        <v>0</v>
      </c>
      <c r="BD207" s="37">
        <f>H207/(100-BE207)*100</f>
        <v>0</v>
      </c>
      <c r="BE207" s="37">
        <v>0</v>
      </c>
      <c r="BF207" s="37">
        <f>207</f>
        <v>207</v>
      </c>
      <c r="BH207" s="37">
        <f>G207*AO207</f>
        <v>0</v>
      </c>
      <c r="BI207" s="37">
        <f>G207*AP207</f>
        <v>0</v>
      </c>
      <c r="BJ207" s="37">
        <f>G207*H207</f>
        <v>0</v>
      </c>
    </row>
    <row r="208" spans="3:7" ht="12.75">
      <c r="C208" s="39" t="s">
        <v>410</v>
      </c>
      <c r="D208" s="39"/>
      <c r="E208" s="39"/>
      <c r="G208" s="40">
        <v>5</v>
      </c>
    </row>
    <row r="209" spans="1:47" ht="12.75">
      <c r="A209" s="41"/>
      <c r="B209" s="42" t="s">
        <v>411</v>
      </c>
      <c r="C209" s="42" t="s">
        <v>412</v>
      </c>
      <c r="D209" s="42"/>
      <c r="E209" s="42"/>
      <c r="F209" s="41" t="s">
        <v>4</v>
      </c>
      <c r="G209" s="41" t="s">
        <v>4</v>
      </c>
      <c r="H209" s="41" t="s">
        <v>4</v>
      </c>
      <c r="I209" s="36">
        <f>SUM(I210:I256)</f>
        <v>0</v>
      </c>
      <c r="J209" s="36">
        <f>SUM(J210:J256)</f>
        <v>0</v>
      </c>
      <c r="K209" s="36">
        <f>SUM(K210:K256)</f>
        <v>0</v>
      </c>
      <c r="L209" s="31"/>
      <c r="AI209" s="31"/>
      <c r="AS209" s="36">
        <f>SUM(AJ210:AJ256)</f>
        <v>0</v>
      </c>
      <c r="AT209" s="36">
        <f>SUM(AK210:AK256)</f>
        <v>0</v>
      </c>
      <c r="AU209" s="36">
        <f>SUM(AL210:AL256)</f>
        <v>0</v>
      </c>
    </row>
    <row r="210" spans="1:62" ht="12.75">
      <c r="A210" s="10" t="s">
        <v>413</v>
      </c>
      <c r="B210" s="10" t="s">
        <v>414</v>
      </c>
      <c r="C210" s="10" t="s">
        <v>415</v>
      </c>
      <c r="D210" s="10"/>
      <c r="E210" s="10"/>
      <c r="F210" s="10" t="s">
        <v>117</v>
      </c>
      <c r="G210" s="37">
        <v>11.5875</v>
      </c>
      <c r="H210" s="37">
        <v>0</v>
      </c>
      <c r="I210" s="37">
        <f>G210*AO210</f>
        <v>0</v>
      </c>
      <c r="J210" s="37">
        <f>G210*AP210</f>
        <v>0</v>
      </c>
      <c r="K210" s="37">
        <f>G210*H210</f>
        <v>0</v>
      </c>
      <c r="L210" s="38" t="s">
        <v>54</v>
      </c>
      <c r="Z210" s="37">
        <f>IF(AQ210="5",BJ210,0)</f>
        <v>0</v>
      </c>
      <c r="AB210" s="37">
        <f>IF(AQ210="1",BH210,0)</f>
        <v>0</v>
      </c>
      <c r="AC210" s="37">
        <f>IF(AQ210="1",BI210,0)</f>
        <v>0</v>
      </c>
      <c r="AD210" s="37">
        <f>IF(AQ210="7",BH210,0)</f>
        <v>0</v>
      </c>
      <c r="AE210" s="37">
        <f>IF(AQ210="7",BI210,0)</f>
        <v>0</v>
      </c>
      <c r="AF210" s="37">
        <f>IF(AQ210="2",BH210,0)</f>
        <v>0</v>
      </c>
      <c r="AG210" s="37">
        <f>IF(AQ210="2",BI210,0)</f>
        <v>0</v>
      </c>
      <c r="AH210" s="37">
        <f>IF(AQ210="0",BJ210,0)</f>
        <v>0</v>
      </c>
      <c r="AI210" s="31"/>
      <c r="AJ210" s="37">
        <f>IF(AN210=0,K210,0)</f>
        <v>0</v>
      </c>
      <c r="AK210" s="37">
        <f>IF(AN210=15,K210,0)</f>
        <v>0</v>
      </c>
      <c r="AL210" s="37">
        <f>IF(AN210=21,K210,0)</f>
        <v>0</v>
      </c>
      <c r="AN210" s="37">
        <v>15</v>
      </c>
      <c r="AO210" s="37">
        <f>H210*0.756596914847532</f>
        <v>0</v>
      </c>
      <c r="AP210" s="37">
        <f>H210*(1-0.756596914847532)</f>
        <v>0</v>
      </c>
      <c r="AQ210" s="38" t="s">
        <v>80</v>
      </c>
      <c r="AV210" s="37">
        <f>AW210+AX210</f>
        <v>0</v>
      </c>
      <c r="AW210" s="37">
        <f>G210*AO210</f>
        <v>0</v>
      </c>
      <c r="AX210" s="37">
        <f>G210*AP210</f>
        <v>0</v>
      </c>
      <c r="AY210" s="38" t="s">
        <v>416</v>
      </c>
      <c r="AZ210" s="38" t="s">
        <v>398</v>
      </c>
      <c r="BA210" s="31" t="s">
        <v>56</v>
      </c>
      <c r="BC210" s="37">
        <f>AW210+AX210</f>
        <v>0</v>
      </c>
      <c r="BD210" s="37">
        <f>H210/(100-BE210)*100</f>
        <v>0</v>
      </c>
      <c r="BE210" s="37">
        <v>0</v>
      </c>
      <c r="BF210" s="37">
        <f>210</f>
        <v>210</v>
      </c>
      <c r="BH210" s="37">
        <f>G210*AO210</f>
        <v>0</v>
      </c>
      <c r="BI210" s="37">
        <f>G210*AP210</f>
        <v>0</v>
      </c>
      <c r="BJ210" s="37">
        <f>G210*H210</f>
        <v>0</v>
      </c>
    </row>
    <row r="211" spans="3:7" ht="12.75">
      <c r="C211" s="39" t="s">
        <v>417</v>
      </c>
      <c r="D211" s="39"/>
      <c r="E211" s="39"/>
      <c r="G211" s="40">
        <v>4.4</v>
      </c>
    </row>
    <row r="212" spans="3:7" ht="12.75">
      <c r="C212" s="39" t="s">
        <v>418</v>
      </c>
      <c r="D212" s="39"/>
      <c r="E212" s="39"/>
      <c r="G212" s="40">
        <v>7.1875</v>
      </c>
    </row>
    <row r="213" spans="1:62" ht="12.75">
      <c r="A213" s="10" t="s">
        <v>419</v>
      </c>
      <c r="B213" s="10" t="s">
        <v>420</v>
      </c>
      <c r="C213" s="10" t="s">
        <v>421</v>
      </c>
      <c r="D213" s="10"/>
      <c r="E213" s="10"/>
      <c r="F213" s="10" t="s">
        <v>167</v>
      </c>
      <c r="G213" s="37">
        <v>20</v>
      </c>
      <c r="H213" s="37">
        <v>0</v>
      </c>
      <c r="I213" s="37">
        <f>G213*AO213</f>
        <v>0</v>
      </c>
      <c r="J213" s="37">
        <f>G213*AP213</f>
        <v>0</v>
      </c>
      <c r="K213" s="37">
        <f>G213*H213</f>
        <v>0</v>
      </c>
      <c r="L213" s="38" t="s">
        <v>54</v>
      </c>
      <c r="Z213" s="37">
        <f>IF(AQ213="5",BJ213,0)</f>
        <v>0</v>
      </c>
      <c r="AB213" s="37">
        <f>IF(AQ213="1",BH213,0)</f>
        <v>0</v>
      </c>
      <c r="AC213" s="37">
        <f>IF(AQ213="1",BI213,0)</f>
        <v>0</v>
      </c>
      <c r="AD213" s="37">
        <f>IF(AQ213="7",BH213,0)</f>
        <v>0</v>
      </c>
      <c r="AE213" s="37">
        <f>IF(AQ213="7",BI213,0)</f>
        <v>0</v>
      </c>
      <c r="AF213" s="37">
        <f>IF(AQ213="2",BH213,0)</f>
        <v>0</v>
      </c>
      <c r="AG213" s="37">
        <f>IF(AQ213="2",BI213,0)</f>
        <v>0</v>
      </c>
      <c r="AH213" s="37">
        <f>IF(AQ213="0",BJ213,0)</f>
        <v>0</v>
      </c>
      <c r="AI213" s="31"/>
      <c r="AJ213" s="37">
        <f>IF(AN213=0,K213,0)</f>
        <v>0</v>
      </c>
      <c r="AK213" s="37">
        <f>IF(AN213=15,K213,0)</f>
        <v>0</v>
      </c>
      <c r="AL213" s="37">
        <f>IF(AN213=21,K213,0)</f>
        <v>0</v>
      </c>
      <c r="AN213" s="37">
        <v>15</v>
      </c>
      <c r="AO213" s="37">
        <f>H213*0.0122222222222222</f>
        <v>0</v>
      </c>
      <c r="AP213" s="37">
        <f>H213*(1-0.0122222222222222)</f>
        <v>0</v>
      </c>
      <c r="AQ213" s="38" t="s">
        <v>80</v>
      </c>
      <c r="AV213" s="37">
        <f>AW213+AX213</f>
        <v>0</v>
      </c>
      <c r="AW213" s="37">
        <f>G213*AO213</f>
        <v>0</v>
      </c>
      <c r="AX213" s="37">
        <f>G213*AP213</f>
        <v>0</v>
      </c>
      <c r="AY213" s="38" t="s">
        <v>416</v>
      </c>
      <c r="AZ213" s="38" t="s">
        <v>398</v>
      </c>
      <c r="BA213" s="31" t="s">
        <v>56</v>
      </c>
      <c r="BC213" s="37">
        <f>AW213+AX213</f>
        <v>0</v>
      </c>
      <c r="BD213" s="37">
        <f>H213/(100-BE213)*100</f>
        <v>0</v>
      </c>
      <c r="BE213" s="37">
        <v>0</v>
      </c>
      <c r="BF213" s="37">
        <f>213</f>
        <v>213</v>
      </c>
      <c r="BH213" s="37">
        <f>G213*AO213</f>
        <v>0</v>
      </c>
      <c r="BI213" s="37">
        <f>G213*AP213</f>
        <v>0</v>
      </c>
      <c r="BJ213" s="37">
        <f>G213*H213</f>
        <v>0</v>
      </c>
    </row>
    <row r="214" spans="3:7" ht="12.75">
      <c r="C214" s="39" t="s">
        <v>422</v>
      </c>
      <c r="D214" s="39"/>
      <c r="E214" s="39"/>
      <c r="G214" s="40">
        <v>20</v>
      </c>
    </row>
    <row r="215" spans="1:62" ht="12.75">
      <c r="A215" s="10" t="s">
        <v>423</v>
      </c>
      <c r="B215" s="10" t="s">
        <v>424</v>
      </c>
      <c r="C215" s="10" t="s">
        <v>425</v>
      </c>
      <c r="D215" s="10"/>
      <c r="E215" s="10"/>
      <c r="F215" s="10" t="s">
        <v>347</v>
      </c>
      <c r="G215" s="37">
        <v>40</v>
      </c>
      <c r="H215" s="37">
        <v>0</v>
      </c>
      <c r="I215" s="37">
        <f>G215*AO215</f>
        <v>0</v>
      </c>
      <c r="J215" s="37">
        <f>G215*AP215</f>
        <v>0</v>
      </c>
      <c r="K215" s="37">
        <f>G215*H215</f>
        <v>0</v>
      </c>
      <c r="L215" s="38" t="s">
        <v>54</v>
      </c>
      <c r="Z215" s="37">
        <f>IF(AQ215="5",BJ215,0)</f>
        <v>0</v>
      </c>
      <c r="AB215" s="37">
        <f>IF(AQ215="1",BH215,0)</f>
        <v>0</v>
      </c>
      <c r="AC215" s="37">
        <f>IF(AQ215="1",BI215,0)</f>
        <v>0</v>
      </c>
      <c r="AD215" s="37">
        <f>IF(AQ215="7",BH215,0)</f>
        <v>0</v>
      </c>
      <c r="AE215" s="37">
        <f>IF(AQ215="7",BI215,0)</f>
        <v>0</v>
      </c>
      <c r="AF215" s="37">
        <f>IF(AQ215="2",BH215,0)</f>
        <v>0</v>
      </c>
      <c r="AG215" s="37">
        <f>IF(AQ215="2",BI215,0)</f>
        <v>0</v>
      </c>
      <c r="AH215" s="37">
        <f>IF(AQ215="0",BJ215,0)</f>
        <v>0</v>
      </c>
      <c r="AI215" s="31"/>
      <c r="AJ215" s="37">
        <f>IF(AN215=0,K215,0)</f>
        <v>0</v>
      </c>
      <c r="AK215" s="37">
        <f>IF(AN215=15,K215,0)</f>
        <v>0</v>
      </c>
      <c r="AL215" s="37">
        <f>IF(AN215=21,K215,0)</f>
        <v>0</v>
      </c>
      <c r="AN215" s="37">
        <v>15</v>
      </c>
      <c r="AO215" s="37">
        <f>H215*1</f>
        <v>0</v>
      </c>
      <c r="AP215" s="37">
        <f>H215*(1-1)</f>
        <v>0</v>
      </c>
      <c r="AQ215" s="38" t="s">
        <v>80</v>
      </c>
      <c r="AV215" s="37">
        <f>AW215+AX215</f>
        <v>0</v>
      </c>
      <c r="AW215" s="37">
        <f>G215*AO215</f>
        <v>0</v>
      </c>
      <c r="AX215" s="37">
        <f>G215*AP215</f>
        <v>0</v>
      </c>
      <c r="AY215" s="38" t="s">
        <v>416</v>
      </c>
      <c r="AZ215" s="38" t="s">
        <v>398</v>
      </c>
      <c r="BA215" s="31" t="s">
        <v>56</v>
      </c>
      <c r="BC215" s="37">
        <f>AW215+AX215</f>
        <v>0</v>
      </c>
      <c r="BD215" s="37">
        <f>H215/(100-BE215)*100</f>
        <v>0</v>
      </c>
      <c r="BE215" s="37">
        <v>0</v>
      </c>
      <c r="BF215" s="37">
        <f>215</f>
        <v>215</v>
      </c>
      <c r="BH215" s="37">
        <f>G215*AO215</f>
        <v>0</v>
      </c>
      <c r="BI215" s="37">
        <f>G215*AP215</f>
        <v>0</v>
      </c>
      <c r="BJ215" s="37">
        <f>G215*H215</f>
        <v>0</v>
      </c>
    </row>
    <row r="216" spans="3:7" ht="12.75">
      <c r="C216" s="39" t="s">
        <v>426</v>
      </c>
      <c r="D216" s="39"/>
      <c r="E216" s="39"/>
      <c r="G216" s="40">
        <v>40</v>
      </c>
    </row>
    <row r="217" spans="1:62" ht="12.75">
      <c r="A217" s="10" t="s">
        <v>427</v>
      </c>
      <c r="B217" s="10" t="s">
        <v>428</v>
      </c>
      <c r="C217" s="10" t="s">
        <v>429</v>
      </c>
      <c r="D217" s="10"/>
      <c r="E217" s="10"/>
      <c r="F217" s="10" t="s">
        <v>117</v>
      </c>
      <c r="G217" s="37">
        <v>10</v>
      </c>
      <c r="H217" s="37">
        <v>0</v>
      </c>
      <c r="I217" s="37">
        <f>G217*AO217</f>
        <v>0</v>
      </c>
      <c r="J217" s="37">
        <f>G217*AP217</f>
        <v>0</v>
      </c>
      <c r="K217" s="37">
        <f>G217*H217</f>
        <v>0</v>
      </c>
      <c r="L217" s="38" t="s">
        <v>54</v>
      </c>
      <c r="Z217" s="37">
        <f>IF(AQ217="5",BJ217,0)</f>
        <v>0</v>
      </c>
      <c r="AB217" s="37">
        <f>IF(AQ217="1",BH217,0)</f>
        <v>0</v>
      </c>
      <c r="AC217" s="37">
        <f>IF(AQ217="1",BI217,0)</f>
        <v>0</v>
      </c>
      <c r="AD217" s="37">
        <f>IF(AQ217="7",BH217,0)</f>
        <v>0</v>
      </c>
      <c r="AE217" s="37">
        <f>IF(AQ217="7",BI217,0)</f>
        <v>0</v>
      </c>
      <c r="AF217" s="37">
        <f>IF(AQ217="2",BH217,0)</f>
        <v>0</v>
      </c>
      <c r="AG217" s="37">
        <f>IF(AQ217="2",BI217,0)</f>
        <v>0</v>
      </c>
      <c r="AH217" s="37">
        <f>IF(AQ217="0",BJ217,0)</f>
        <v>0</v>
      </c>
      <c r="AI217" s="31"/>
      <c r="AJ217" s="37">
        <f>IF(AN217=0,K217,0)</f>
        <v>0</v>
      </c>
      <c r="AK217" s="37">
        <f>IF(AN217=15,K217,0)</f>
        <v>0</v>
      </c>
      <c r="AL217" s="37">
        <f>IF(AN217=21,K217,0)</f>
        <v>0</v>
      </c>
      <c r="AN217" s="37">
        <v>15</v>
      </c>
      <c r="AO217" s="37">
        <f>H217*0.303728264446076</f>
        <v>0</v>
      </c>
      <c r="AP217" s="37">
        <f>H217*(1-0.303728264446076)</f>
        <v>0</v>
      </c>
      <c r="AQ217" s="38" t="s">
        <v>80</v>
      </c>
      <c r="AV217" s="37">
        <f>AW217+AX217</f>
        <v>0</v>
      </c>
      <c r="AW217" s="37">
        <f>G217*AO217</f>
        <v>0</v>
      </c>
      <c r="AX217" s="37">
        <f>G217*AP217</f>
        <v>0</v>
      </c>
      <c r="AY217" s="38" t="s">
        <v>416</v>
      </c>
      <c r="AZ217" s="38" t="s">
        <v>398</v>
      </c>
      <c r="BA217" s="31" t="s">
        <v>56</v>
      </c>
      <c r="BC217" s="37">
        <f>AW217+AX217</f>
        <v>0</v>
      </c>
      <c r="BD217" s="37">
        <f>H217/(100-BE217)*100</f>
        <v>0</v>
      </c>
      <c r="BE217" s="37">
        <v>0</v>
      </c>
      <c r="BF217" s="37">
        <f>217</f>
        <v>217</v>
      </c>
      <c r="BH217" s="37">
        <f>G217*AO217</f>
        <v>0</v>
      </c>
      <c r="BI217" s="37">
        <f>G217*AP217</f>
        <v>0</v>
      </c>
      <c r="BJ217" s="37">
        <f>G217*H217</f>
        <v>0</v>
      </c>
    </row>
    <row r="218" spans="3:7" ht="12.75">
      <c r="C218" s="39" t="s">
        <v>430</v>
      </c>
      <c r="D218" s="39"/>
      <c r="E218" s="39"/>
      <c r="G218" s="40">
        <v>10</v>
      </c>
    </row>
    <row r="219" spans="1:62" ht="12.75">
      <c r="A219" s="10" t="s">
        <v>431</v>
      </c>
      <c r="B219" s="10" t="s">
        <v>432</v>
      </c>
      <c r="C219" s="10" t="s">
        <v>433</v>
      </c>
      <c r="D219" s="10"/>
      <c r="E219" s="10"/>
      <c r="F219" s="10" t="s">
        <v>117</v>
      </c>
      <c r="G219" s="37">
        <v>5.5125</v>
      </c>
      <c r="H219" s="37">
        <v>0</v>
      </c>
      <c r="I219" s="37">
        <f>G219*AO219</f>
        <v>0</v>
      </c>
      <c r="J219" s="37">
        <f>G219*AP219</f>
        <v>0</v>
      </c>
      <c r="K219" s="37">
        <f>G219*H219</f>
        <v>0</v>
      </c>
      <c r="L219" s="38" t="s">
        <v>54</v>
      </c>
      <c r="Z219" s="37">
        <f>IF(AQ219="5",BJ219,0)</f>
        <v>0</v>
      </c>
      <c r="AB219" s="37">
        <f>IF(AQ219="1",BH219,0)</f>
        <v>0</v>
      </c>
      <c r="AC219" s="37">
        <f>IF(AQ219="1",BI219,0)</f>
        <v>0</v>
      </c>
      <c r="AD219" s="37">
        <f>IF(AQ219="7",BH219,0)</f>
        <v>0</v>
      </c>
      <c r="AE219" s="37">
        <f>IF(AQ219="7",BI219,0)</f>
        <v>0</v>
      </c>
      <c r="AF219" s="37">
        <f>IF(AQ219="2",BH219,0)</f>
        <v>0</v>
      </c>
      <c r="AG219" s="37">
        <f>IF(AQ219="2",BI219,0)</f>
        <v>0</v>
      </c>
      <c r="AH219" s="37">
        <f>IF(AQ219="0",BJ219,0)</f>
        <v>0</v>
      </c>
      <c r="AI219" s="31"/>
      <c r="AJ219" s="37">
        <f>IF(AN219=0,K219,0)</f>
        <v>0</v>
      </c>
      <c r="AK219" s="37">
        <f>IF(AN219=15,K219,0)</f>
        <v>0</v>
      </c>
      <c r="AL219" s="37">
        <f>IF(AN219=21,K219,0)</f>
        <v>0</v>
      </c>
      <c r="AN219" s="37">
        <v>15</v>
      </c>
      <c r="AO219" s="37">
        <f>H219*0.656753858780546</f>
        <v>0</v>
      </c>
      <c r="AP219" s="37">
        <f>H219*(1-0.656753858780546)</f>
        <v>0</v>
      </c>
      <c r="AQ219" s="38" t="s">
        <v>80</v>
      </c>
      <c r="AV219" s="37">
        <f>AW219+AX219</f>
        <v>0</v>
      </c>
      <c r="AW219" s="37">
        <f>G219*AO219</f>
        <v>0</v>
      </c>
      <c r="AX219" s="37">
        <f>G219*AP219</f>
        <v>0</v>
      </c>
      <c r="AY219" s="38" t="s">
        <v>416</v>
      </c>
      <c r="AZ219" s="38" t="s">
        <v>398</v>
      </c>
      <c r="BA219" s="31" t="s">
        <v>56</v>
      </c>
      <c r="BC219" s="37">
        <f>AW219+AX219</f>
        <v>0</v>
      </c>
      <c r="BD219" s="37">
        <f>H219/(100-BE219)*100</f>
        <v>0</v>
      </c>
      <c r="BE219" s="37">
        <v>0</v>
      </c>
      <c r="BF219" s="37">
        <f>219</f>
        <v>219</v>
      </c>
      <c r="BH219" s="37">
        <f>G219*AO219</f>
        <v>0</v>
      </c>
      <c r="BI219" s="37">
        <f>G219*AP219</f>
        <v>0</v>
      </c>
      <c r="BJ219" s="37">
        <f>G219*H219</f>
        <v>0</v>
      </c>
    </row>
    <row r="220" spans="3:7" ht="12.75">
      <c r="C220" s="39" t="s">
        <v>434</v>
      </c>
      <c r="D220" s="39"/>
      <c r="E220" s="39"/>
      <c r="G220" s="40">
        <v>5.5125</v>
      </c>
    </row>
    <row r="221" spans="1:62" ht="12.75">
      <c r="A221" s="10" t="s">
        <v>435</v>
      </c>
      <c r="B221" s="10" t="s">
        <v>436</v>
      </c>
      <c r="C221" s="10" t="s">
        <v>437</v>
      </c>
      <c r="D221" s="10"/>
      <c r="E221" s="10"/>
      <c r="F221" s="10" t="s">
        <v>167</v>
      </c>
      <c r="G221" s="37">
        <v>28</v>
      </c>
      <c r="H221" s="37">
        <v>0</v>
      </c>
      <c r="I221" s="37">
        <f>G221*AO221</f>
        <v>0</v>
      </c>
      <c r="J221" s="37">
        <f>G221*AP221</f>
        <v>0</v>
      </c>
      <c r="K221" s="37">
        <f>G221*H221</f>
        <v>0</v>
      </c>
      <c r="L221" s="38" t="s">
        <v>54</v>
      </c>
      <c r="Z221" s="37">
        <f>IF(AQ221="5",BJ221,0)</f>
        <v>0</v>
      </c>
      <c r="AB221" s="37">
        <f>IF(AQ221="1",BH221,0)</f>
        <v>0</v>
      </c>
      <c r="AC221" s="37">
        <f>IF(AQ221="1",BI221,0)</f>
        <v>0</v>
      </c>
      <c r="AD221" s="37">
        <f>IF(AQ221="7",BH221,0)</f>
        <v>0</v>
      </c>
      <c r="AE221" s="37">
        <f>IF(AQ221="7",BI221,0)</f>
        <v>0</v>
      </c>
      <c r="AF221" s="37">
        <f>IF(AQ221="2",BH221,0)</f>
        <v>0</v>
      </c>
      <c r="AG221" s="37">
        <f>IF(AQ221="2",BI221,0)</f>
        <v>0</v>
      </c>
      <c r="AH221" s="37">
        <f>IF(AQ221="0",BJ221,0)</f>
        <v>0</v>
      </c>
      <c r="AI221" s="31"/>
      <c r="AJ221" s="37">
        <f>IF(AN221=0,K221,0)</f>
        <v>0</v>
      </c>
      <c r="AK221" s="37">
        <f>IF(AN221=15,K221,0)</f>
        <v>0</v>
      </c>
      <c r="AL221" s="37">
        <f>IF(AN221=21,K221,0)</f>
        <v>0</v>
      </c>
      <c r="AN221" s="37">
        <v>15</v>
      </c>
      <c r="AO221" s="37">
        <f>H221*0.0635471698113207</f>
        <v>0</v>
      </c>
      <c r="AP221" s="37">
        <f>H221*(1-0.0635471698113207)</f>
        <v>0</v>
      </c>
      <c r="AQ221" s="38" t="s">
        <v>80</v>
      </c>
      <c r="AV221" s="37">
        <f>AW221+AX221</f>
        <v>0</v>
      </c>
      <c r="AW221" s="37">
        <f>G221*AO221</f>
        <v>0</v>
      </c>
      <c r="AX221" s="37">
        <f>G221*AP221</f>
        <v>0</v>
      </c>
      <c r="AY221" s="38" t="s">
        <v>416</v>
      </c>
      <c r="AZ221" s="38" t="s">
        <v>398</v>
      </c>
      <c r="BA221" s="31" t="s">
        <v>56</v>
      </c>
      <c r="BC221" s="37">
        <f>AW221+AX221</f>
        <v>0</v>
      </c>
      <c r="BD221" s="37">
        <f>H221/(100-BE221)*100</f>
        <v>0</v>
      </c>
      <c r="BE221" s="37">
        <v>0</v>
      </c>
      <c r="BF221" s="37">
        <f>221</f>
        <v>221</v>
      </c>
      <c r="BH221" s="37">
        <f>G221*AO221</f>
        <v>0</v>
      </c>
      <c r="BI221" s="37">
        <f>G221*AP221</f>
        <v>0</v>
      </c>
      <c r="BJ221" s="37">
        <f>G221*H221</f>
        <v>0</v>
      </c>
    </row>
    <row r="222" spans="3:7" ht="12.75">
      <c r="C222" s="39" t="s">
        <v>438</v>
      </c>
      <c r="D222" s="39"/>
      <c r="E222" s="39"/>
      <c r="G222" s="40">
        <v>28</v>
      </c>
    </row>
    <row r="223" spans="1:62" ht="12.75">
      <c r="A223" s="10" t="s">
        <v>439</v>
      </c>
      <c r="B223" s="10" t="s">
        <v>440</v>
      </c>
      <c r="C223" s="10" t="s">
        <v>441</v>
      </c>
      <c r="D223" s="10"/>
      <c r="E223" s="10"/>
      <c r="F223" s="10" t="s">
        <v>117</v>
      </c>
      <c r="G223" s="37">
        <v>6.0375</v>
      </c>
      <c r="H223" s="37">
        <v>0</v>
      </c>
      <c r="I223" s="37">
        <f>G223*AO223</f>
        <v>0</v>
      </c>
      <c r="J223" s="37">
        <f>G223*AP223</f>
        <v>0</v>
      </c>
      <c r="K223" s="37">
        <f>G223*H223</f>
        <v>0</v>
      </c>
      <c r="L223" s="38" t="s">
        <v>54</v>
      </c>
      <c r="Z223" s="37">
        <f>IF(AQ223="5",BJ223,0)</f>
        <v>0</v>
      </c>
      <c r="AB223" s="37">
        <f>IF(AQ223="1",BH223,0)</f>
        <v>0</v>
      </c>
      <c r="AC223" s="37">
        <f>IF(AQ223="1",BI223,0)</f>
        <v>0</v>
      </c>
      <c r="AD223" s="37">
        <f>IF(AQ223="7",BH223,0)</f>
        <v>0</v>
      </c>
      <c r="AE223" s="37">
        <f>IF(AQ223="7",BI223,0)</f>
        <v>0</v>
      </c>
      <c r="AF223" s="37">
        <f>IF(AQ223="2",BH223,0)</f>
        <v>0</v>
      </c>
      <c r="AG223" s="37">
        <f>IF(AQ223="2",BI223,0)</f>
        <v>0</v>
      </c>
      <c r="AH223" s="37">
        <f>IF(AQ223="0",BJ223,0)</f>
        <v>0</v>
      </c>
      <c r="AI223" s="31"/>
      <c r="AJ223" s="37">
        <f>IF(AN223=0,K223,0)</f>
        <v>0</v>
      </c>
      <c r="AK223" s="37">
        <f>IF(AN223=15,K223,0)</f>
        <v>0</v>
      </c>
      <c r="AL223" s="37">
        <f>IF(AN223=21,K223,0)</f>
        <v>0</v>
      </c>
      <c r="AN223" s="37">
        <v>15</v>
      </c>
      <c r="AO223" s="37">
        <f>H223*0.132065360048998</f>
        <v>0</v>
      </c>
      <c r="AP223" s="37">
        <f>H223*(1-0.132065360048998)</f>
        <v>0</v>
      </c>
      <c r="AQ223" s="38" t="s">
        <v>80</v>
      </c>
      <c r="AV223" s="37">
        <f>AW223+AX223</f>
        <v>0</v>
      </c>
      <c r="AW223" s="37">
        <f>G223*AO223</f>
        <v>0</v>
      </c>
      <c r="AX223" s="37">
        <f>G223*AP223</f>
        <v>0</v>
      </c>
      <c r="AY223" s="38" t="s">
        <v>416</v>
      </c>
      <c r="AZ223" s="38" t="s">
        <v>398</v>
      </c>
      <c r="BA223" s="31" t="s">
        <v>56</v>
      </c>
      <c r="BC223" s="37">
        <f>AW223+AX223</f>
        <v>0</v>
      </c>
      <c r="BD223" s="37">
        <f>H223/(100-BE223)*100</f>
        <v>0</v>
      </c>
      <c r="BE223" s="37">
        <v>0</v>
      </c>
      <c r="BF223" s="37">
        <f>223</f>
        <v>223</v>
      </c>
      <c r="BH223" s="37">
        <f>G223*AO223</f>
        <v>0</v>
      </c>
      <c r="BI223" s="37">
        <f>G223*AP223</f>
        <v>0</v>
      </c>
      <c r="BJ223" s="37">
        <f>G223*H223</f>
        <v>0</v>
      </c>
    </row>
    <row r="224" spans="3:7" ht="12.75">
      <c r="C224" s="39" t="s">
        <v>442</v>
      </c>
      <c r="D224" s="39"/>
      <c r="E224" s="39"/>
      <c r="G224" s="40">
        <v>6.0375</v>
      </c>
    </row>
    <row r="225" spans="1:62" ht="12.75">
      <c r="A225" s="10" t="s">
        <v>443</v>
      </c>
      <c r="B225" s="10" t="s">
        <v>444</v>
      </c>
      <c r="C225" s="10" t="s">
        <v>445</v>
      </c>
      <c r="D225" s="10"/>
      <c r="E225" s="10"/>
      <c r="F225" s="10" t="s">
        <v>117</v>
      </c>
      <c r="G225" s="37">
        <v>4.95</v>
      </c>
      <c r="H225" s="37">
        <v>0</v>
      </c>
      <c r="I225" s="37">
        <f>G225*AO225</f>
        <v>0</v>
      </c>
      <c r="J225" s="37">
        <f>G225*AP225</f>
        <v>0</v>
      </c>
      <c r="K225" s="37">
        <f>G225*H225</f>
        <v>0</v>
      </c>
      <c r="L225" s="38" t="s">
        <v>54</v>
      </c>
      <c r="Z225" s="37">
        <f>IF(AQ225="5",BJ225,0)</f>
        <v>0</v>
      </c>
      <c r="AB225" s="37">
        <f>IF(AQ225="1",BH225,0)</f>
        <v>0</v>
      </c>
      <c r="AC225" s="37">
        <f>IF(AQ225="1",BI225,0)</f>
        <v>0</v>
      </c>
      <c r="AD225" s="37">
        <f>IF(AQ225="7",BH225,0)</f>
        <v>0</v>
      </c>
      <c r="AE225" s="37">
        <f>IF(AQ225="7",BI225,0)</f>
        <v>0</v>
      </c>
      <c r="AF225" s="37">
        <f>IF(AQ225="2",BH225,0)</f>
        <v>0</v>
      </c>
      <c r="AG225" s="37">
        <f>IF(AQ225="2",BI225,0)</f>
        <v>0</v>
      </c>
      <c r="AH225" s="37">
        <f>IF(AQ225="0",BJ225,0)</f>
        <v>0</v>
      </c>
      <c r="AI225" s="31"/>
      <c r="AJ225" s="37">
        <f>IF(AN225=0,K225,0)</f>
        <v>0</v>
      </c>
      <c r="AK225" s="37">
        <f>IF(AN225=15,K225,0)</f>
        <v>0</v>
      </c>
      <c r="AL225" s="37">
        <f>IF(AN225=21,K225,0)</f>
        <v>0</v>
      </c>
      <c r="AN225" s="37">
        <v>15</v>
      </c>
      <c r="AO225" s="37">
        <f>H225*0.675512889497628</f>
        <v>0</v>
      </c>
      <c r="AP225" s="37">
        <f>H225*(1-0.675512889497628)</f>
        <v>0</v>
      </c>
      <c r="AQ225" s="38" t="s">
        <v>80</v>
      </c>
      <c r="AV225" s="37">
        <f>AW225+AX225</f>
        <v>0</v>
      </c>
      <c r="AW225" s="37">
        <f>G225*AO225</f>
        <v>0</v>
      </c>
      <c r="AX225" s="37">
        <f>G225*AP225</f>
        <v>0</v>
      </c>
      <c r="AY225" s="38" t="s">
        <v>416</v>
      </c>
      <c r="AZ225" s="38" t="s">
        <v>398</v>
      </c>
      <c r="BA225" s="31" t="s">
        <v>56</v>
      </c>
      <c r="BC225" s="37">
        <f>AW225+AX225</f>
        <v>0</v>
      </c>
      <c r="BD225" s="37">
        <f>H225/(100-BE225)*100</f>
        <v>0</v>
      </c>
      <c r="BE225" s="37">
        <v>0</v>
      </c>
      <c r="BF225" s="37">
        <f>225</f>
        <v>225</v>
      </c>
      <c r="BH225" s="37">
        <f>G225*AO225</f>
        <v>0</v>
      </c>
      <c r="BI225" s="37">
        <f>G225*AP225</f>
        <v>0</v>
      </c>
      <c r="BJ225" s="37">
        <f>G225*H225</f>
        <v>0</v>
      </c>
    </row>
    <row r="226" spans="3:7" ht="12.75">
      <c r="C226" s="39" t="s">
        <v>446</v>
      </c>
      <c r="D226" s="39"/>
      <c r="E226" s="39"/>
      <c r="G226" s="40">
        <v>4.95</v>
      </c>
    </row>
    <row r="227" spans="1:62" ht="12.75">
      <c r="A227" s="10" t="s">
        <v>447</v>
      </c>
      <c r="B227" s="10" t="s">
        <v>448</v>
      </c>
      <c r="C227" s="10" t="s">
        <v>449</v>
      </c>
      <c r="D227" s="10"/>
      <c r="E227" s="10"/>
      <c r="F227" s="10" t="s">
        <v>347</v>
      </c>
      <c r="G227" s="37">
        <v>5</v>
      </c>
      <c r="H227" s="37">
        <v>0</v>
      </c>
      <c r="I227" s="37">
        <f>G227*AO227</f>
        <v>0</v>
      </c>
      <c r="J227" s="37">
        <f>G227*AP227</f>
        <v>0</v>
      </c>
      <c r="K227" s="37">
        <f>G227*H227</f>
        <v>0</v>
      </c>
      <c r="L227" s="38" t="s">
        <v>54</v>
      </c>
      <c r="Z227" s="37">
        <f>IF(AQ227="5",BJ227,0)</f>
        <v>0</v>
      </c>
      <c r="AB227" s="37">
        <f>IF(AQ227="1",BH227,0)</f>
        <v>0</v>
      </c>
      <c r="AC227" s="37">
        <f>IF(AQ227="1",BI227,0)</f>
        <v>0</v>
      </c>
      <c r="AD227" s="37">
        <f>IF(AQ227="7",BH227,0)</f>
        <v>0</v>
      </c>
      <c r="AE227" s="37">
        <f>IF(AQ227="7",BI227,0)</f>
        <v>0</v>
      </c>
      <c r="AF227" s="37">
        <f>IF(AQ227="2",BH227,0)</f>
        <v>0</v>
      </c>
      <c r="AG227" s="37">
        <f>IF(AQ227="2",BI227,0)</f>
        <v>0</v>
      </c>
      <c r="AH227" s="37">
        <f>IF(AQ227="0",BJ227,0)</f>
        <v>0</v>
      </c>
      <c r="AI227" s="31"/>
      <c r="AJ227" s="37">
        <f>IF(AN227=0,K227,0)</f>
        <v>0</v>
      </c>
      <c r="AK227" s="37">
        <f>IF(AN227=15,K227,0)</f>
        <v>0</v>
      </c>
      <c r="AL227" s="37">
        <f>IF(AN227=21,K227,0)</f>
        <v>0</v>
      </c>
      <c r="AN227" s="37">
        <v>15</v>
      </c>
      <c r="AO227" s="37">
        <f>H227*0.907473497766146</f>
        <v>0</v>
      </c>
      <c r="AP227" s="37">
        <f>H227*(1-0.907473497766146)</f>
        <v>0</v>
      </c>
      <c r="AQ227" s="38" t="s">
        <v>80</v>
      </c>
      <c r="AV227" s="37">
        <f>AW227+AX227</f>
        <v>0</v>
      </c>
      <c r="AW227" s="37">
        <f>G227*AO227</f>
        <v>0</v>
      </c>
      <c r="AX227" s="37">
        <f>G227*AP227</f>
        <v>0</v>
      </c>
      <c r="AY227" s="38" t="s">
        <v>416</v>
      </c>
      <c r="AZ227" s="38" t="s">
        <v>398</v>
      </c>
      <c r="BA227" s="31" t="s">
        <v>56</v>
      </c>
      <c r="BC227" s="37">
        <f>AW227+AX227</f>
        <v>0</v>
      </c>
      <c r="BD227" s="37">
        <f>H227/(100-BE227)*100</f>
        <v>0</v>
      </c>
      <c r="BE227" s="37">
        <v>0</v>
      </c>
      <c r="BF227" s="37">
        <f>227</f>
        <v>227</v>
      </c>
      <c r="BH227" s="37">
        <f>G227*AO227</f>
        <v>0</v>
      </c>
      <c r="BI227" s="37">
        <f>G227*AP227</f>
        <v>0</v>
      </c>
      <c r="BJ227" s="37">
        <f>G227*H227</f>
        <v>0</v>
      </c>
    </row>
    <row r="228" spans="3:7" ht="12.75">
      <c r="C228" s="39" t="s">
        <v>450</v>
      </c>
      <c r="D228" s="39"/>
      <c r="E228" s="39"/>
      <c r="G228" s="40">
        <v>5</v>
      </c>
    </row>
    <row r="229" spans="3:7" ht="12.75">
      <c r="C229" s="39" t="s">
        <v>451</v>
      </c>
      <c r="D229" s="39"/>
      <c r="E229" s="39"/>
      <c r="G229" s="40">
        <v>0</v>
      </c>
    </row>
    <row r="230" spans="1:62" ht="12.75">
      <c r="A230" s="10" t="s">
        <v>452</v>
      </c>
      <c r="B230" s="10" t="s">
        <v>453</v>
      </c>
      <c r="C230" s="10" t="s">
        <v>454</v>
      </c>
      <c r="D230" s="10"/>
      <c r="E230" s="10"/>
      <c r="F230" s="10" t="s">
        <v>347</v>
      </c>
      <c r="G230" s="37">
        <v>5</v>
      </c>
      <c r="H230" s="37">
        <v>0</v>
      </c>
      <c r="I230" s="37">
        <f>G230*AO230</f>
        <v>0</v>
      </c>
      <c r="J230" s="37">
        <f>G230*AP230</f>
        <v>0</v>
      </c>
      <c r="K230" s="37">
        <f>G230*H230</f>
        <v>0</v>
      </c>
      <c r="L230" s="38" t="s">
        <v>54</v>
      </c>
      <c r="Z230" s="37">
        <f>IF(AQ230="5",BJ230,0)</f>
        <v>0</v>
      </c>
      <c r="AB230" s="37">
        <f>IF(AQ230="1",BH230,0)</f>
        <v>0</v>
      </c>
      <c r="AC230" s="37">
        <f>IF(AQ230="1",BI230,0)</f>
        <v>0</v>
      </c>
      <c r="AD230" s="37">
        <f>IF(AQ230="7",BH230,0)</f>
        <v>0</v>
      </c>
      <c r="AE230" s="37">
        <f>IF(AQ230="7",BI230,0)</f>
        <v>0</v>
      </c>
      <c r="AF230" s="37">
        <f>IF(AQ230="2",BH230,0)</f>
        <v>0</v>
      </c>
      <c r="AG230" s="37">
        <f>IF(AQ230="2",BI230,0)</f>
        <v>0</v>
      </c>
      <c r="AH230" s="37">
        <f>IF(AQ230="0",BJ230,0)</f>
        <v>0</v>
      </c>
      <c r="AI230" s="31"/>
      <c r="AJ230" s="37">
        <f>IF(AN230=0,K230,0)</f>
        <v>0</v>
      </c>
      <c r="AK230" s="37">
        <f>IF(AN230=15,K230,0)</f>
        <v>0</v>
      </c>
      <c r="AL230" s="37">
        <f>IF(AN230=21,K230,0)</f>
        <v>0</v>
      </c>
      <c r="AN230" s="37">
        <v>15</v>
      </c>
      <c r="AO230" s="37">
        <f>H230*0.840272601426898</f>
        <v>0</v>
      </c>
      <c r="AP230" s="37">
        <f>H230*(1-0.840272601426898)</f>
        <v>0</v>
      </c>
      <c r="AQ230" s="38" t="s">
        <v>80</v>
      </c>
      <c r="AV230" s="37">
        <f>AW230+AX230</f>
        <v>0</v>
      </c>
      <c r="AW230" s="37">
        <f>G230*AO230</f>
        <v>0</v>
      </c>
      <c r="AX230" s="37">
        <f>G230*AP230</f>
        <v>0</v>
      </c>
      <c r="AY230" s="38" t="s">
        <v>416</v>
      </c>
      <c r="AZ230" s="38" t="s">
        <v>398</v>
      </c>
      <c r="BA230" s="31" t="s">
        <v>56</v>
      </c>
      <c r="BC230" s="37">
        <f>AW230+AX230</f>
        <v>0</v>
      </c>
      <c r="BD230" s="37">
        <f>H230/(100-BE230)*100</f>
        <v>0</v>
      </c>
      <c r="BE230" s="37">
        <v>0</v>
      </c>
      <c r="BF230" s="37">
        <f>230</f>
        <v>230</v>
      </c>
      <c r="BH230" s="37">
        <f>G230*AO230</f>
        <v>0</v>
      </c>
      <c r="BI230" s="37">
        <f>G230*AP230</f>
        <v>0</v>
      </c>
      <c r="BJ230" s="37">
        <f>G230*H230</f>
        <v>0</v>
      </c>
    </row>
    <row r="231" spans="3:7" ht="12.75">
      <c r="C231" s="39" t="s">
        <v>410</v>
      </c>
      <c r="D231" s="39"/>
      <c r="E231" s="39"/>
      <c r="G231" s="40">
        <v>5</v>
      </c>
    </row>
    <row r="232" spans="1:62" ht="12.75">
      <c r="A232" s="10" t="s">
        <v>455</v>
      </c>
      <c r="B232" s="10" t="s">
        <v>456</v>
      </c>
      <c r="C232" s="10" t="s">
        <v>457</v>
      </c>
      <c r="D232" s="10"/>
      <c r="E232" s="10"/>
      <c r="F232" s="10" t="s">
        <v>347</v>
      </c>
      <c r="G232" s="37">
        <v>5</v>
      </c>
      <c r="H232" s="37">
        <v>0</v>
      </c>
      <c r="I232" s="37">
        <f>G232*AO232</f>
        <v>0</v>
      </c>
      <c r="J232" s="37">
        <f>G232*AP232</f>
        <v>0</v>
      </c>
      <c r="K232" s="37">
        <f>G232*H232</f>
        <v>0</v>
      </c>
      <c r="L232" s="38" t="s">
        <v>54</v>
      </c>
      <c r="Z232" s="37">
        <f>IF(AQ232="5",BJ232,0)</f>
        <v>0</v>
      </c>
      <c r="AB232" s="37">
        <f>IF(AQ232="1",BH232,0)</f>
        <v>0</v>
      </c>
      <c r="AC232" s="37">
        <f>IF(AQ232="1",BI232,0)</f>
        <v>0</v>
      </c>
      <c r="AD232" s="37">
        <f>IF(AQ232="7",BH232,0)</f>
        <v>0</v>
      </c>
      <c r="AE232" s="37">
        <f>IF(AQ232="7",BI232,0)</f>
        <v>0</v>
      </c>
      <c r="AF232" s="37">
        <f>IF(AQ232="2",BH232,0)</f>
        <v>0</v>
      </c>
      <c r="AG232" s="37">
        <f>IF(AQ232="2",BI232,0)</f>
        <v>0</v>
      </c>
      <c r="AH232" s="37">
        <f>IF(AQ232="0",BJ232,0)</f>
        <v>0</v>
      </c>
      <c r="AI232" s="31"/>
      <c r="AJ232" s="37">
        <f>IF(AN232=0,K232,0)</f>
        <v>0</v>
      </c>
      <c r="AK232" s="37">
        <f>IF(AN232=15,K232,0)</f>
        <v>0</v>
      </c>
      <c r="AL232" s="37">
        <f>IF(AN232=21,K232,0)</f>
        <v>0</v>
      </c>
      <c r="AN232" s="37">
        <v>15</v>
      </c>
      <c r="AO232" s="37">
        <f>H232*0.690140845070423</f>
        <v>0</v>
      </c>
      <c r="AP232" s="37">
        <f>H232*(1-0.690140845070423)</f>
        <v>0</v>
      </c>
      <c r="AQ232" s="38" t="s">
        <v>80</v>
      </c>
      <c r="AV232" s="37">
        <f>AW232+AX232</f>
        <v>0</v>
      </c>
      <c r="AW232" s="37">
        <f>G232*AO232</f>
        <v>0</v>
      </c>
      <c r="AX232" s="37">
        <f>G232*AP232</f>
        <v>0</v>
      </c>
      <c r="AY232" s="38" t="s">
        <v>416</v>
      </c>
      <c r="AZ232" s="38" t="s">
        <v>398</v>
      </c>
      <c r="BA232" s="31" t="s">
        <v>56</v>
      </c>
      <c r="BC232" s="37">
        <f>AW232+AX232</f>
        <v>0</v>
      </c>
      <c r="BD232" s="37">
        <f>H232/(100-BE232)*100</f>
        <v>0</v>
      </c>
      <c r="BE232" s="37">
        <v>0</v>
      </c>
      <c r="BF232" s="37">
        <f>232</f>
        <v>232</v>
      </c>
      <c r="BH232" s="37">
        <f>G232*AO232</f>
        <v>0</v>
      </c>
      <c r="BI232" s="37">
        <f>G232*AP232</f>
        <v>0</v>
      </c>
      <c r="BJ232" s="37">
        <f>G232*H232</f>
        <v>0</v>
      </c>
    </row>
    <row r="233" spans="3:7" ht="12.75">
      <c r="C233" s="39" t="s">
        <v>410</v>
      </c>
      <c r="D233" s="39"/>
      <c r="E233" s="39"/>
      <c r="G233" s="40">
        <v>5</v>
      </c>
    </row>
    <row r="234" spans="1:62" ht="12.75">
      <c r="A234" s="10" t="s">
        <v>458</v>
      </c>
      <c r="B234" s="10" t="s">
        <v>459</v>
      </c>
      <c r="C234" s="10" t="s">
        <v>460</v>
      </c>
      <c r="D234" s="10"/>
      <c r="E234" s="10"/>
      <c r="F234" s="10" t="s">
        <v>347</v>
      </c>
      <c r="G234" s="37">
        <v>110</v>
      </c>
      <c r="H234" s="37">
        <v>0</v>
      </c>
      <c r="I234" s="37">
        <f>G234*AO234</f>
        <v>0</v>
      </c>
      <c r="J234" s="37">
        <f>G234*AP234</f>
        <v>0</v>
      </c>
      <c r="K234" s="37">
        <f>G234*H234</f>
        <v>0</v>
      </c>
      <c r="L234" s="38" t="s">
        <v>54</v>
      </c>
      <c r="Z234" s="37">
        <f>IF(AQ234="5",BJ234,0)</f>
        <v>0</v>
      </c>
      <c r="AB234" s="37">
        <f>IF(AQ234="1",BH234,0)</f>
        <v>0</v>
      </c>
      <c r="AC234" s="37">
        <f>IF(AQ234="1",BI234,0)</f>
        <v>0</v>
      </c>
      <c r="AD234" s="37">
        <f>IF(AQ234="7",BH234,0)</f>
        <v>0</v>
      </c>
      <c r="AE234" s="37">
        <f>IF(AQ234="7",BI234,0)</f>
        <v>0</v>
      </c>
      <c r="AF234" s="37">
        <f>IF(AQ234="2",BH234,0)</f>
        <v>0</v>
      </c>
      <c r="AG234" s="37">
        <f>IF(AQ234="2",BI234,0)</f>
        <v>0</v>
      </c>
      <c r="AH234" s="37">
        <f>IF(AQ234="0",BJ234,0)</f>
        <v>0</v>
      </c>
      <c r="AI234" s="31"/>
      <c r="AJ234" s="37">
        <f>IF(AN234=0,K234,0)</f>
        <v>0</v>
      </c>
      <c r="AK234" s="37">
        <f>IF(AN234=15,K234,0)</f>
        <v>0</v>
      </c>
      <c r="AL234" s="37">
        <f>IF(AN234=21,K234,0)</f>
        <v>0</v>
      </c>
      <c r="AN234" s="37">
        <v>15</v>
      </c>
      <c r="AO234" s="37">
        <f>H234*0.571523178807947</f>
        <v>0</v>
      </c>
      <c r="AP234" s="37">
        <f>H234*(1-0.571523178807947)</f>
        <v>0</v>
      </c>
      <c r="AQ234" s="38" t="s">
        <v>80</v>
      </c>
      <c r="AV234" s="37">
        <f>AW234+AX234</f>
        <v>0</v>
      </c>
      <c r="AW234" s="37">
        <f>G234*AO234</f>
        <v>0</v>
      </c>
      <c r="AX234" s="37">
        <f>G234*AP234</f>
        <v>0</v>
      </c>
      <c r="AY234" s="38" t="s">
        <v>416</v>
      </c>
      <c r="AZ234" s="38" t="s">
        <v>398</v>
      </c>
      <c r="BA234" s="31" t="s">
        <v>56</v>
      </c>
      <c r="BC234" s="37">
        <f>AW234+AX234</f>
        <v>0</v>
      </c>
      <c r="BD234" s="37">
        <f>H234/(100-BE234)*100</f>
        <v>0</v>
      </c>
      <c r="BE234" s="37">
        <v>0</v>
      </c>
      <c r="BF234" s="37">
        <f>234</f>
        <v>234</v>
      </c>
      <c r="BH234" s="37">
        <f>G234*AO234</f>
        <v>0</v>
      </c>
      <c r="BI234" s="37">
        <f>G234*AP234</f>
        <v>0</v>
      </c>
      <c r="BJ234" s="37">
        <f>G234*H234</f>
        <v>0</v>
      </c>
    </row>
    <row r="235" spans="3:7" ht="12.75">
      <c r="C235" s="39" t="s">
        <v>461</v>
      </c>
      <c r="D235" s="39"/>
      <c r="E235" s="39"/>
      <c r="G235" s="40">
        <v>110</v>
      </c>
    </row>
    <row r="236" spans="1:62" ht="12.75">
      <c r="A236" s="10" t="s">
        <v>462</v>
      </c>
      <c r="B236" s="10" t="s">
        <v>463</v>
      </c>
      <c r="C236" s="10" t="s">
        <v>464</v>
      </c>
      <c r="D236" s="10"/>
      <c r="E236" s="10"/>
      <c r="F236" s="10" t="s">
        <v>347</v>
      </c>
      <c r="G236" s="37">
        <v>110</v>
      </c>
      <c r="H236" s="37">
        <v>0</v>
      </c>
      <c r="I236" s="37">
        <f>G236*AO236</f>
        <v>0</v>
      </c>
      <c r="J236" s="37">
        <f>G236*AP236</f>
        <v>0</v>
      </c>
      <c r="K236" s="37">
        <f>G236*H236</f>
        <v>0</v>
      </c>
      <c r="L236" s="38" t="s">
        <v>54</v>
      </c>
      <c r="Z236" s="37">
        <f>IF(AQ236="5",BJ236,0)</f>
        <v>0</v>
      </c>
      <c r="AB236" s="37">
        <f>IF(AQ236="1",BH236,0)</f>
        <v>0</v>
      </c>
      <c r="AC236" s="37">
        <f>IF(AQ236="1",BI236,0)</f>
        <v>0</v>
      </c>
      <c r="AD236" s="37">
        <f>IF(AQ236="7",BH236,0)</f>
        <v>0</v>
      </c>
      <c r="AE236" s="37">
        <f>IF(AQ236="7",BI236,0)</f>
        <v>0</v>
      </c>
      <c r="AF236" s="37">
        <f>IF(AQ236="2",BH236,0)</f>
        <v>0</v>
      </c>
      <c r="AG236" s="37">
        <f>IF(AQ236="2",BI236,0)</f>
        <v>0</v>
      </c>
      <c r="AH236" s="37">
        <f>IF(AQ236="0",BJ236,0)</f>
        <v>0</v>
      </c>
      <c r="AI236" s="31"/>
      <c r="AJ236" s="37">
        <f>IF(AN236=0,K236,0)</f>
        <v>0</v>
      </c>
      <c r="AK236" s="37">
        <f>IF(AN236=15,K236,0)</f>
        <v>0</v>
      </c>
      <c r="AL236" s="37">
        <f>IF(AN236=21,K236,0)</f>
        <v>0</v>
      </c>
      <c r="AN236" s="37">
        <v>15</v>
      </c>
      <c r="AO236" s="37">
        <f>H236*0</f>
        <v>0</v>
      </c>
      <c r="AP236" s="37">
        <f>H236*(1-0)</f>
        <v>0</v>
      </c>
      <c r="AQ236" s="38" t="s">
        <v>80</v>
      </c>
      <c r="AV236" s="37">
        <f>AW236+AX236</f>
        <v>0</v>
      </c>
      <c r="AW236" s="37">
        <f>G236*AO236</f>
        <v>0</v>
      </c>
      <c r="AX236" s="37">
        <f>G236*AP236</f>
        <v>0</v>
      </c>
      <c r="AY236" s="38" t="s">
        <v>416</v>
      </c>
      <c r="AZ236" s="38" t="s">
        <v>398</v>
      </c>
      <c r="BA236" s="31" t="s">
        <v>56</v>
      </c>
      <c r="BC236" s="37">
        <f>AW236+AX236</f>
        <v>0</v>
      </c>
      <c r="BD236" s="37">
        <f>H236/(100-BE236)*100</f>
        <v>0</v>
      </c>
      <c r="BE236" s="37">
        <v>0</v>
      </c>
      <c r="BF236" s="37">
        <f>236</f>
        <v>236</v>
      </c>
      <c r="BH236" s="37">
        <f>G236*AO236</f>
        <v>0</v>
      </c>
      <c r="BI236" s="37">
        <f>G236*AP236</f>
        <v>0</v>
      </c>
      <c r="BJ236" s="37">
        <f>G236*H236</f>
        <v>0</v>
      </c>
    </row>
    <row r="237" spans="3:7" ht="12.75">
      <c r="C237" s="39" t="s">
        <v>461</v>
      </c>
      <c r="D237" s="39"/>
      <c r="E237" s="39"/>
      <c r="G237" s="40">
        <v>110</v>
      </c>
    </row>
    <row r="238" spans="1:62" ht="12.75">
      <c r="A238" s="10" t="s">
        <v>465</v>
      </c>
      <c r="B238" s="10" t="s">
        <v>466</v>
      </c>
      <c r="C238" s="10" t="s">
        <v>467</v>
      </c>
      <c r="D238" s="10"/>
      <c r="E238" s="10"/>
      <c r="F238" s="10" t="s">
        <v>347</v>
      </c>
      <c r="G238" s="37">
        <v>5</v>
      </c>
      <c r="H238" s="37">
        <v>0</v>
      </c>
      <c r="I238" s="37">
        <f>G238*AO238</f>
        <v>0</v>
      </c>
      <c r="J238" s="37">
        <f>G238*AP238</f>
        <v>0</v>
      </c>
      <c r="K238" s="37">
        <f>G238*H238</f>
        <v>0</v>
      </c>
      <c r="L238" s="38" t="s">
        <v>54</v>
      </c>
      <c r="Z238" s="37">
        <f>IF(AQ238="5",BJ238,0)</f>
        <v>0</v>
      </c>
      <c r="AB238" s="37">
        <f>IF(AQ238="1",BH238,0)</f>
        <v>0</v>
      </c>
      <c r="AC238" s="37">
        <f>IF(AQ238="1",BI238,0)</f>
        <v>0</v>
      </c>
      <c r="AD238" s="37">
        <f>IF(AQ238="7",BH238,0)</f>
        <v>0</v>
      </c>
      <c r="AE238" s="37">
        <f>IF(AQ238="7",BI238,0)</f>
        <v>0</v>
      </c>
      <c r="AF238" s="37">
        <f>IF(AQ238="2",BH238,0)</f>
        <v>0</v>
      </c>
      <c r="AG238" s="37">
        <f>IF(AQ238="2",BI238,0)</f>
        <v>0</v>
      </c>
      <c r="AH238" s="37">
        <f>IF(AQ238="0",BJ238,0)</f>
        <v>0</v>
      </c>
      <c r="AI238" s="31"/>
      <c r="AJ238" s="37">
        <f>IF(AN238=0,K238,0)</f>
        <v>0</v>
      </c>
      <c r="AK238" s="37">
        <f>IF(AN238=15,K238,0)</f>
        <v>0</v>
      </c>
      <c r="AL238" s="37">
        <f>IF(AN238=21,K238,0)</f>
        <v>0</v>
      </c>
      <c r="AN238" s="37">
        <v>15</v>
      </c>
      <c r="AO238" s="37">
        <f>H238*0</f>
        <v>0</v>
      </c>
      <c r="AP238" s="37">
        <f>H238*(1-0)</f>
        <v>0</v>
      </c>
      <c r="AQ238" s="38" t="s">
        <v>80</v>
      </c>
      <c r="AV238" s="37">
        <f>AW238+AX238</f>
        <v>0</v>
      </c>
      <c r="AW238" s="37">
        <f>G238*AO238</f>
        <v>0</v>
      </c>
      <c r="AX238" s="37">
        <f>G238*AP238</f>
        <v>0</v>
      </c>
      <c r="AY238" s="38" t="s">
        <v>416</v>
      </c>
      <c r="AZ238" s="38" t="s">
        <v>398</v>
      </c>
      <c r="BA238" s="31" t="s">
        <v>56</v>
      </c>
      <c r="BC238" s="37">
        <f>AW238+AX238</f>
        <v>0</v>
      </c>
      <c r="BD238" s="37">
        <f>H238/(100-BE238)*100</f>
        <v>0</v>
      </c>
      <c r="BE238" s="37">
        <v>0</v>
      </c>
      <c r="BF238" s="37">
        <f>238</f>
        <v>238</v>
      </c>
      <c r="BH238" s="37">
        <f>G238*AO238</f>
        <v>0</v>
      </c>
      <c r="BI238" s="37">
        <f>G238*AP238</f>
        <v>0</v>
      </c>
      <c r="BJ238" s="37">
        <f>G238*H238</f>
        <v>0</v>
      </c>
    </row>
    <row r="239" spans="3:7" ht="12.75">
      <c r="C239" s="39" t="s">
        <v>410</v>
      </c>
      <c r="D239" s="39"/>
      <c r="E239" s="39"/>
      <c r="G239" s="40">
        <v>5</v>
      </c>
    </row>
    <row r="240" spans="1:62" ht="12.75">
      <c r="A240" s="10" t="s">
        <v>468</v>
      </c>
      <c r="B240" s="10" t="s">
        <v>469</v>
      </c>
      <c r="C240" s="10" t="s">
        <v>470</v>
      </c>
      <c r="D240" s="10"/>
      <c r="E240" s="10"/>
      <c r="F240" s="10" t="s">
        <v>347</v>
      </c>
      <c r="G240" s="37">
        <v>110</v>
      </c>
      <c r="H240" s="37">
        <v>0</v>
      </c>
      <c r="I240" s="37">
        <f>G240*AO240</f>
        <v>0</v>
      </c>
      <c r="J240" s="37">
        <f>G240*AP240</f>
        <v>0</v>
      </c>
      <c r="K240" s="37">
        <f>G240*H240</f>
        <v>0</v>
      </c>
      <c r="L240" s="38" t="s">
        <v>54</v>
      </c>
      <c r="Z240" s="37">
        <f>IF(AQ240="5",BJ240,0)</f>
        <v>0</v>
      </c>
      <c r="AB240" s="37">
        <f>IF(AQ240="1",BH240,0)</f>
        <v>0</v>
      </c>
      <c r="AC240" s="37">
        <f>IF(AQ240="1",BI240,0)</f>
        <v>0</v>
      </c>
      <c r="AD240" s="37">
        <f>IF(AQ240="7",BH240,0)</f>
        <v>0</v>
      </c>
      <c r="AE240" s="37">
        <f>IF(AQ240="7",BI240,0)</f>
        <v>0</v>
      </c>
      <c r="AF240" s="37">
        <f>IF(AQ240="2",BH240,0)</f>
        <v>0</v>
      </c>
      <c r="AG240" s="37">
        <f>IF(AQ240="2",BI240,0)</f>
        <v>0</v>
      </c>
      <c r="AH240" s="37">
        <f>IF(AQ240="0",BJ240,0)</f>
        <v>0</v>
      </c>
      <c r="AI240" s="31"/>
      <c r="AJ240" s="37">
        <f>IF(AN240=0,K240,0)</f>
        <v>0</v>
      </c>
      <c r="AK240" s="37">
        <f>IF(AN240=15,K240,0)</f>
        <v>0</v>
      </c>
      <c r="AL240" s="37">
        <f>IF(AN240=21,K240,0)</f>
        <v>0</v>
      </c>
      <c r="AN240" s="37">
        <v>15</v>
      </c>
      <c r="AO240" s="37">
        <f>H240*0.666666666666667</f>
        <v>0</v>
      </c>
      <c r="AP240" s="37">
        <f>H240*(1-0.666666666666667)</f>
        <v>0</v>
      </c>
      <c r="AQ240" s="38" t="s">
        <v>80</v>
      </c>
      <c r="AV240" s="37">
        <f>AW240+AX240</f>
        <v>0</v>
      </c>
      <c r="AW240" s="37">
        <f>G240*AO240</f>
        <v>0</v>
      </c>
      <c r="AX240" s="37">
        <f>G240*AP240</f>
        <v>0</v>
      </c>
      <c r="AY240" s="38" t="s">
        <v>416</v>
      </c>
      <c r="AZ240" s="38" t="s">
        <v>398</v>
      </c>
      <c r="BA240" s="31" t="s">
        <v>56</v>
      </c>
      <c r="BC240" s="37">
        <f>AW240+AX240</f>
        <v>0</v>
      </c>
      <c r="BD240" s="37">
        <f>H240/(100-BE240)*100</f>
        <v>0</v>
      </c>
      <c r="BE240" s="37">
        <v>0</v>
      </c>
      <c r="BF240" s="37">
        <f>240</f>
        <v>240</v>
      </c>
      <c r="BH240" s="37">
        <f>G240*AO240</f>
        <v>0</v>
      </c>
      <c r="BI240" s="37">
        <f>G240*AP240</f>
        <v>0</v>
      </c>
      <c r="BJ240" s="37">
        <f>G240*H240</f>
        <v>0</v>
      </c>
    </row>
    <row r="241" spans="3:7" ht="12.75">
      <c r="C241" s="39" t="s">
        <v>461</v>
      </c>
      <c r="D241" s="39"/>
      <c r="E241" s="39"/>
      <c r="G241" s="40">
        <v>110</v>
      </c>
    </row>
    <row r="242" spans="1:62" ht="12.75">
      <c r="A242" s="10" t="s">
        <v>471</v>
      </c>
      <c r="B242" s="10" t="s">
        <v>472</v>
      </c>
      <c r="C242" s="10" t="s">
        <v>473</v>
      </c>
      <c r="D242" s="10"/>
      <c r="E242" s="10"/>
      <c r="F242" s="10" t="s">
        <v>474</v>
      </c>
      <c r="G242" s="37">
        <v>6</v>
      </c>
      <c r="H242" s="37">
        <v>0</v>
      </c>
      <c r="I242" s="37">
        <f>G242*AO242</f>
        <v>0</v>
      </c>
      <c r="J242" s="37">
        <f>G242*AP242</f>
        <v>0</v>
      </c>
      <c r="K242" s="37">
        <f>G242*H242</f>
        <v>0</v>
      </c>
      <c r="L242" s="38" t="s">
        <v>54</v>
      </c>
      <c r="Z242" s="37">
        <f>IF(AQ242="5",BJ242,0)</f>
        <v>0</v>
      </c>
      <c r="AB242" s="37">
        <f>IF(AQ242="1",BH242,0)</f>
        <v>0</v>
      </c>
      <c r="AC242" s="37">
        <f>IF(AQ242="1",BI242,0)</f>
        <v>0</v>
      </c>
      <c r="AD242" s="37">
        <f>IF(AQ242="7",BH242,0)</f>
        <v>0</v>
      </c>
      <c r="AE242" s="37">
        <f>IF(AQ242="7",BI242,0)</f>
        <v>0</v>
      </c>
      <c r="AF242" s="37">
        <f>IF(AQ242="2",BH242,0)</f>
        <v>0</v>
      </c>
      <c r="AG242" s="37">
        <f>IF(AQ242="2",BI242,0)</f>
        <v>0</v>
      </c>
      <c r="AH242" s="37">
        <f>IF(AQ242="0",BJ242,0)</f>
        <v>0</v>
      </c>
      <c r="AI242" s="31"/>
      <c r="AJ242" s="37">
        <f>IF(AN242=0,K242,0)</f>
        <v>0</v>
      </c>
      <c r="AK242" s="37">
        <f>IF(AN242=15,K242,0)</f>
        <v>0</v>
      </c>
      <c r="AL242" s="37">
        <f>IF(AN242=21,K242,0)</f>
        <v>0</v>
      </c>
      <c r="AN242" s="37">
        <v>15</v>
      </c>
      <c r="AO242" s="37">
        <f>H242*0</f>
        <v>0</v>
      </c>
      <c r="AP242" s="37">
        <f>H242*(1-0)</f>
        <v>0</v>
      </c>
      <c r="AQ242" s="38" t="s">
        <v>80</v>
      </c>
      <c r="AV242" s="37">
        <f>AW242+AX242</f>
        <v>0</v>
      </c>
      <c r="AW242" s="37">
        <f>G242*AO242</f>
        <v>0</v>
      </c>
      <c r="AX242" s="37">
        <f>G242*AP242</f>
        <v>0</v>
      </c>
      <c r="AY242" s="38" t="s">
        <v>416</v>
      </c>
      <c r="AZ242" s="38" t="s">
        <v>398</v>
      </c>
      <c r="BA242" s="31" t="s">
        <v>56</v>
      </c>
      <c r="BC242" s="37">
        <f>AW242+AX242</f>
        <v>0</v>
      </c>
      <c r="BD242" s="37">
        <f>H242/(100-BE242)*100</f>
        <v>0</v>
      </c>
      <c r="BE242" s="37">
        <v>0</v>
      </c>
      <c r="BF242" s="37">
        <f>242</f>
        <v>242</v>
      </c>
      <c r="BH242" s="37">
        <f>G242*AO242</f>
        <v>0</v>
      </c>
      <c r="BI242" s="37">
        <f>G242*AP242</f>
        <v>0</v>
      </c>
      <c r="BJ242" s="37">
        <f>G242*H242</f>
        <v>0</v>
      </c>
    </row>
    <row r="243" spans="3:7" ht="12.75">
      <c r="C243" s="39" t="s">
        <v>475</v>
      </c>
      <c r="D243" s="39"/>
      <c r="E243" s="39"/>
      <c r="G243" s="40">
        <v>6</v>
      </c>
    </row>
    <row r="244" spans="1:62" ht="12.75">
      <c r="A244" s="10" t="s">
        <v>476</v>
      </c>
      <c r="B244" s="10" t="s">
        <v>477</v>
      </c>
      <c r="C244" s="10" t="s">
        <v>478</v>
      </c>
      <c r="D244" s="10"/>
      <c r="E244" s="10"/>
      <c r="F244" s="10" t="s">
        <v>347</v>
      </c>
      <c r="G244" s="37">
        <v>55</v>
      </c>
      <c r="H244" s="37">
        <v>0</v>
      </c>
      <c r="I244" s="37">
        <f>G244*AO244</f>
        <v>0</v>
      </c>
      <c r="J244" s="37">
        <f>G244*AP244</f>
        <v>0</v>
      </c>
      <c r="K244" s="37">
        <f>G244*H244</f>
        <v>0</v>
      </c>
      <c r="L244" s="38" t="s">
        <v>54</v>
      </c>
      <c r="Z244" s="37">
        <f>IF(AQ244="5",BJ244,0)</f>
        <v>0</v>
      </c>
      <c r="AB244" s="37">
        <f>IF(AQ244="1",BH244,0)</f>
        <v>0</v>
      </c>
      <c r="AC244" s="37">
        <f>IF(AQ244="1",BI244,0)</f>
        <v>0</v>
      </c>
      <c r="AD244" s="37">
        <f>IF(AQ244="7",BH244,0)</f>
        <v>0</v>
      </c>
      <c r="AE244" s="37">
        <f>IF(AQ244="7",BI244,0)</f>
        <v>0</v>
      </c>
      <c r="AF244" s="37">
        <f>IF(AQ244="2",BH244,0)</f>
        <v>0</v>
      </c>
      <c r="AG244" s="37">
        <f>IF(AQ244="2",BI244,0)</f>
        <v>0</v>
      </c>
      <c r="AH244" s="37">
        <f>IF(AQ244="0",BJ244,0)</f>
        <v>0</v>
      </c>
      <c r="AI244" s="31"/>
      <c r="AJ244" s="37">
        <f>IF(AN244=0,K244,0)</f>
        <v>0</v>
      </c>
      <c r="AK244" s="37">
        <f>IF(AN244=15,K244,0)</f>
        <v>0</v>
      </c>
      <c r="AL244" s="37">
        <f>IF(AN244=21,K244,0)</f>
        <v>0</v>
      </c>
      <c r="AN244" s="37">
        <v>15</v>
      </c>
      <c r="AO244" s="37">
        <f>H244*0.777646012451823</f>
        <v>0</v>
      </c>
      <c r="AP244" s="37">
        <f>H244*(1-0.777646012451823)</f>
        <v>0</v>
      </c>
      <c r="AQ244" s="38" t="s">
        <v>80</v>
      </c>
      <c r="AV244" s="37">
        <f>AW244+AX244</f>
        <v>0</v>
      </c>
      <c r="AW244" s="37">
        <f>G244*AO244</f>
        <v>0</v>
      </c>
      <c r="AX244" s="37">
        <f>G244*AP244</f>
        <v>0</v>
      </c>
      <c r="AY244" s="38" t="s">
        <v>416</v>
      </c>
      <c r="AZ244" s="38" t="s">
        <v>398</v>
      </c>
      <c r="BA244" s="31" t="s">
        <v>56</v>
      </c>
      <c r="BC244" s="37">
        <f>AW244+AX244</f>
        <v>0</v>
      </c>
      <c r="BD244" s="37">
        <f>H244/(100-BE244)*100</f>
        <v>0</v>
      </c>
      <c r="BE244" s="37">
        <v>0</v>
      </c>
      <c r="BF244" s="37">
        <f>244</f>
        <v>244</v>
      </c>
      <c r="BH244" s="37">
        <f>G244*AO244</f>
        <v>0</v>
      </c>
      <c r="BI244" s="37">
        <f>G244*AP244</f>
        <v>0</v>
      </c>
      <c r="BJ244" s="37">
        <f>G244*H244</f>
        <v>0</v>
      </c>
    </row>
    <row r="245" spans="3:7" ht="12.75">
      <c r="C245" s="39" t="s">
        <v>479</v>
      </c>
      <c r="D245" s="39"/>
      <c r="E245" s="39"/>
      <c r="G245" s="40">
        <v>55</v>
      </c>
    </row>
    <row r="246" spans="1:62" ht="12.75">
      <c r="A246" s="10" t="s">
        <v>480</v>
      </c>
      <c r="B246" s="10" t="s">
        <v>481</v>
      </c>
      <c r="C246" s="10" t="s">
        <v>482</v>
      </c>
      <c r="D246" s="10"/>
      <c r="E246" s="10"/>
      <c r="F246" s="10" t="s">
        <v>347</v>
      </c>
      <c r="G246" s="37">
        <v>5</v>
      </c>
      <c r="H246" s="37">
        <v>0</v>
      </c>
      <c r="I246" s="37">
        <f>G246*AO246</f>
        <v>0</v>
      </c>
      <c r="J246" s="37">
        <f>G246*AP246</f>
        <v>0</v>
      </c>
      <c r="K246" s="37">
        <f>G246*H246</f>
        <v>0</v>
      </c>
      <c r="L246" s="38" t="s">
        <v>54</v>
      </c>
      <c r="Z246" s="37">
        <f>IF(AQ246="5",BJ246,0)</f>
        <v>0</v>
      </c>
      <c r="AB246" s="37">
        <f>IF(AQ246="1",BH246,0)</f>
        <v>0</v>
      </c>
      <c r="AC246" s="37">
        <f>IF(AQ246="1",BI246,0)</f>
        <v>0</v>
      </c>
      <c r="AD246" s="37">
        <f>IF(AQ246="7",BH246,0)</f>
        <v>0</v>
      </c>
      <c r="AE246" s="37">
        <f>IF(AQ246="7",BI246,0)</f>
        <v>0</v>
      </c>
      <c r="AF246" s="37">
        <f>IF(AQ246="2",BH246,0)</f>
        <v>0</v>
      </c>
      <c r="AG246" s="37">
        <f>IF(AQ246="2",BI246,0)</f>
        <v>0</v>
      </c>
      <c r="AH246" s="37">
        <f>IF(AQ246="0",BJ246,0)</f>
        <v>0</v>
      </c>
      <c r="AI246" s="31"/>
      <c r="AJ246" s="37">
        <f>IF(AN246=0,K246,0)</f>
        <v>0</v>
      </c>
      <c r="AK246" s="37">
        <f>IF(AN246=15,K246,0)</f>
        <v>0</v>
      </c>
      <c r="AL246" s="37">
        <f>IF(AN246=21,K246,0)</f>
        <v>0</v>
      </c>
      <c r="AN246" s="37">
        <v>15</v>
      </c>
      <c r="AO246" s="37">
        <f>H246*0.68964310706788</f>
        <v>0</v>
      </c>
      <c r="AP246" s="37">
        <f>H246*(1-0.68964310706788)</f>
        <v>0</v>
      </c>
      <c r="AQ246" s="38" t="s">
        <v>80</v>
      </c>
      <c r="AV246" s="37">
        <f>AW246+AX246</f>
        <v>0</v>
      </c>
      <c r="AW246" s="37">
        <f>G246*AO246</f>
        <v>0</v>
      </c>
      <c r="AX246" s="37">
        <f>G246*AP246</f>
        <v>0</v>
      </c>
      <c r="AY246" s="38" t="s">
        <v>416</v>
      </c>
      <c r="AZ246" s="38" t="s">
        <v>398</v>
      </c>
      <c r="BA246" s="31" t="s">
        <v>56</v>
      </c>
      <c r="BC246" s="37">
        <f>AW246+AX246</f>
        <v>0</v>
      </c>
      <c r="BD246" s="37">
        <f>H246/(100-BE246)*100</f>
        <v>0</v>
      </c>
      <c r="BE246" s="37">
        <v>0</v>
      </c>
      <c r="BF246" s="37">
        <f>246</f>
        <v>246</v>
      </c>
      <c r="BH246" s="37">
        <f>G246*AO246</f>
        <v>0</v>
      </c>
      <c r="BI246" s="37">
        <f>G246*AP246</f>
        <v>0</v>
      </c>
      <c r="BJ246" s="37">
        <f>G246*H246</f>
        <v>0</v>
      </c>
    </row>
    <row r="247" spans="3:7" ht="12.75">
      <c r="C247" s="39" t="s">
        <v>410</v>
      </c>
      <c r="D247" s="39"/>
      <c r="E247" s="39"/>
      <c r="G247" s="40">
        <v>5</v>
      </c>
    </row>
    <row r="248" spans="1:62" ht="12.75">
      <c r="A248" s="10" t="s">
        <v>483</v>
      </c>
      <c r="B248" s="10" t="s">
        <v>484</v>
      </c>
      <c r="C248" s="10" t="s">
        <v>485</v>
      </c>
      <c r="D248" s="10"/>
      <c r="E248" s="10"/>
      <c r="F248" s="10" t="s">
        <v>167</v>
      </c>
      <c r="G248" s="37">
        <v>55</v>
      </c>
      <c r="H248" s="37">
        <v>0</v>
      </c>
      <c r="I248" s="37">
        <f>G248*AO248</f>
        <v>0</v>
      </c>
      <c r="J248" s="37">
        <f>G248*AP248</f>
        <v>0</v>
      </c>
      <c r="K248" s="37">
        <f>G248*H248</f>
        <v>0</v>
      </c>
      <c r="L248" s="38" t="s">
        <v>54</v>
      </c>
      <c r="Z248" s="37">
        <f>IF(AQ248="5",BJ248,0)</f>
        <v>0</v>
      </c>
      <c r="AB248" s="37">
        <f>IF(AQ248="1",BH248,0)</f>
        <v>0</v>
      </c>
      <c r="AC248" s="37">
        <f>IF(AQ248="1",BI248,0)</f>
        <v>0</v>
      </c>
      <c r="AD248" s="37">
        <f>IF(AQ248="7",BH248,0)</f>
        <v>0</v>
      </c>
      <c r="AE248" s="37">
        <f>IF(AQ248="7",BI248,0)</f>
        <v>0</v>
      </c>
      <c r="AF248" s="37">
        <f>IF(AQ248="2",BH248,0)</f>
        <v>0</v>
      </c>
      <c r="AG248" s="37">
        <f>IF(AQ248="2",BI248,0)</f>
        <v>0</v>
      </c>
      <c r="AH248" s="37">
        <f>IF(AQ248="0",BJ248,0)</f>
        <v>0</v>
      </c>
      <c r="AI248" s="31"/>
      <c r="AJ248" s="37">
        <f>IF(AN248=0,K248,0)</f>
        <v>0</v>
      </c>
      <c r="AK248" s="37">
        <f>IF(AN248=15,K248,0)</f>
        <v>0</v>
      </c>
      <c r="AL248" s="37">
        <f>IF(AN248=21,K248,0)</f>
        <v>0</v>
      </c>
      <c r="AN248" s="37">
        <v>15</v>
      </c>
      <c r="AO248" s="37">
        <f>H248*0.475524475524476</f>
        <v>0</v>
      </c>
      <c r="AP248" s="37">
        <f>H248*(1-0.475524475524476)</f>
        <v>0</v>
      </c>
      <c r="AQ248" s="38" t="s">
        <v>80</v>
      </c>
      <c r="AV248" s="37">
        <f>AW248+AX248</f>
        <v>0</v>
      </c>
      <c r="AW248" s="37">
        <f>G248*AO248</f>
        <v>0</v>
      </c>
      <c r="AX248" s="37">
        <f>G248*AP248</f>
        <v>0</v>
      </c>
      <c r="AY248" s="38" t="s">
        <v>416</v>
      </c>
      <c r="AZ248" s="38" t="s">
        <v>398</v>
      </c>
      <c r="BA248" s="31" t="s">
        <v>56</v>
      </c>
      <c r="BC248" s="37">
        <f>AW248+AX248</f>
        <v>0</v>
      </c>
      <c r="BD248" s="37">
        <f>H248/(100-BE248)*100</f>
        <v>0</v>
      </c>
      <c r="BE248" s="37">
        <v>0</v>
      </c>
      <c r="BF248" s="37">
        <f>248</f>
        <v>248</v>
      </c>
      <c r="BH248" s="37">
        <f>G248*AO248</f>
        <v>0</v>
      </c>
      <c r="BI248" s="37">
        <f>G248*AP248</f>
        <v>0</v>
      </c>
      <c r="BJ248" s="37">
        <f>G248*H248</f>
        <v>0</v>
      </c>
    </row>
    <row r="249" spans="3:7" ht="12.75">
      <c r="C249" s="39" t="s">
        <v>486</v>
      </c>
      <c r="D249" s="39"/>
      <c r="E249" s="39"/>
      <c r="G249" s="40">
        <v>55</v>
      </c>
    </row>
    <row r="250" spans="1:62" ht="12.75">
      <c r="A250" s="10" t="s">
        <v>487</v>
      </c>
      <c r="B250" s="10" t="s">
        <v>488</v>
      </c>
      <c r="C250" s="10" t="s">
        <v>489</v>
      </c>
      <c r="D250" s="10"/>
      <c r="E250" s="10"/>
      <c r="F250" s="10" t="s">
        <v>347</v>
      </c>
      <c r="G250" s="37">
        <v>55</v>
      </c>
      <c r="H250" s="37">
        <v>0</v>
      </c>
      <c r="I250" s="37">
        <f>G250*AO250</f>
        <v>0</v>
      </c>
      <c r="J250" s="37">
        <f>G250*AP250</f>
        <v>0</v>
      </c>
      <c r="K250" s="37">
        <f>G250*H250</f>
        <v>0</v>
      </c>
      <c r="L250" s="38" t="s">
        <v>54</v>
      </c>
      <c r="Z250" s="37">
        <f>IF(AQ250="5",BJ250,0)</f>
        <v>0</v>
      </c>
      <c r="AB250" s="37">
        <f>IF(AQ250="1",BH250,0)</f>
        <v>0</v>
      </c>
      <c r="AC250" s="37">
        <f>IF(AQ250="1",BI250,0)</f>
        <v>0</v>
      </c>
      <c r="AD250" s="37">
        <f>IF(AQ250="7",BH250,0)</f>
        <v>0</v>
      </c>
      <c r="AE250" s="37">
        <f>IF(AQ250="7",BI250,0)</f>
        <v>0</v>
      </c>
      <c r="AF250" s="37">
        <f>IF(AQ250="2",BH250,0)</f>
        <v>0</v>
      </c>
      <c r="AG250" s="37">
        <f>IF(AQ250="2",BI250,0)</f>
        <v>0</v>
      </c>
      <c r="AH250" s="37">
        <f>IF(AQ250="0",BJ250,0)</f>
        <v>0</v>
      </c>
      <c r="AI250" s="31"/>
      <c r="AJ250" s="37">
        <f>IF(AN250=0,K250,0)</f>
        <v>0</v>
      </c>
      <c r="AK250" s="37">
        <f>IF(AN250=15,K250,0)</f>
        <v>0</v>
      </c>
      <c r="AL250" s="37">
        <f>IF(AN250=21,K250,0)</f>
        <v>0</v>
      </c>
      <c r="AN250" s="37">
        <v>15</v>
      </c>
      <c r="AO250" s="37">
        <f>H250*0</f>
        <v>0</v>
      </c>
      <c r="AP250" s="37">
        <f>H250*(1-0)</f>
        <v>0</v>
      </c>
      <c r="AQ250" s="38" t="s">
        <v>80</v>
      </c>
      <c r="AV250" s="37">
        <f>AW250+AX250</f>
        <v>0</v>
      </c>
      <c r="AW250" s="37">
        <f>G250*AO250</f>
        <v>0</v>
      </c>
      <c r="AX250" s="37">
        <f>G250*AP250</f>
        <v>0</v>
      </c>
      <c r="AY250" s="38" t="s">
        <v>416</v>
      </c>
      <c r="AZ250" s="38" t="s">
        <v>398</v>
      </c>
      <c r="BA250" s="31" t="s">
        <v>56</v>
      </c>
      <c r="BC250" s="37">
        <f>AW250+AX250</f>
        <v>0</v>
      </c>
      <c r="BD250" s="37">
        <f>H250/(100-BE250)*100</f>
        <v>0</v>
      </c>
      <c r="BE250" s="37">
        <v>0</v>
      </c>
      <c r="BF250" s="37">
        <f>250</f>
        <v>250</v>
      </c>
      <c r="BH250" s="37">
        <f>G250*AO250</f>
        <v>0</v>
      </c>
      <c r="BI250" s="37">
        <f>G250*AP250</f>
        <v>0</v>
      </c>
      <c r="BJ250" s="37">
        <f>G250*H250</f>
        <v>0</v>
      </c>
    </row>
    <row r="251" spans="3:7" ht="12.75">
      <c r="C251" s="39" t="s">
        <v>486</v>
      </c>
      <c r="D251" s="39"/>
      <c r="E251" s="39"/>
      <c r="G251" s="40">
        <v>55</v>
      </c>
    </row>
    <row r="252" spans="1:62" ht="12.75">
      <c r="A252" s="10" t="s">
        <v>490</v>
      </c>
      <c r="B252" s="10" t="s">
        <v>469</v>
      </c>
      <c r="C252" s="10" t="s">
        <v>491</v>
      </c>
      <c r="D252" s="10"/>
      <c r="E252" s="10"/>
      <c r="F252" s="10" t="s">
        <v>347</v>
      </c>
      <c r="G252" s="37">
        <v>55</v>
      </c>
      <c r="H252" s="37">
        <v>0</v>
      </c>
      <c r="I252" s="37">
        <f>G252*AO252</f>
        <v>0</v>
      </c>
      <c r="J252" s="37">
        <f>G252*AP252</f>
        <v>0</v>
      </c>
      <c r="K252" s="37">
        <f>G252*H252</f>
        <v>0</v>
      </c>
      <c r="L252" s="38" t="s">
        <v>54</v>
      </c>
      <c r="Z252" s="37">
        <f>IF(AQ252="5",BJ252,0)</f>
        <v>0</v>
      </c>
      <c r="AB252" s="37">
        <f>IF(AQ252="1",BH252,0)</f>
        <v>0</v>
      </c>
      <c r="AC252" s="37">
        <f>IF(AQ252="1",BI252,0)</f>
        <v>0</v>
      </c>
      <c r="AD252" s="37">
        <f>IF(AQ252="7",BH252,0)</f>
        <v>0</v>
      </c>
      <c r="AE252" s="37">
        <f>IF(AQ252="7",BI252,0)</f>
        <v>0</v>
      </c>
      <c r="AF252" s="37">
        <f>IF(AQ252="2",BH252,0)</f>
        <v>0</v>
      </c>
      <c r="AG252" s="37">
        <f>IF(AQ252="2",BI252,0)</f>
        <v>0</v>
      </c>
      <c r="AH252" s="37">
        <f>IF(AQ252="0",BJ252,0)</f>
        <v>0</v>
      </c>
      <c r="AI252" s="31"/>
      <c r="AJ252" s="37">
        <f>IF(AN252=0,K252,0)</f>
        <v>0</v>
      </c>
      <c r="AK252" s="37">
        <f>IF(AN252=15,K252,0)</f>
        <v>0</v>
      </c>
      <c r="AL252" s="37">
        <f>IF(AN252=21,K252,0)</f>
        <v>0</v>
      </c>
      <c r="AN252" s="37">
        <v>15</v>
      </c>
      <c r="AO252" s="37">
        <f>H252*0.5</f>
        <v>0</v>
      </c>
      <c r="AP252" s="37">
        <f>H252*(1-0.5)</f>
        <v>0</v>
      </c>
      <c r="AQ252" s="38" t="s">
        <v>80</v>
      </c>
      <c r="AV252" s="37">
        <f>AW252+AX252</f>
        <v>0</v>
      </c>
      <c r="AW252" s="37">
        <f>G252*AO252</f>
        <v>0</v>
      </c>
      <c r="AX252" s="37">
        <f>G252*AP252</f>
        <v>0</v>
      </c>
      <c r="AY252" s="38" t="s">
        <v>416</v>
      </c>
      <c r="AZ252" s="38" t="s">
        <v>398</v>
      </c>
      <c r="BA252" s="31" t="s">
        <v>56</v>
      </c>
      <c r="BC252" s="37">
        <f>AW252+AX252</f>
        <v>0</v>
      </c>
      <c r="BD252" s="37">
        <f>H252/(100-BE252)*100</f>
        <v>0</v>
      </c>
      <c r="BE252" s="37">
        <v>0</v>
      </c>
      <c r="BF252" s="37">
        <f>252</f>
        <v>252</v>
      </c>
      <c r="BH252" s="37">
        <f>G252*AO252</f>
        <v>0</v>
      </c>
      <c r="BI252" s="37">
        <f>G252*AP252</f>
        <v>0</v>
      </c>
      <c r="BJ252" s="37">
        <f>G252*H252</f>
        <v>0</v>
      </c>
    </row>
    <row r="253" spans="3:7" ht="12.75">
      <c r="C253" s="39" t="s">
        <v>486</v>
      </c>
      <c r="D253" s="39"/>
      <c r="E253" s="39"/>
      <c r="G253" s="40">
        <v>55</v>
      </c>
    </row>
    <row r="254" spans="1:62" ht="12.75">
      <c r="A254" s="10" t="s">
        <v>492</v>
      </c>
      <c r="B254" s="10" t="s">
        <v>472</v>
      </c>
      <c r="C254" s="10" t="s">
        <v>493</v>
      </c>
      <c r="D254" s="10"/>
      <c r="E254" s="10"/>
      <c r="F254" s="10" t="s">
        <v>474</v>
      </c>
      <c r="G254" s="37">
        <v>6</v>
      </c>
      <c r="H254" s="37">
        <v>0</v>
      </c>
      <c r="I254" s="37">
        <f>G254*AO254</f>
        <v>0</v>
      </c>
      <c r="J254" s="37">
        <f>G254*AP254</f>
        <v>0</v>
      </c>
      <c r="K254" s="37">
        <f>G254*H254</f>
        <v>0</v>
      </c>
      <c r="L254" s="38" t="s">
        <v>54</v>
      </c>
      <c r="Z254" s="37">
        <f>IF(AQ254="5",BJ254,0)</f>
        <v>0</v>
      </c>
      <c r="AB254" s="37">
        <f>IF(AQ254="1",BH254,0)</f>
        <v>0</v>
      </c>
      <c r="AC254" s="37">
        <f>IF(AQ254="1",BI254,0)</f>
        <v>0</v>
      </c>
      <c r="AD254" s="37">
        <f>IF(AQ254="7",BH254,0)</f>
        <v>0</v>
      </c>
      <c r="AE254" s="37">
        <f>IF(AQ254="7",BI254,0)</f>
        <v>0</v>
      </c>
      <c r="AF254" s="37">
        <f>IF(AQ254="2",BH254,0)</f>
        <v>0</v>
      </c>
      <c r="AG254" s="37">
        <f>IF(AQ254="2",BI254,0)</f>
        <v>0</v>
      </c>
      <c r="AH254" s="37">
        <f>IF(AQ254="0",BJ254,0)</f>
        <v>0</v>
      </c>
      <c r="AI254" s="31"/>
      <c r="AJ254" s="37">
        <f>IF(AN254=0,K254,0)</f>
        <v>0</v>
      </c>
      <c r="AK254" s="37">
        <f>IF(AN254=15,K254,0)</f>
        <v>0</v>
      </c>
      <c r="AL254" s="37">
        <f>IF(AN254=21,K254,0)</f>
        <v>0</v>
      </c>
      <c r="AN254" s="37">
        <v>15</v>
      </c>
      <c r="AO254" s="37">
        <f>H254*0</f>
        <v>0</v>
      </c>
      <c r="AP254" s="37">
        <f>H254*(1-0)</f>
        <v>0</v>
      </c>
      <c r="AQ254" s="38" t="s">
        <v>80</v>
      </c>
      <c r="AV254" s="37">
        <f>AW254+AX254</f>
        <v>0</v>
      </c>
      <c r="AW254" s="37">
        <f>G254*AO254</f>
        <v>0</v>
      </c>
      <c r="AX254" s="37">
        <f>G254*AP254</f>
        <v>0</v>
      </c>
      <c r="AY254" s="38" t="s">
        <v>416</v>
      </c>
      <c r="AZ254" s="38" t="s">
        <v>398</v>
      </c>
      <c r="BA254" s="31" t="s">
        <v>56</v>
      </c>
      <c r="BC254" s="37">
        <f>AW254+AX254</f>
        <v>0</v>
      </c>
      <c r="BD254" s="37">
        <f>H254/(100-BE254)*100</f>
        <v>0</v>
      </c>
      <c r="BE254" s="37">
        <v>0</v>
      </c>
      <c r="BF254" s="37">
        <f>254</f>
        <v>254</v>
      </c>
      <c r="BH254" s="37">
        <f>G254*AO254</f>
        <v>0</v>
      </c>
      <c r="BI254" s="37">
        <f>G254*AP254</f>
        <v>0</v>
      </c>
      <c r="BJ254" s="37">
        <f>G254*H254</f>
        <v>0</v>
      </c>
    </row>
    <row r="255" spans="3:7" ht="12.75">
      <c r="C255" s="39" t="s">
        <v>475</v>
      </c>
      <c r="D255" s="39"/>
      <c r="E255" s="39"/>
      <c r="G255" s="40">
        <v>6</v>
      </c>
    </row>
    <row r="256" spans="1:62" ht="12.75">
      <c r="A256" s="10" t="s">
        <v>494</v>
      </c>
      <c r="B256" s="10" t="s">
        <v>495</v>
      </c>
      <c r="C256" s="10" t="s">
        <v>496</v>
      </c>
      <c r="D256" s="10"/>
      <c r="E256" s="10"/>
      <c r="F256" s="10" t="s">
        <v>145</v>
      </c>
      <c r="G256" s="37">
        <v>1.446</v>
      </c>
      <c r="H256" s="37">
        <v>0</v>
      </c>
      <c r="I256" s="37">
        <f>G256*AO256</f>
        <v>0</v>
      </c>
      <c r="J256" s="37">
        <f>G256*AP256</f>
        <v>0</v>
      </c>
      <c r="K256" s="37">
        <f>G256*H256</f>
        <v>0</v>
      </c>
      <c r="L256" s="38" t="s">
        <v>54</v>
      </c>
      <c r="Z256" s="37">
        <f>IF(AQ256="5",BJ256,0)</f>
        <v>0</v>
      </c>
      <c r="AB256" s="37">
        <f>IF(AQ256="1",BH256,0)</f>
        <v>0</v>
      </c>
      <c r="AC256" s="37">
        <f>IF(AQ256="1",BI256,0)</f>
        <v>0</v>
      </c>
      <c r="AD256" s="37">
        <f>IF(AQ256="7",BH256,0)</f>
        <v>0</v>
      </c>
      <c r="AE256" s="37">
        <f>IF(AQ256="7",BI256,0)</f>
        <v>0</v>
      </c>
      <c r="AF256" s="37">
        <f>IF(AQ256="2",BH256,0)</f>
        <v>0</v>
      </c>
      <c r="AG256" s="37">
        <f>IF(AQ256="2",BI256,0)</f>
        <v>0</v>
      </c>
      <c r="AH256" s="37">
        <f>IF(AQ256="0",BJ256,0)</f>
        <v>0</v>
      </c>
      <c r="AI256" s="31"/>
      <c r="AJ256" s="37">
        <f>IF(AN256=0,K256,0)</f>
        <v>0</v>
      </c>
      <c r="AK256" s="37">
        <f>IF(AN256=15,K256,0)</f>
        <v>0</v>
      </c>
      <c r="AL256" s="37">
        <f>IF(AN256=21,K256,0)</f>
        <v>0</v>
      </c>
      <c r="AN256" s="37">
        <v>15</v>
      </c>
      <c r="AO256" s="37">
        <f>H256*0</f>
        <v>0</v>
      </c>
      <c r="AP256" s="37">
        <f>H256*(1-0)</f>
        <v>0</v>
      </c>
      <c r="AQ256" s="38" t="s">
        <v>68</v>
      </c>
      <c r="AV256" s="37">
        <f>AW256+AX256</f>
        <v>0</v>
      </c>
      <c r="AW256" s="37">
        <f>G256*AO256</f>
        <v>0</v>
      </c>
      <c r="AX256" s="37">
        <f>G256*AP256</f>
        <v>0</v>
      </c>
      <c r="AY256" s="38" t="s">
        <v>416</v>
      </c>
      <c r="AZ256" s="38" t="s">
        <v>398</v>
      </c>
      <c r="BA256" s="31" t="s">
        <v>56</v>
      </c>
      <c r="BC256" s="37">
        <f>AW256+AX256</f>
        <v>0</v>
      </c>
      <c r="BD256" s="37">
        <f>H256/(100-BE256)*100</f>
        <v>0</v>
      </c>
      <c r="BE256" s="37">
        <v>0</v>
      </c>
      <c r="BF256" s="37">
        <f>256</f>
        <v>256</v>
      </c>
      <c r="BH256" s="37">
        <f>G256*AO256</f>
        <v>0</v>
      </c>
      <c r="BI256" s="37">
        <f>G256*AP256</f>
        <v>0</v>
      </c>
      <c r="BJ256" s="37">
        <f>G256*H256</f>
        <v>0</v>
      </c>
    </row>
    <row r="257" spans="3:7" ht="12.75">
      <c r="C257" s="39" t="s">
        <v>497</v>
      </c>
      <c r="D257" s="39"/>
      <c r="E257" s="39"/>
      <c r="G257" s="40">
        <v>1.446</v>
      </c>
    </row>
    <row r="258" spans="1:47" ht="12.75">
      <c r="A258" s="41"/>
      <c r="B258" s="42" t="s">
        <v>498</v>
      </c>
      <c r="C258" s="42" t="s">
        <v>499</v>
      </c>
      <c r="D258" s="42"/>
      <c r="E258" s="42"/>
      <c r="F258" s="41" t="s">
        <v>4</v>
      </c>
      <c r="G258" s="41" t="s">
        <v>4</v>
      </c>
      <c r="H258" s="41" t="s">
        <v>4</v>
      </c>
      <c r="I258" s="36">
        <f>SUM(I259:I266)</f>
        <v>0</v>
      </c>
      <c r="J258" s="36">
        <f>SUM(J259:J266)</f>
        <v>0</v>
      </c>
      <c r="K258" s="36">
        <f>SUM(K259:K266)</f>
        <v>0</v>
      </c>
      <c r="L258" s="31"/>
      <c r="AI258" s="31"/>
      <c r="AS258" s="36">
        <f>SUM(AJ259:AJ266)</f>
        <v>0</v>
      </c>
      <c r="AT258" s="36">
        <f>SUM(AK259:AK266)</f>
        <v>0</v>
      </c>
      <c r="AU258" s="36">
        <f>SUM(AL259:AL266)</f>
        <v>0</v>
      </c>
    </row>
    <row r="259" spans="1:62" ht="12.75">
      <c r="A259" s="10" t="s">
        <v>500</v>
      </c>
      <c r="B259" s="10" t="s">
        <v>501</v>
      </c>
      <c r="C259" s="10" t="s">
        <v>502</v>
      </c>
      <c r="D259" s="10"/>
      <c r="E259" s="10"/>
      <c r="F259" s="10" t="s">
        <v>117</v>
      </c>
      <c r="G259" s="37">
        <v>21.7155</v>
      </c>
      <c r="H259" s="37">
        <v>0</v>
      </c>
      <c r="I259" s="37">
        <f>G259*AO259</f>
        <v>0</v>
      </c>
      <c r="J259" s="37">
        <f>G259*AP259</f>
        <v>0</v>
      </c>
      <c r="K259" s="37">
        <f>G259*H259</f>
        <v>0</v>
      </c>
      <c r="L259" s="38" t="s">
        <v>54</v>
      </c>
      <c r="Z259" s="37">
        <f>IF(AQ259="5",BJ259,0)</f>
        <v>0</v>
      </c>
      <c r="AB259" s="37">
        <f>IF(AQ259="1",BH259,0)</f>
        <v>0</v>
      </c>
      <c r="AC259" s="37">
        <f>IF(AQ259="1",BI259,0)</f>
        <v>0</v>
      </c>
      <c r="AD259" s="37">
        <f>IF(AQ259="7",BH259,0)</f>
        <v>0</v>
      </c>
      <c r="AE259" s="37">
        <f>IF(AQ259="7",BI259,0)</f>
        <v>0</v>
      </c>
      <c r="AF259" s="37">
        <f>IF(AQ259="2",BH259,0)</f>
        <v>0</v>
      </c>
      <c r="AG259" s="37">
        <f>IF(AQ259="2",BI259,0)</f>
        <v>0</v>
      </c>
      <c r="AH259" s="37">
        <f>IF(AQ259="0",BJ259,0)</f>
        <v>0</v>
      </c>
      <c r="AI259" s="31"/>
      <c r="AJ259" s="37">
        <f>IF(AN259=0,K259,0)</f>
        <v>0</v>
      </c>
      <c r="AK259" s="37">
        <f>IF(AN259=15,K259,0)</f>
        <v>0</v>
      </c>
      <c r="AL259" s="37">
        <f>IF(AN259=21,K259,0)</f>
        <v>0</v>
      </c>
      <c r="AN259" s="37">
        <v>15</v>
      </c>
      <c r="AO259" s="37">
        <f>H259*0.00932906181587062</f>
        <v>0</v>
      </c>
      <c r="AP259" s="37">
        <f>H259*(1-0.00932906181587062)</f>
        <v>0</v>
      </c>
      <c r="AQ259" s="38" t="s">
        <v>80</v>
      </c>
      <c r="AV259" s="37">
        <f>AW259+AX259</f>
        <v>0</v>
      </c>
      <c r="AW259" s="37">
        <f>G259*AO259</f>
        <v>0</v>
      </c>
      <c r="AX259" s="37">
        <f>G259*AP259</f>
        <v>0</v>
      </c>
      <c r="AY259" s="38" t="s">
        <v>503</v>
      </c>
      <c r="AZ259" s="38" t="s">
        <v>279</v>
      </c>
      <c r="BA259" s="31" t="s">
        <v>56</v>
      </c>
      <c r="BC259" s="37">
        <f>AW259+AX259</f>
        <v>0</v>
      </c>
      <c r="BD259" s="37">
        <f>H259/(100-BE259)*100</f>
        <v>0</v>
      </c>
      <c r="BE259" s="37">
        <v>0</v>
      </c>
      <c r="BF259" s="37">
        <f>259</f>
        <v>259</v>
      </c>
      <c r="BH259" s="37">
        <f>G259*AO259</f>
        <v>0</v>
      </c>
      <c r="BI259" s="37">
        <f>G259*AP259</f>
        <v>0</v>
      </c>
      <c r="BJ259" s="37">
        <f>G259*H259</f>
        <v>0</v>
      </c>
    </row>
    <row r="260" spans="3:7" ht="12.75">
      <c r="C260" s="39" t="s">
        <v>376</v>
      </c>
      <c r="D260" s="39"/>
      <c r="E260" s="39"/>
      <c r="G260" s="40">
        <v>21.7155</v>
      </c>
    </row>
    <row r="261" spans="1:62" ht="12.75">
      <c r="A261" s="10" t="s">
        <v>504</v>
      </c>
      <c r="B261" s="10" t="s">
        <v>505</v>
      </c>
      <c r="C261" s="10" t="s">
        <v>506</v>
      </c>
      <c r="D261" s="10"/>
      <c r="E261" s="10"/>
      <c r="F261" s="10" t="s">
        <v>117</v>
      </c>
      <c r="G261" s="37">
        <v>23.45274</v>
      </c>
      <c r="H261" s="37">
        <v>0</v>
      </c>
      <c r="I261" s="37">
        <f>G261*AO261</f>
        <v>0</v>
      </c>
      <c r="J261" s="37">
        <f>G261*AP261</f>
        <v>0</v>
      </c>
      <c r="K261" s="37">
        <f>G261*H261</f>
        <v>0</v>
      </c>
      <c r="L261" s="38" t="s">
        <v>54</v>
      </c>
      <c r="Z261" s="37">
        <f>IF(AQ261="5",BJ261,0)</f>
        <v>0</v>
      </c>
      <c r="AB261" s="37">
        <f>IF(AQ261="1",BH261,0)</f>
        <v>0</v>
      </c>
      <c r="AC261" s="37">
        <f>IF(AQ261="1",BI261,0)</f>
        <v>0</v>
      </c>
      <c r="AD261" s="37">
        <f>IF(AQ261="7",BH261,0)</f>
        <v>0</v>
      </c>
      <c r="AE261" s="37">
        <f>IF(AQ261="7",BI261,0)</f>
        <v>0</v>
      </c>
      <c r="AF261" s="37">
        <f>IF(AQ261="2",BH261,0)</f>
        <v>0</v>
      </c>
      <c r="AG261" s="37">
        <f>IF(AQ261="2",BI261,0)</f>
        <v>0</v>
      </c>
      <c r="AH261" s="37">
        <f>IF(AQ261="0",BJ261,0)</f>
        <v>0</v>
      </c>
      <c r="AI261" s="31"/>
      <c r="AJ261" s="37">
        <f>IF(AN261=0,K261,0)</f>
        <v>0</v>
      </c>
      <c r="AK261" s="37">
        <f>IF(AN261=15,K261,0)</f>
        <v>0</v>
      </c>
      <c r="AL261" s="37">
        <f>IF(AN261=21,K261,0)</f>
        <v>0</v>
      </c>
      <c r="AN261" s="37">
        <v>15</v>
      </c>
      <c r="AO261" s="37">
        <f>H261*1</f>
        <v>0</v>
      </c>
      <c r="AP261" s="37">
        <f>H261*(1-1)</f>
        <v>0</v>
      </c>
      <c r="AQ261" s="38" t="s">
        <v>80</v>
      </c>
      <c r="AV261" s="37">
        <f>AW261+AX261</f>
        <v>0</v>
      </c>
      <c r="AW261" s="37">
        <f>G261*AO261</f>
        <v>0</v>
      </c>
      <c r="AX261" s="37">
        <f>G261*AP261</f>
        <v>0</v>
      </c>
      <c r="AY261" s="38" t="s">
        <v>503</v>
      </c>
      <c r="AZ261" s="38" t="s">
        <v>279</v>
      </c>
      <c r="BA261" s="31" t="s">
        <v>56</v>
      </c>
      <c r="BC261" s="37">
        <f>AW261+AX261</f>
        <v>0</v>
      </c>
      <c r="BD261" s="37">
        <f>H261/(100-BE261)*100</f>
        <v>0</v>
      </c>
      <c r="BE261" s="37">
        <v>0</v>
      </c>
      <c r="BF261" s="37">
        <f>261</f>
        <v>261</v>
      </c>
      <c r="BH261" s="37">
        <f>G261*AO261</f>
        <v>0</v>
      </c>
      <c r="BI261" s="37">
        <f>G261*AP261</f>
        <v>0</v>
      </c>
      <c r="BJ261" s="37">
        <f>G261*H261</f>
        <v>0</v>
      </c>
    </row>
    <row r="262" spans="3:7" ht="12.75">
      <c r="C262" s="39" t="s">
        <v>507</v>
      </c>
      <c r="D262" s="39"/>
      <c r="E262" s="39"/>
      <c r="G262" s="40">
        <v>21.7155</v>
      </c>
    </row>
    <row r="263" spans="3:7" ht="12.75">
      <c r="C263" s="39" t="s">
        <v>508</v>
      </c>
      <c r="D263" s="39"/>
      <c r="E263" s="39"/>
      <c r="G263" s="40">
        <v>1.73724</v>
      </c>
    </row>
    <row r="264" spans="1:62" ht="12.75">
      <c r="A264" s="10" t="s">
        <v>509</v>
      </c>
      <c r="B264" s="10" t="s">
        <v>501</v>
      </c>
      <c r="C264" s="10" t="s">
        <v>510</v>
      </c>
      <c r="D264" s="10"/>
      <c r="E264" s="10"/>
      <c r="F264" s="10" t="s">
        <v>117</v>
      </c>
      <c r="G264" s="37">
        <v>37.31</v>
      </c>
      <c r="H264" s="37">
        <v>0</v>
      </c>
      <c r="I264" s="37">
        <f>G264*AO264</f>
        <v>0</v>
      </c>
      <c r="J264" s="37">
        <f>G264*AP264</f>
        <v>0</v>
      </c>
      <c r="K264" s="37">
        <f>G264*H264</f>
        <v>0</v>
      </c>
      <c r="L264" s="38" t="s">
        <v>54</v>
      </c>
      <c r="Z264" s="37">
        <f>IF(AQ264="5",BJ264,0)</f>
        <v>0</v>
      </c>
      <c r="AB264" s="37">
        <f>IF(AQ264="1",BH264,0)</f>
        <v>0</v>
      </c>
      <c r="AC264" s="37">
        <f>IF(AQ264="1",BI264,0)</f>
        <v>0</v>
      </c>
      <c r="AD264" s="37">
        <f>IF(AQ264="7",BH264,0)</f>
        <v>0</v>
      </c>
      <c r="AE264" s="37">
        <f>IF(AQ264="7",BI264,0)</f>
        <v>0</v>
      </c>
      <c r="AF264" s="37">
        <f>IF(AQ264="2",BH264,0)</f>
        <v>0</v>
      </c>
      <c r="AG264" s="37">
        <f>IF(AQ264="2",BI264,0)</f>
        <v>0</v>
      </c>
      <c r="AH264" s="37">
        <f>IF(AQ264="0",BJ264,0)</f>
        <v>0</v>
      </c>
      <c r="AI264" s="31"/>
      <c r="AJ264" s="37">
        <f>IF(AN264=0,K264,0)</f>
        <v>0</v>
      </c>
      <c r="AK264" s="37">
        <f>IF(AN264=15,K264,0)</f>
        <v>0</v>
      </c>
      <c r="AL264" s="37">
        <f>IF(AN264=21,K264,0)</f>
        <v>0</v>
      </c>
      <c r="AN264" s="37">
        <v>15</v>
      </c>
      <c r="AO264" s="37">
        <f>H264*0.00932906549386712</f>
        <v>0</v>
      </c>
      <c r="AP264" s="37">
        <f>H264*(1-0.00932906549386712)</f>
        <v>0</v>
      </c>
      <c r="AQ264" s="38" t="s">
        <v>80</v>
      </c>
      <c r="AV264" s="37">
        <f>AW264+AX264</f>
        <v>0</v>
      </c>
      <c r="AW264" s="37">
        <f>G264*AO264</f>
        <v>0</v>
      </c>
      <c r="AX264" s="37">
        <f>G264*AP264</f>
        <v>0</v>
      </c>
      <c r="AY264" s="38" t="s">
        <v>503</v>
      </c>
      <c r="AZ264" s="38" t="s">
        <v>279</v>
      </c>
      <c r="BA264" s="31" t="s">
        <v>56</v>
      </c>
      <c r="BC264" s="37">
        <f>AW264+AX264</f>
        <v>0</v>
      </c>
      <c r="BD264" s="37">
        <f>H264/(100-BE264)*100</f>
        <v>0</v>
      </c>
      <c r="BE264" s="37">
        <v>0</v>
      </c>
      <c r="BF264" s="37">
        <f>264</f>
        <v>264</v>
      </c>
      <c r="BH264" s="37">
        <f>G264*AO264</f>
        <v>0</v>
      </c>
      <c r="BI264" s="37">
        <f>G264*AP264</f>
        <v>0</v>
      </c>
      <c r="BJ264" s="37">
        <f>G264*H264</f>
        <v>0</v>
      </c>
    </row>
    <row r="265" spans="3:7" ht="12.75">
      <c r="C265" s="39" t="s">
        <v>511</v>
      </c>
      <c r="D265" s="39"/>
      <c r="E265" s="39"/>
      <c r="G265" s="40">
        <v>37.31</v>
      </c>
    </row>
    <row r="266" spans="1:62" ht="12.75">
      <c r="A266" s="10" t="s">
        <v>512</v>
      </c>
      <c r="B266" s="10" t="s">
        <v>513</v>
      </c>
      <c r="C266" s="10" t="s">
        <v>514</v>
      </c>
      <c r="D266" s="10"/>
      <c r="E266" s="10"/>
      <c r="F266" s="10" t="s">
        <v>145</v>
      </c>
      <c r="G266" s="37">
        <v>0.327</v>
      </c>
      <c r="H266" s="37">
        <v>0</v>
      </c>
      <c r="I266" s="37">
        <f>G266*AO266</f>
        <v>0</v>
      </c>
      <c r="J266" s="37">
        <f>G266*AP266</f>
        <v>0</v>
      </c>
      <c r="K266" s="37">
        <f>G266*H266</f>
        <v>0</v>
      </c>
      <c r="L266" s="38" t="s">
        <v>54</v>
      </c>
      <c r="Z266" s="37">
        <f>IF(AQ266="5",BJ266,0)</f>
        <v>0</v>
      </c>
      <c r="AB266" s="37">
        <f>IF(AQ266="1",BH266,0)</f>
        <v>0</v>
      </c>
      <c r="AC266" s="37">
        <f>IF(AQ266="1",BI266,0)</f>
        <v>0</v>
      </c>
      <c r="AD266" s="37">
        <f>IF(AQ266="7",BH266,0)</f>
        <v>0</v>
      </c>
      <c r="AE266" s="37">
        <f>IF(AQ266="7",BI266,0)</f>
        <v>0</v>
      </c>
      <c r="AF266" s="37">
        <f>IF(AQ266="2",BH266,0)</f>
        <v>0</v>
      </c>
      <c r="AG266" s="37">
        <f>IF(AQ266="2",BI266,0)</f>
        <v>0</v>
      </c>
      <c r="AH266" s="37">
        <f>IF(AQ266="0",BJ266,0)</f>
        <v>0</v>
      </c>
      <c r="AI266" s="31"/>
      <c r="AJ266" s="37">
        <f>IF(AN266=0,K266,0)</f>
        <v>0</v>
      </c>
      <c r="AK266" s="37">
        <f>IF(AN266=15,K266,0)</f>
        <v>0</v>
      </c>
      <c r="AL266" s="37">
        <f>IF(AN266=21,K266,0)</f>
        <v>0</v>
      </c>
      <c r="AN266" s="37">
        <v>15</v>
      </c>
      <c r="AO266" s="37">
        <f>H266*0</f>
        <v>0</v>
      </c>
      <c r="AP266" s="37">
        <f>H266*(1-0)</f>
        <v>0</v>
      </c>
      <c r="AQ266" s="38" t="s">
        <v>68</v>
      </c>
      <c r="AV266" s="37">
        <f>AW266+AX266</f>
        <v>0</v>
      </c>
      <c r="AW266" s="37">
        <f>G266*AO266</f>
        <v>0</v>
      </c>
      <c r="AX266" s="37">
        <f>G266*AP266</f>
        <v>0</v>
      </c>
      <c r="AY266" s="38" t="s">
        <v>503</v>
      </c>
      <c r="AZ266" s="38" t="s">
        <v>279</v>
      </c>
      <c r="BA266" s="31" t="s">
        <v>56</v>
      </c>
      <c r="BC266" s="37">
        <f>AW266+AX266</f>
        <v>0</v>
      </c>
      <c r="BD266" s="37">
        <f>H266/(100-BE266)*100</f>
        <v>0</v>
      </c>
      <c r="BE266" s="37">
        <v>0</v>
      </c>
      <c r="BF266" s="37">
        <f>266</f>
        <v>266</v>
      </c>
      <c r="BH266" s="37">
        <f>G266*AO266</f>
        <v>0</v>
      </c>
      <c r="BI266" s="37">
        <f>G266*AP266</f>
        <v>0</v>
      </c>
      <c r="BJ266" s="37">
        <f>G266*H266</f>
        <v>0</v>
      </c>
    </row>
    <row r="267" spans="3:7" ht="12.75">
      <c r="C267" s="39" t="s">
        <v>515</v>
      </c>
      <c r="D267" s="39"/>
      <c r="E267" s="39"/>
      <c r="G267" s="40">
        <v>0.327</v>
      </c>
    </row>
    <row r="268" spans="1:47" ht="12.75">
      <c r="A268" s="41"/>
      <c r="B268" s="42" t="s">
        <v>516</v>
      </c>
      <c r="C268" s="42" t="s">
        <v>517</v>
      </c>
      <c r="D268" s="42"/>
      <c r="E268" s="42"/>
      <c r="F268" s="41" t="s">
        <v>4</v>
      </c>
      <c r="G268" s="41" t="s">
        <v>4</v>
      </c>
      <c r="H268" s="41" t="s">
        <v>4</v>
      </c>
      <c r="I268" s="36">
        <f>SUM(I269:I320)</f>
        <v>0</v>
      </c>
      <c r="J268" s="36">
        <f>SUM(J269:J320)</f>
        <v>0</v>
      </c>
      <c r="K268" s="36">
        <f>SUM(K269:K320)</f>
        <v>0</v>
      </c>
      <c r="L268" s="31"/>
      <c r="AI268" s="31"/>
      <c r="AS268" s="36">
        <f>SUM(AJ269:AJ320)</f>
        <v>0</v>
      </c>
      <c r="AT268" s="36">
        <f>SUM(AK269:AK320)</f>
        <v>0</v>
      </c>
      <c r="AU268" s="36">
        <f>SUM(AL269:AL320)</f>
        <v>0</v>
      </c>
    </row>
    <row r="269" spans="1:62" ht="12.75">
      <c r="A269" s="10" t="s">
        <v>518</v>
      </c>
      <c r="B269" s="10" t="s">
        <v>519</v>
      </c>
      <c r="C269" s="10" t="s">
        <v>520</v>
      </c>
      <c r="D269" s="10"/>
      <c r="E269" s="10"/>
      <c r="F269" s="10" t="s">
        <v>117</v>
      </c>
      <c r="G269" s="37">
        <v>6.0375</v>
      </c>
      <c r="H269" s="37">
        <v>0</v>
      </c>
      <c r="I269" s="37">
        <f>G269*AO269</f>
        <v>0</v>
      </c>
      <c r="J269" s="37">
        <f>G269*AP269</f>
        <v>0</v>
      </c>
      <c r="K269" s="37">
        <f>G269*H269</f>
        <v>0</v>
      </c>
      <c r="L269" s="38" t="s">
        <v>54</v>
      </c>
      <c r="Z269" s="37">
        <f>IF(AQ269="5",BJ269,0)</f>
        <v>0</v>
      </c>
      <c r="AB269" s="37">
        <f>IF(AQ269="1",BH269,0)</f>
        <v>0</v>
      </c>
      <c r="AC269" s="37">
        <f>IF(AQ269="1",BI269,0)</f>
        <v>0</v>
      </c>
      <c r="AD269" s="37">
        <f>IF(AQ269="7",BH269,0)</f>
        <v>0</v>
      </c>
      <c r="AE269" s="37">
        <f>IF(AQ269="7",BI269,0)</f>
        <v>0</v>
      </c>
      <c r="AF269" s="37">
        <f>IF(AQ269="2",BH269,0)</f>
        <v>0</v>
      </c>
      <c r="AG269" s="37">
        <f>IF(AQ269="2",BI269,0)</f>
        <v>0</v>
      </c>
      <c r="AH269" s="37">
        <f>IF(AQ269="0",BJ269,0)</f>
        <v>0</v>
      </c>
      <c r="AI269" s="31"/>
      <c r="AJ269" s="37">
        <f>IF(AN269=0,K269,0)</f>
        <v>0</v>
      </c>
      <c r="AK269" s="37">
        <f>IF(AN269=15,K269,0)</f>
        <v>0</v>
      </c>
      <c r="AL269" s="37">
        <f>IF(AN269=21,K269,0)</f>
        <v>0</v>
      </c>
      <c r="AN269" s="37">
        <v>15</v>
      </c>
      <c r="AO269" s="37">
        <f>H269*0.50656974807686</f>
        <v>0</v>
      </c>
      <c r="AP269" s="37">
        <f>H269*(1-0.50656974807686)</f>
        <v>0</v>
      </c>
      <c r="AQ269" s="38" t="s">
        <v>80</v>
      </c>
      <c r="AV269" s="37">
        <f>AW269+AX269</f>
        <v>0</v>
      </c>
      <c r="AW269" s="37">
        <f>G269*AO269</f>
        <v>0</v>
      </c>
      <c r="AX269" s="37">
        <f>G269*AP269</f>
        <v>0</v>
      </c>
      <c r="AY269" s="38" t="s">
        <v>521</v>
      </c>
      <c r="AZ269" s="38" t="s">
        <v>279</v>
      </c>
      <c r="BA269" s="31" t="s">
        <v>56</v>
      </c>
      <c r="BC269" s="37">
        <f>AW269+AX269</f>
        <v>0</v>
      </c>
      <c r="BD269" s="37">
        <f>H269/(100-BE269)*100</f>
        <v>0</v>
      </c>
      <c r="BE269" s="37">
        <v>0</v>
      </c>
      <c r="BF269" s="37">
        <f>269</f>
        <v>269</v>
      </c>
      <c r="BH269" s="37">
        <f>G269*AO269</f>
        <v>0</v>
      </c>
      <c r="BI269" s="37">
        <f>G269*AP269</f>
        <v>0</v>
      </c>
      <c r="BJ269" s="37">
        <f>G269*H269</f>
        <v>0</v>
      </c>
    </row>
    <row r="270" spans="3:7" ht="12.75">
      <c r="C270" s="39" t="s">
        <v>522</v>
      </c>
      <c r="D270" s="39"/>
      <c r="E270" s="39"/>
      <c r="G270" s="40">
        <v>6.0375</v>
      </c>
    </row>
    <row r="271" spans="1:62" ht="12.75">
      <c r="A271" s="10" t="s">
        <v>523</v>
      </c>
      <c r="B271" s="10" t="s">
        <v>524</v>
      </c>
      <c r="C271" s="10" t="s">
        <v>525</v>
      </c>
      <c r="D271" s="10"/>
      <c r="E271" s="10"/>
      <c r="F271" s="10" t="s">
        <v>347</v>
      </c>
      <c r="G271" s="37">
        <v>1</v>
      </c>
      <c r="H271" s="37">
        <v>0</v>
      </c>
      <c r="I271" s="37">
        <f>G271*AO271</f>
        <v>0</v>
      </c>
      <c r="J271" s="37">
        <f>G271*AP271</f>
        <v>0</v>
      </c>
      <c r="K271" s="37">
        <f>G271*H271</f>
        <v>0</v>
      </c>
      <c r="L271" s="38" t="s">
        <v>54</v>
      </c>
      <c r="Z271" s="37">
        <f>IF(AQ271="5",BJ271,0)</f>
        <v>0</v>
      </c>
      <c r="AB271" s="37">
        <f>IF(AQ271="1",BH271,0)</f>
        <v>0</v>
      </c>
      <c r="AC271" s="37">
        <f>IF(AQ271="1",BI271,0)</f>
        <v>0</v>
      </c>
      <c r="AD271" s="37">
        <f>IF(AQ271="7",BH271,0)</f>
        <v>0</v>
      </c>
      <c r="AE271" s="37">
        <f>IF(AQ271="7",BI271,0)</f>
        <v>0</v>
      </c>
      <c r="AF271" s="37">
        <f>IF(AQ271="2",BH271,0)</f>
        <v>0</v>
      </c>
      <c r="AG271" s="37">
        <f>IF(AQ271="2",BI271,0)</f>
        <v>0</v>
      </c>
      <c r="AH271" s="37">
        <f>IF(AQ271="0",BJ271,0)</f>
        <v>0</v>
      </c>
      <c r="AI271" s="31"/>
      <c r="AJ271" s="37">
        <f>IF(AN271=0,K271,0)</f>
        <v>0</v>
      </c>
      <c r="AK271" s="37">
        <f>IF(AN271=15,K271,0)</f>
        <v>0</v>
      </c>
      <c r="AL271" s="37">
        <f>IF(AN271=21,K271,0)</f>
        <v>0</v>
      </c>
      <c r="AN271" s="37">
        <v>15</v>
      </c>
      <c r="AO271" s="37">
        <f>H271*1</f>
        <v>0</v>
      </c>
      <c r="AP271" s="37">
        <f>H271*(1-1)</f>
        <v>0</v>
      </c>
      <c r="AQ271" s="38" t="s">
        <v>80</v>
      </c>
      <c r="AV271" s="37">
        <f>AW271+AX271</f>
        <v>0</v>
      </c>
      <c r="AW271" s="37">
        <f>G271*AO271</f>
        <v>0</v>
      </c>
      <c r="AX271" s="37">
        <f>G271*AP271</f>
        <v>0</v>
      </c>
      <c r="AY271" s="38" t="s">
        <v>521</v>
      </c>
      <c r="AZ271" s="38" t="s">
        <v>279</v>
      </c>
      <c r="BA271" s="31" t="s">
        <v>56</v>
      </c>
      <c r="BC271" s="37">
        <f>AW271+AX271</f>
        <v>0</v>
      </c>
      <c r="BD271" s="37">
        <f>H271/(100-BE271)*100</f>
        <v>0</v>
      </c>
      <c r="BE271" s="37">
        <v>0</v>
      </c>
      <c r="BF271" s="37">
        <f>271</f>
        <v>271</v>
      </c>
      <c r="BH271" s="37">
        <f>G271*AO271</f>
        <v>0</v>
      </c>
      <c r="BI271" s="37">
        <f>G271*AP271</f>
        <v>0</v>
      </c>
      <c r="BJ271" s="37">
        <f>G271*H271</f>
        <v>0</v>
      </c>
    </row>
    <row r="272" spans="3:7" ht="12.75">
      <c r="C272" s="39" t="s">
        <v>57</v>
      </c>
      <c r="D272" s="39"/>
      <c r="E272" s="39"/>
      <c r="G272" s="40">
        <v>1</v>
      </c>
    </row>
    <row r="273" spans="1:62" ht="12.75">
      <c r="A273" s="10" t="s">
        <v>526</v>
      </c>
      <c r="B273" s="10" t="s">
        <v>527</v>
      </c>
      <c r="C273" s="10" t="s">
        <v>528</v>
      </c>
      <c r="D273" s="10"/>
      <c r="E273" s="10"/>
      <c r="F273" s="10" t="s">
        <v>167</v>
      </c>
      <c r="G273" s="37">
        <v>1</v>
      </c>
      <c r="H273" s="37">
        <v>0</v>
      </c>
      <c r="I273" s="37">
        <f>G273*AO273</f>
        <v>0</v>
      </c>
      <c r="J273" s="37">
        <f>G273*AP273</f>
        <v>0</v>
      </c>
      <c r="K273" s="37">
        <f>G273*H273</f>
        <v>0</v>
      </c>
      <c r="L273" s="38" t="s">
        <v>54</v>
      </c>
      <c r="Z273" s="37">
        <f>IF(AQ273="5",BJ273,0)</f>
        <v>0</v>
      </c>
      <c r="AB273" s="37">
        <f>IF(AQ273="1",BH273,0)</f>
        <v>0</v>
      </c>
      <c r="AC273" s="37">
        <f>IF(AQ273="1",BI273,0)</f>
        <v>0</v>
      </c>
      <c r="AD273" s="37">
        <f>IF(AQ273="7",BH273,0)</f>
        <v>0</v>
      </c>
      <c r="AE273" s="37">
        <f>IF(AQ273="7",BI273,0)</f>
        <v>0</v>
      </c>
      <c r="AF273" s="37">
        <f>IF(AQ273="2",BH273,0)</f>
        <v>0</v>
      </c>
      <c r="AG273" s="37">
        <f>IF(AQ273="2",BI273,0)</f>
        <v>0</v>
      </c>
      <c r="AH273" s="37">
        <f>IF(AQ273="0",BJ273,0)</f>
        <v>0</v>
      </c>
      <c r="AI273" s="31"/>
      <c r="AJ273" s="37">
        <f>IF(AN273=0,K273,0)</f>
        <v>0</v>
      </c>
      <c r="AK273" s="37">
        <f>IF(AN273=15,K273,0)</f>
        <v>0</v>
      </c>
      <c r="AL273" s="37">
        <f>IF(AN273=21,K273,0)</f>
        <v>0</v>
      </c>
      <c r="AN273" s="37">
        <v>15</v>
      </c>
      <c r="AO273" s="37">
        <f>H273*0</f>
        <v>0</v>
      </c>
      <c r="AP273" s="37">
        <f>H273*(1-0)</f>
        <v>0</v>
      </c>
      <c r="AQ273" s="38" t="s">
        <v>80</v>
      </c>
      <c r="AV273" s="37">
        <f>AW273+AX273</f>
        <v>0</v>
      </c>
      <c r="AW273" s="37">
        <f>G273*AO273</f>
        <v>0</v>
      </c>
      <c r="AX273" s="37">
        <f>G273*AP273</f>
        <v>0</v>
      </c>
      <c r="AY273" s="38" t="s">
        <v>521</v>
      </c>
      <c r="AZ273" s="38" t="s">
        <v>279</v>
      </c>
      <c r="BA273" s="31" t="s">
        <v>56</v>
      </c>
      <c r="BC273" s="37">
        <f>AW273+AX273</f>
        <v>0</v>
      </c>
      <c r="BD273" s="37">
        <f>H273/(100-BE273)*100</f>
        <v>0</v>
      </c>
      <c r="BE273" s="37">
        <v>0</v>
      </c>
      <c r="BF273" s="37">
        <f>273</f>
        <v>273</v>
      </c>
      <c r="BH273" s="37">
        <f>G273*AO273</f>
        <v>0</v>
      </c>
      <c r="BI273" s="37">
        <f>G273*AP273</f>
        <v>0</v>
      </c>
      <c r="BJ273" s="37">
        <f>G273*H273</f>
        <v>0</v>
      </c>
    </row>
    <row r="274" spans="3:7" ht="12.75">
      <c r="C274" s="39" t="s">
        <v>57</v>
      </c>
      <c r="D274" s="39"/>
      <c r="E274" s="39"/>
      <c r="G274" s="40">
        <v>1</v>
      </c>
    </row>
    <row r="275" spans="1:62" ht="12.75">
      <c r="A275" s="10" t="s">
        <v>529</v>
      </c>
      <c r="B275" s="10" t="s">
        <v>530</v>
      </c>
      <c r="C275" s="10" t="s">
        <v>531</v>
      </c>
      <c r="D275" s="10"/>
      <c r="E275" s="10"/>
      <c r="F275" s="10" t="s">
        <v>167</v>
      </c>
      <c r="G275" s="37">
        <v>201.6</v>
      </c>
      <c r="H275" s="37">
        <v>0</v>
      </c>
      <c r="I275" s="37">
        <f>G275*AO275</f>
        <v>0</v>
      </c>
      <c r="J275" s="37">
        <f>G275*AP275</f>
        <v>0</v>
      </c>
      <c r="K275" s="37">
        <f>G275*H275</f>
        <v>0</v>
      </c>
      <c r="L275" s="38" t="s">
        <v>54</v>
      </c>
      <c r="Z275" s="37">
        <f>IF(AQ275="5",BJ275,0)</f>
        <v>0</v>
      </c>
      <c r="AB275" s="37">
        <f>IF(AQ275="1",BH275,0)</f>
        <v>0</v>
      </c>
      <c r="AC275" s="37">
        <f>IF(AQ275="1",BI275,0)</f>
        <v>0</v>
      </c>
      <c r="AD275" s="37">
        <f>IF(AQ275="7",BH275,0)</f>
        <v>0</v>
      </c>
      <c r="AE275" s="37">
        <f>IF(AQ275="7",BI275,0)</f>
        <v>0</v>
      </c>
      <c r="AF275" s="37">
        <f>IF(AQ275="2",BH275,0)</f>
        <v>0</v>
      </c>
      <c r="AG275" s="37">
        <f>IF(AQ275="2",BI275,0)</f>
        <v>0</v>
      </c>
      <c r="AH275" s="37">
        <f>IF(AQ275="0",BJ275,0)</f>
        <v>0</v>
      </c>
      <c r="AI275" s="31"/>
      <c r="AJ275" s="37">
        <f>IF(AN275=0,K275,0)</f>
        <v>0</v>
      </c>
      <c r="AK275" s="37">
        <f>IF(AN275=15,K275,0)</f>
        <v>0</v>
      </c>
      <c r="AL275" s="37">
        <f>IF(AN275=21,K275,0)</f>
        <v>0</v>
      </c>
      <c r="AN275" s="37">
        <v>15</v>
      </c>
      <c r="AO275" s="37">
        <f>H275*0.172734952481521</f>
        <v>0</v>
      </c>
      <c r="AP275" s="37">
        <f>H275*(1-0.172734952481521)</f>
        <v>0</v>
      </c>
      <c r="AQ275" s="38" t="s">
        <v>80</v>
      </c>
      <c r="AV275" s="37">
        <f>AW275+AX275</f>
        <v>0</v>
      </c>
      <c r="AW275" s="37">
        <f>G275*AO275</f>
        <v>0</v>
      </c>
      <c r="AX275" s="37">
        <f>G275*AP275</f>
        <v>0</v>
      </c>
      <c r="AY275" s="38" t="s">
        <v>521</v>
      </c>
      <c r="AZ275" s="38" t="s">
        <v>279</v>
      </c>
      <c r="BA275" s="31" t="s">
        <v>56</v>
      </c>
      <c r="BC275" s="37">
        <f>AW275+AX275</f>
        <v>0</v>
      </c>
      <c r="BD275" s="37">
        <f>H275/(100-BE275)*100</f>
        <v>0</v>
      </c>
      <c r="BE275" s="37">
        <v>0</v>
      </c>
      <c r="BF275" s="37">
        <f>275</f>
        <v>275</v>
      </c>
      <c r="BH275" s="37">
        <f>G275*AO275</f>
        <v>0</v>
      </c>
      <c r="BI275" s="37">
        <f>G275*AP275</f>
        <v>0</v>
      </c>
      <c r="BJ275" s="37">
        <f>G275*H275</f>
        <v>0</v>
      </c>
    </row>
    <row r="276" spans="3:7" ht="12.75">
      <c r="C276" s="39" t="s">
        <v>532</v>
      </c>
      <c r="D276" s="39"/>
      <c r="E276" s="39"/>
      <c r="G276" s="40">
        <v>86.4</v>
      </c>
    </row>
    <row r="277" spans="3:7" ht="12.75">
      <c r="C277" s="39" t="s">
        <v>533</v>
      </c>
      <c r="D277" s="39"/>
      <c r="E277" s="39"/>
      <c r="G277" s="40">
        <v>115.2</v>
      </c>
    </row>
    <row r="278" spans="1:62" ht="12.75">
      <c r="A278" s="10" t="s">
        <v>534</v>
      </c>
      <c r="B278" s="10" t="s">
        <v>535</v>
      </c>
      <c r="C278" s="10" t="s">
        <v>536</v>
      </c>
      <c r="D278" s="10"/>
      <c r="E278" s="10"/>
      <c r="F278" s="10" t="s">
        <v>167</v>
      </c>
      <c r="G278" s="37">
        <v>86.4</v>
      </c>
      <c r="H278" s="37">
        <v>0</v>
      </c>
      <c r="I278" s="37">
        <f>G278*AO278</f>
        <v>0</v>
      </c>
      <c r="J278" s="37">
        <f>G278*AP278</f>
        <v>0</v>
      </c>
      <c r="K278" s="37">
        <f>G278*H278</f>
        <v>0</v>
      </c>
      <c r="L278" s="38" t="s">
        <v>54</v>
      </c>
      <c r="Z278" s="37">
        <f>IF(AQ278="5",BJ278,0)</f>
        <v>0</v>
      </c>
      <c r="AB278" s="37">
        <f>IF(AQ278="1",BH278,0)</f>
        <v>0</v>
      </c>
      <c r="AC278" s="37">
        <f>IF(AQ278="1",BI278,0)</f>
        <v>0</v>
      </c>
      <c r="AD278" s="37">
        <f>IF(AQ278="7",BH278,0)</f>
        <v>0</v>
      </c>
      <c r="AE278" s="37">
        <f>IF(AQ278="7",BI278,0)</f>
        <v>0</v>
      </c>
      <c r="AF278" s="37">
        <f>IF(AQ278="2",BH278,0)</f>
        <v>0</v>
      </c>
      <c r="AG278" s="37">
        <f>IF(AQ278="2",BI278,0)</f>
        <v>0</v>
      </c>
      <c r="AH278" s="37">
        <f>IF(AQ278="0",BJ278,0)</f>
        <v>0</v>
      </c>
      <c r="AI278" s="31"/>
      <c r="AJ278" s="37">
        <f>IF(AN278=0,K278,0)</f>
        <v>0</v>
      </c>
      <c r="AK278" s="37">
        <f>IF(AN278=15,K278,0)</f>
        <v>0</v>
      </c>
      <c r="AL278" s="37">
        <f>IF(AN278=21,K278,0)</f>
        <v>0</v>
      </c>
      <c r="AN278" s="37">
        <v>15</v>
      </c>
      <c r="AO278" s="37">
        <f>H278*0.121136890951276</f>
        <v>0</v>
      </c>
      <c r="AP278" s="37">
        <f>H278*(1-0.121136890951276)</f>
        <v>0</v>
      </c>
      <c r="AQ278" s="38" t="s">
        <v>80</v>
      </c>
      <c r="AV278" s="37">
        <f>AW278+AX278</f>
        <v>0</v>
      </c>
      <c r="AW278" s="37">
        <f>G278*AO278</f>
        <v>0</v>
      </c>
      <c r="AX278" s="37">
        <f>G278*AP278</f>
        <v>0</v>
      </c>
      <c r="AY278" s="38" t="s">
        <v>521</v>
      </c>
      <c r="AZ278" s="38" t="s">
        <v>279</v>
      </c>
      <c r="BA278" s="31" t="s">
        <v>56</v>
      </c>
      <c r="BC278" s="37">
        <f>AW278+AX278</f>
        <v>0</v>
      </c>
      <c r="BD278" s="37">
        <f>H278/(100-BE278)*100</f>
        <v>0</v>
      </c>
      <c r="BE278" s="37">
        <v>0</v>
      </c>
      <c r="BF278" s="37">
        <f>278</f>
        <v>278</v>
      </c>
      <c r="BH278" s="37">
        <f>G278*AO278</f>
        <v>0</v>
      </c>
      <c r="BI278" s="37">
        <f>G278*AP278</f>
        <v>0</v>
      </c>
      <c r="BJ278" s="37">
        <f>G278*H278</f>
        <v>0</v>
      </c>
    </row>
    <row r="279" spans="3:7" ht="12.75">
      <c r="C279" s="39" t="s">
        <v>537</v>
      </c>
      <c r="D279" s="39"/>
      <c r="E279" s="39"/>
      <c r="G279" s="40">
        <v>57.6</v>
      </c>
    </row>
    <row r="280" spans="3:7" ht="12.75">
      <c r="C280" s="39" t="s">
        <v>538</v>
      </c>
      <c r="D280" s="39"/>
      <c r="E280" s="39"/>
      <c r="G280" s="40">
        <v>28.8</v>
      </c>
    </row>
    <row r="281" spans="1:62" ht="12.75">
      <c r="A281" s="10" t="s">
        <v>539</v>
      </c>
      <c r="B281" s="10" t="s">
        <v>540</v>
      </c>
      <c r="C281" s="10" t="s">
        <v>541</v>
      </c>
      <c r="D281" s="10"/>
      <c r="E281" s="10"/>
      <c r="F281" s="10" t="s">
        <v>167</v>
      </c>
      <c r="G281" s="37">
        <v>108</v>
      </c>
      <c r="H281" s="37">
        <v>0</v>
      </c>
      <c r="I281" s="37">
        <f>G281*AO281</f>
        <v>0</v>
      </c>
      <c r="J281" s="37">
        <f>G281*AP281</f>
        <v>0</v>
      </c>
      <c r="K281" s="37">
        <f>G281*H281</f>
        <v>0</v>
      </c>
      <c r="L281" s="38" t="s">
        <v>54</v>
      </c>
      <c r="Z281" s="37">
        <f>IF(AQ281="5",BJ281,0)</f>
        <v>0</v>
      </c>
      <c r="AB281" s="37">
        <f>IF(AQ281="1",BH281,0)</f>
        <v>0</v>
      </c>
      <c r="AC281" s="37">
        <f>IF(AQ281="1",BI281,0)</f>
        <v>0</v>
      </c>
      <c r="AD281" s="37">
        <f>IF(AQ281="7",BH281,0)</f>
        <v>0</v>
      </c>
      <c r="AE281" s="37">
        <f>IF(AQ281="7",BI281,0)</f>
        <v>0</v>
      </c>
      <c r="AF281" s="37">
        <f>IF(AQ281="2",BH281,0)</f>
        <v>0</v>
      </c>
      <c r="AG281" s="37">
        <f>IF(AQ281="2",BI281,0)</f>
        <v>0</v>
      </c>
      <c r="AH281" s="37">
        <f>IF(AQ281="0",BJ281,0)</f>
        <v>0</v>
      </c>
      <c r="AI281" s="31"/>
      <c r="AJ281" s="37">
        <f>IF(AN281=0,K281,0)</f>
        <v>0</v>
      </c>
      <c r="AK281" s="37">
        <f>IF(AN281=15,K281,0)</f>
        <v>0</v>
      </c>
      <c r="AL281" s="37">
        <f>IF(AN281=21,K281,0)</f>
        <v>0</v>
      </c>
      <c r="AN281" s="37">
        <v>15</v>
      </c>
      <c r="AO281" s="37">
        <f>H281*0</f>
        <v>0</v>
      </c>
      <c r="AP281" s="37">
        <f>H281*(1-0)</f>
        <v>0</v>
      </c>
      <c r="AQ281" s="38" t="s">
        <v>80</v>
      </c>
      <c r="AV281" s="37">
        <f>AW281+AX281</f>
        <v>0</v>
      </c>
      <c r="AW281" s="37">
        <f>G281*AO281</f>
        <v>0</v>
      </c>
      <c r="AX281" s="37">
        <f>G281*AP281</f>
        <v>0</v>
      </c>
      <c r="AY281" s="38" t="s">
        <v>521</v>
      </c>
      <c r="AZ281" s="38" t="s">
        <v>279</v>
      </c>
      <c r="BA281" s="31" t="s">
        <v>56</v>
      </c>
      <c r="BC281" s="37">
        <f>AW281+AX281</f>
        <v>0</v>
      </c>
      <c r="BD281" s="37">
        <f>H281/(100-BE281)*100</f>
        <v>0</v>
      </c>
      <c r="BE281" s="37">
        <v>0</v>
      </c>
      <c r="BF281" s="37">
        <f>281</f>
        <v>281</v>
      </c>
      <c r="BH281" s="37">
        <f>G281*AO281</f>
        <v>0</v>
      </c>
      <c r="BI281" s="37">
        <f>G281*AP281</f>
        <v>0</v>
      </c>
      <c r="BJ281" s="37">
        <f>G281*H281</f>
        <v>0</v>
      </c>
    </row>
    <row r="282" spans="3:7" ht="12.75">
      <c r="C282" s="39" t="s">
        <v>542</v>
      </c>
      <c r="D282" s="39"/>
      <c r="E282" s="39"/>
      <c r="G282" s="40">
        <v>108</v>
      </c>
    </row>
    <row r="283" spans="1:62" ht="14.25">
      <c r="A283" s="10" t="s">
        <v>543</v>
      </c>
      <c r="B283" s="10" t="s">
        <v>544</v>
      </c>
      <c r="C283" s="10" t="s">
        <v>545</v>
      </c>
      <c r="D283" s="10"/>
      <c r="E283" s="10"/>
      <c r="F283" s="10" t="s">
        <v>167</v>
      </c>
      <c r="G283" s="37">
        <v>108</v>
      </c>
      <c r="H283" s="37">
        <v>0</v>
      </c>
      <c r="I283" s="37">
        <f>G283*AO283</f>
        <v>0</v>
      </c>
      <c r="J283" s="37">
        <f>G283*AP283</f>
        <v>0</v>
      </c>
      <c r="K283" s="37">
        <f>G283*H283</f>
        <v>0</v>
      </c>
      <c r="L283" s="38" t="s">
        <v>54</v>
      </c>
      <c r="Z283" s="37">
        <f>IF(AQ283="5",BJ283,0)</f>
        <v>0</v>
      </c>
      <c r="AB283" s="37">
        <f>IF(AQ283="1",BH283,0)</f>
        <v>0</v>
      </c>
      <c r="AC283" s="37">
        <f>IF(AQ283="1",BI283,0)</f>
        <v>0</v>
      </c>
      <c r="AD283" s="37">
        <f>IF(AQ283="7",BH283,0)</f>
        <v>0</v>
      </c>
      <c r="AE283" s="37">
        <f>IF(AQ283="7",BI283,0)</f>
        <v>0</v>
      </c>
      <c r="AF283" s="37">
        <f>IF(AQ283="2",BH283,0)</f>
        <v>0</v>
      </c>
      <c r="AG283" s="37">
        <f>IF(AQ283="2",BI283,0)</f>
        <v>0</v>
      </c>
      <c r="AH283" s="37">
        <f>IF(AQ283="0",BJ283,0)</f>
        <v>0</v>
      </c>
      <c r="AI283" s="31"/>
      <c r="AJ283" s="37">
        <f>IF(AN283=0,K283,0)</f>
        <v>0</v>
      </c>
      <c r="AK283" s="37">
        <f>IF(AN283=15,K283,0)</f>
        <v>0</v>
      </c>
      <c r="AL283" s="37">
        <f>IF(AN283=21,K283,0)</f>
        <v>0</v>
      </c>
      <c r="AN283" s="37">
        <v>15</v>
      </c>
      <c r="AO283" s="37">
        <f>H283*0</f>
        <v>0</v>
      </c>
      <c r="AP283" s="37">
        <f>H283*(1-0)</f>
        <v>0</v>
      </c>
      <c r="AQ283" s="38" t="s">
        <v>80</v>
      </c>
      <c r="AV283" s="37">
        <f>AW283+AX283</f>
        <v>0</v>
      </c>
      <c r="AW283" s="37">
        <f>G283*AO283</f>
        <v>0</v>
      </c>
      <c r="AX283" s="37">
        <f>G283*AP283</f>
        <v>0</v>
      </c>
      <c r="AY283" s="38" t="s">
        <v>521</v>
      </c>
      <c r="AZ283" s="38" t="s">
        <v>279</v>
      </c>
      <c r="BA283" s="31" t="s">
        <v>56</v>
      </c>
      <c r="BC283" s="37">
        <f>AW283+AX283</f>
        <v>0</v>
      </c>
      <c r="BD283" s="37">
        <f>H283/(100-BE283)*100</f>
        <v>0</v>
      </c>
      <c r="BE283" s="37">
        <v>0</v>
      </c>
      <c r="BF283" s="37">
        <f>283</f>
        <v>283</v>
      </c>
      <c r="BH283" s="37">
        <f>G283*AO283</f>
        <v>0</v>
      </c>
      <c r="BI283" s="37">
        <f>G283*AP283</f>
        <v>0</v>
      </c>
      <c r="BJ283" s="37">
        <f>G283*H283</f>
        <v>0</v>
      </c>
    </row>
    <row r="284" spans="3:7" ht="12.75">
      <c r="C284" s="39" t="s">
        <v>546</v>
      </c>
      <c r="D284" s="39"/>
      <c r="E284" s="39"/>
      <c r="G284" s="40">
        <v>108</v>
      </c>
    </row>
    <row r="285" spans="1:62" ht="12.75">
      <c r="A285" s="10" t="s">
        <v>547</v>
      </c>
      <c r="B285" s="10" t="s">
        <v>548</v>
      </c>
      <c r="C285" s="10" t="s">
        <v>549</v>
      </c>
      <c r="D285" s="10"/>
      <c r="E285" s="10"/>
      <c r="F285" s="10" t="s">
        <v>117</v>
      </c>
      <c r="G285" s="37">
        <v>40.2948</v>
      </c>
      <c r="H285" s="37">
        <v>0</v>
      </c>
      <c r="I285" s="37">
        <f>G285*AO285</f>
        <v>0</v>
      </c>
      <c r="J285" s="37">
        <f>G285*AP285</f>
        <v>0</v>
      </c>
      <c r="K285" s="37">
        <f>G285*H285</f>
        <v>0</v>
      </c>
      <c r="L285" s="38" t="s">
        <v>54</v>
      </c>
      <c r="Z285" s="37">
        <f>IF(AQ285="5",BJ285,0)</f>
        <v>0</v>
      </c>
      <c r="AB285" s="37">
        <f>IF(AQ285="1",BH285,0)</f>
        <v>0</v>
      </c>
      <c r="AC285" s="37">
        <f>IF(AQ285="1",BI285,0)</f>
        <v>0</v>
      </c>
      <c r="AD285" s="37">
        <f>IF(AQ285="7",BH285,0)</f>
        <v>0</v>
      </c>
      <c r="AE285" s="37">
        <f>IF(AQ285="7",BI285,0)</f>
        <v>0</v>
      </c>
      <c r="AF285" s="37">
        <f>IF(AQ285="2",BH285,0)</f>
        <v>0</v>
      </c>
      <c r="AG285" s="37">
        <f>IF(AQ285="2",BI285,0)</f>
        <v>0</v>
      </c>
      <c r="AH285" s="37">
        <f>IF(AQ285="0",BJ285,0)</f>
        <v>0</v>
      </c>
      <c r="AI285" s="31"/>
      <c r="AJ285" s="37">
        <f>IF(AN285=0,K285,0)</f>
        <v>0</v>
      </c>
      <c r="AK285" s="37">
        <f>IF(AN285=15,K285,0)</f>
        <v>0</v>
      </c>
      <c r="AL285" s="37">
        <f>IF(AN285=21,K285,0)</f>
        <v>0</v>
      </c>
      <c r="AN285" s="37">
        <v>15</v>
      </c>
      <c r="AO285" s="37">
        <f>H285*1</f>
        <v>0</v>
      </c>
      <c r="AP285" s="37">
        <f>H285*(1-1)</f>
        <v>0</v>
      </c>
      <c r="AQ285" s="38" t="s">
        <v>80</v>
      </c>
      <c r="AV285" s="37">
        <f>AW285+AX285</f>
        <v>0</v>
      </c>
      <c r="AW285" s="37">
        <f>G285*AO285</f>
        <v>0</v>
      </c>
      <c r="AX285" s="37">
        <f>G285*AP285</f>
        <v>0</v>
      </c>
      <c r="AY285" s="38" t="s">
        <v>521</v>
      </c>
      <c r="AZ285" s="38" t="s">
        <v>279</v>
      </c>
      <c r="BA285" s="31" t="s">
        <v>56</v>
      </c>
      <c r="BC285" s="37">
        <f>AW285+AX285</f>
        <v>0</v>
      </c>
      <c r="BD285" s="37">
        <f>H285/(100-BE285)*100</f>
        <v>0</v>
      </c>
      <c r="BE285" s="37">
        <v>0</v>
      </c>
      <c r="BF285" s="37">
        <f>285</f>
        <v>285</v>
      </c>
      <c r="BH285" s="37">
        <f>G285*AO285</f>
        <v>0</v>
      </c>
      <c r="BI285" s="37">
        <f>G285*AP285</f>
        <v>0</v>
      </c>
      <c r="BJ285" s="37">
        <f>G285*H285</f>
        <v>0</v>
      </c>
    </row>
    <row r="286" spans="3:7" ht="12.75">
      <c r="C286" s="39" t="s">
        <v>550</v>
      </c>
      <c r="D286" s="39"/>
      <c r="E286" s="39"/>
      <c r="G286" s="40">
        <v>37.31</v>
      </c>
    </row>
    <row r="287" spans="3:7" ht="12.75">
      <c r="C287" s="39" t="s">
        <v>551</v>
      </c>
      <c r="D287" s="39"/>
      <c r="E287" s="39"/>
      <c r="G287" s="40">
        <v>2.9848</v>
      </c>
    </row>
    <row r="288" spans="1:62" ht="12.75">
      <c r="A288" s="10" t="s">
        <v>552</v>
      </c>
      <c r="B288" s="10" t="s">
        <v>553</v>
      </c>
      <c r="C288" s="10" t="s">
        <v>554</v>
      </c>
      <c r="D288" s="10"/>
      <c r="E288" s="10"/>
      <c r="F288" s="10" t="s">
        <v>347</v>
      </c>
      <c r="G288" s="37">
        <v>45.5</v>
      </c>
      <c r="H288" s="37">
        <v>0</v>
      </c>
      <c r="I288" s="37">
        <f>G288*AO288</f>
        <v>0</v>
      </c>
      <c r="J288" s="37">
        <f>G288*AP288</f>
        <v>0</v>
      </c>
      <c r="K288" s="37">
        <f>G288*H288</f>
        <v>0</v>
      </c>
      <c r="L288" s="38" t="s">
        <v>99</v>
      </c>
      <c r="Z288" s="37">
        <f>IF(AQ288="5",BJ288,0)</f>
        <v>0</v>
      </c>
      <c r="AB288" s="37">
        <f>IF(AQ288="1",BH288,0)</f>
        <v>0</v>
      </c>
      <c r="AC288" s="37">
        <f>IF(AQ288="1",BI288,0)</f>
        <v>0</v>
      </c>
      <c r="AD288" s="37">
        <f>IF(AQ288="7",BH288,0)</f>
        <v>0</v>
      </c>
      <c r="AE288" s="37">
        <f>IF(AQ288="7",BI288,0)</f>
        <v>0</v>
      </c>
      <c r="AF288" s="37">
        <f>IF(AQ288="2",BH288,0)</f>
        <v>0</v>
      </c>
      <c r="AG288" s="37">
        <f>IF(AQ288="2",BI288,0)</f>
        <v>0</v>
      </c>
      <c r="AH288" s="37">
        <f>IF(AQ288="0",BJ288,0)</f>
        <v>0</v>
      </c>
      <c r="AI288" s="31"/>
      <c r="AJ288" s="37">
        <f>IF(AN288=0,K288,0)</f>
        <v>0</v>
      </c>
      <c r="AK288" s="37">
        <f>IF(AN288=15,K288,0)</f>
        <v>0</v>
      </c>
      <c r="AL288" s="37">
        <f>IF(AN288=21,K288,0)</f>
        <v>0</v>
      </c>
      <c r="AN288" s="37">
        <v>15</v>
      </c>
      <c r="AO288" s="37">
        <f>H288*0.132881139537263</f>
        <v>0</v>
      </c>
      <c r="AP288" s="37">
        <f>H288*(1-0.132881139537263)</f>
        <v>0</v>
      </c>
      <c r="AQ288" s="38" t="s">
        <v>80</v>
      </c>
      <c r="AV288" s="37">
        <f>AW288+AX288</f>
        <v>0</v>
      </c>
      <c r="AW288" s="37">
        <f>G288*AO288</f>
        <v>0</v>
      </c>
      <c r="AX288" s="37">
        <f>G288*AP288</f>
        <v>0</v>
      </c>
      <c r="AY288" s="38" t="s">
        <v>521</v>
      </c>
      <c r="AZ288" s="38" t="s">
        <v>279</v>
      </c>
      <c r="BA288" s="31" t="s">
        <v>56</v>
      </c>
      <c r="BC288" s="37">
        <f>AW288+AX288</f>
        <v>0</v>
      </c>
      <c r="BD288" s="37">
        <f>H288/(100-BE288)*100</f>
        <v>0</v>
      </c>
      <c r="BE288" s="37">
        <v>0</v>
      </c>
      <c r="BF288" s="37">
        <f>288</f>
        <v>288</v>
      </c>
      <c r="BH288" s="37">
        <f>G288*AO288</f>
        <v>0</v>
      </c>
      <c r="BI288" s="37">
        <f>G288*AP288</f>
        <v>0</v>
      </c>
      <c r="BJ288" s="37">
        <f>G288*H288</f>
        <v>0</v>
      </c>
    </row>
    <row r="289" spans="3:7" ht="12.75">
      <c r="C289" s="39" t="s">
        <v>555</v>
      </c>
      <c r="D289" s="39"/>
      <c r="E289" s="39"/>
      <c r="G289" s="40">
        <v>45.5</v>
      </c>
    </row>
    <row r="290" spans="1:62" ht="12.75">
      <c r="A290" s="10" t="s">
        <v>556</v>
      </c>
      <c r="B290" s="10" t="s">
        <v>557</v>
      </c>
      <c r="C290" s="10" t="s">
        <v>558</v>
      </c>
      <c r="D290" s="10"/>
      <c r="E290" s="10"/>
      <c r="F290" s="10" t="s">
        <v>167</v>
      </c>
      <c r="G290" s="37">
        <v>45.5</v>
      </c>
      <c r="H290" s="37">
        <v>0</v>
      </c>
      <c r="I290" s="37">
        <f>G290*AO290</f>
        <v>0</v>
      </c>
      <c r="J290" s="37">
        <f>G290*AP290</f>
        <v>0</v>
      </c>
      <c r="K290" s="37">
        <f>G290*H290</f>
        <v>0</v>
      </c>
      <c r="L290" s="38" t="s">
        <v>99</v>
      </c>
      <c r="Z290" s="37">
        <f>IF(AQ290="5",BJ290,0)</f>
        <v>0</v>
      </c>
      <c r="AB290" s="37">
        <f>IF(AQ290="1",BH290,0)</f>
        <v>0</v>
      </c>
      <c r="AC290" s="37">
        <f>IF(AQ290="1",BI290,0)</f>
        <v>0</v>
      </c>
      <c r="AD290" s="37">
        <f>IF(AQ290="7",BH290,0)</f>
        <v>0</v>
      </c>
      <c r="AE290" s="37">
        <f>IF(AQ290="7",BI290,0)</f>
        <v>0</v>
      </c>
      <c r="AF290" s="37">
        <f>IF(AQ290="2",BH290,0)</f>
        <v>0</v>
      </c>
      <c r="AG290" s="37">
        <f>IF(AQ290="2",BI290,0)</f>
        <v>0</v>
      </c>
      <c r="AH290" s="37">
        <f>IF(AQ290="0",BJ290,0)</f>
        <v>0</v>
      </c>
      <c r="AI290" s="31"/>
      <c r="AJ290" s="37">
        <f>IF(AN290=0,K290,0)</f>
        <v>0</v>
      </c>
      <c r="AK290" s="37">
        <f>IF(AN290=15,K290,0)</f>
        <v>0</v>
      </c>
      <c r="AL290" s="37">
        <f>IF(AN290=21,K290,0)</f>
        <v>0</v>
      </c>
      <c r="AN290" s="37">
        <v>15</v>
      </c>
      <c r="AO290" s="37">
        <f>H290*0.0212232415902141</f>
        <v>0</v>
      </c>
      <c r="AP290" s="37">
        <f>H290*(1-0.0212232415902141)</f>
        <v>0</v>
      </c>
      <c r="AQ290" s="38" t="s">
        <v>80</v>
      </c>
      <c r="AV290" s="37">
        <f>AW290+AX290</f>
        <v>0</v>
      </c>
      <c r="AW290" s="37">
        <f>G290*AO290</f>
        <v>0</v>
      </c>
      <c r="AX290" s="37">
        <f>G290*AP290</f>
        <v>0</v>
      </c>
      <c r="AY290" s="38" t="s">
        <v>521</v>
      </c>
      <c r="AZ290" s="38" t="s">
        <v>279</v>
      </c>
      <c r="BA290" s="31" t="s">
        <v>56</v>
      </c>
      <c r="BC290" s="37">
        <f>AW290+AX290</f>
        <v>0</v>
      </c>
      <c r="BD290" s="37">
        <f>H290/(100-BE290)*100</f>
        <v>0</v>
      </c>
      <c r="BE290" s="37">
        <v>0</v>
      </c>
      <c r="BF290" s="37">
        <f>290</f>
        <v>290</v>
      </c>
      <c r="BH290" s="37">
        <f>G290*AO290</f>
        <v>0</v>
      </c>
      <c r="BI290" s="37">
        <f>G290*AP290</f>
        <v>0</v>
      </c>
      <c r="BJ290" s="37">
        <f>G290*H290</f>
        <v>0</v>
      </c>
    </row>
    <row r="291" spans="3:7" ht="12.75">
      <c r="C291" s="39" t="s">
        <v>555</v>
      </c>
      <c r="D291" s="39"/>
      <c r="E291" s="39"/>
      <c r="G291" s="40">
        <v>45.5</v>
      </c>
    </row>
    <row r="292" spans="1:62" ht="12.75">
      <c r="A292" s="10" t="s">
        <v>559</v>
      </c>
      <c r="B292" s="10" t="s">
        <v>560</v>
      </c>
      <c r="C292" s="10" t="s">
        <v>561</v>
      </c>
      <c r="D292" s="10"/>
      <c r="E292" s="10"/>
      <c r="F292" s="10" t="s">
        <v>347</v>
      </c>
      <c r="G292" s="37">
        <v>5</v>
      </c>
      <c r="H292" s="37">
        <v>0</v>
      </c>
      <c r="I292" s="37">
        <f>G292*AO292</f>
        <v>0</v>
      </c>
      <c r="J292" s="37">
        <f>G292*AP292</f>
        <v>0</v>
      </c>
      <c r="K292" s="37">
        <f>G292*H292</f>
        <v>0</v>
      </c>
      <c r="L292" s="38" t="s">
        <v>99</v>
      </c>
      <c r="Z292" s="37">
        <f>IF(AQ292="5",BJ292,0)</f>
        <v>0</v>
      </c>
      <c r="AB292" s="37">
        <f>IF(AQ292="1",BH292,0)</f>
        <v>0</v>
      </c>
      <c r="AC292" s="37">
        <f>IF(AQ292="1",BI292,0)</f>
        <v>0</v>
      </c>
      <c r="AD292" s="37">
        <f>IF(AQ292="7",BH292,0)</f>
        <v>0</v>
      </c>
      <c r="AE292" s="37">
        <f>IF(AQ292="7",BI292,0)</f>
        <v>0</v>
      </c>
      <c r="AF292" s="37">
        <f>IF(AQ292="2",BH292,0)</f>
        <v>0</v>
      </c>
      <c r="AG292" s="37">
        <f>IF(AQ292="2",BI292,0)</f>
        <v>0</v>
      </c>
      <c r="AH292" s="37">
        <f>IF(AQ292="0",BJ292,0)</f>
        <v>0</v>
      </c>
      <c r="AI292" s="31"/>
      <c r="AJ292" s="37">
        <f>IF(AN292=0,K292,0)</f>
        <v>0</v>
      </c>
      <c r="AK292" s="37">
        <f>IF(AN292=15,K292,0)</f>
        <v>0</v>
      </c>
      <c r="AL292" s="37">
        <f>IF(AN292=21,K292,0)</f>
        <v>0</v>
      </c>
      <c r="AN292" s="37">
        <v>15</v>
      </c>
      <c r="AO292" s="37">
        <f>H292*0.0390417940876656</f>
        <v>0</v>
      </c>
      <c r="AP292" s="37">
        <f>H292*(1-0.0390417940876656)</f>
        <v>0</v>
      </c>
      <c r="AQ292" s="38" t="s">
        <v>80</v>
      </c>
      <c r="AV292" s="37">
        <f>AW292+AX292</f>
        <v>0</v>
      </c>
      <c r="AW292" s="37">
        <f>G292*AO292</f>
        <v>0</v>
      </c>
      <c r="AX292" s="37">
        <f>G292*AP292</f>
        <v>0</v>
      </c>
      <c r="AY292" s="38" t="s">
        <v>521</v>
      </c>
      <c r="AZ292" s="38" t="s">
        <v>279</v>
      </c>
      <c r="BA292" s="31" t="s">
        <v>56</v>
      </c>
      <c r="BC292" s="37">
        <f>AW292+AX292</f>
        <v>0</v>
      </c>
      <c r="BD292" s="37">
        <f>H292/(100-BE292)*100</f>
        <v>0</v>
      </c>
      <c r="BE292" s="37">
        <v>0</v>
      </c>
      <c r="BF292" s="37">
        <f>292</f>
        <v>292</v>
      </c>
      <c r="BH292" s="37">
        <f>G292*AO292</f>
        <v>0</v>
      </c>
      <c r="BI292" s="37">
        <f>G292*AP292</f>
        <v>0</v>
      </c>
      <c r="BJ292" s="37">
        <f>G292*H292</f>
        <v>0</v>
      </c>
    </row>
    <row r="293" spans="3:7" ht="12.75">
      <c r="C293" s="39" t="s">
        <v>562</v>
      </c>
      <c r="D293" s="39"/>
      <c r="E293" s="39"/>
      <c r="G293" s="40">
        <v>5</v>
      </c>
    </row>
    <row r="294" spans="1:62" ht="12.75">
      <c r="A294" s="10" t="s">
        <v>563</v>
      </c>
      <c r="B294" s="10" t="s">
        <v>564</v>
      </c>
      <c r="C294" s="10" t="s">
        <v>565</v>
      </c>
      <c r="D294" s="10"/>
      <c r="E294" s="10"/>
      <c r="F294" s="10" t="s">
        <v>167</v>
      </c>
      <c r="G294" s="37">
        <v>21.5</v>
      </c>
      <c r="H294" s="37">
        <v>0</v>
      </c>
      <c r="I294" s="37">
        <f>G294*AO294</f>
        <v>0</v>
      </c>
      <c r="J294" s="37">
        <f>G294*AP294</f>
        <v>0</v>
      </c>
      <c r="K294" s="37">
        <f>G294*H294</f>
        <v>0</v>
      </c>
      <c r="L294" s="38" t="s">
        <v>99</v>
      </c>
      <c r="Z294" s="37">
        <f>IF(AQ294="5",BJ294,0)</f>
        <v>0</v>
      </c>
      <c r="AB294" s="37">
        <f>IF(AQ294="1",BH294,0)</f>
        <v>0</v>
      </c>
      <c r="AC294" s="37">
        <f>IF(AQ294="1",BI294,0)</f>
        <v>0</v>
      </c>
      <c r="AD294" s="37">
        <f>IF(AQ294="7",BH294,0)</f>
        <v>0</v>
      </c>
      <c r="AE294" s="37">
        <f>IF(AQ294="7",BI294,0)</f>
        <v>0</v>
      </c>
      <c r="AF294" s="37">
        <f>IF(AQ294="2",BH294,0)</f>
        <v>0</v>
      </c>
      <c r="AG294" s="37">
        <f>IF(AQ294="2",BI294,0)</f>
        <v>0</v>
      </c>
      <c r="AH294" s="37">
        <f>IF(AQ294="0",BJ294,0)</f>
        <v>0</v>
      </c>
      <c r="AI294" s="31"/>
      <c r="AJ294" s="37">
        <f>IF(AN294=0,K294,0)</f>
        <v>0</v>
      </c>
      <c r="AK294" s="37">
        <f>IF(AN294=15,K294,0)</f>
        <v>0</v>
      </c>
      <c r="AL294" s="37">
        <f>IF(AN294=21,K294,0)</f>
        <v>0</v>
      </c>
      <c r="AN294" s="37">
        <v>15</v>
      </c>
      <c r="AO294" s="37">
        <f>H294*0.191455026455026</f>
        <v>0</v>
      </c>
      <c r="AP294" s="37">
        <f>H294*(1-0.191455026455026)</f>
        <v>0</v>
      </c>
      <c r="AQ294" s="38" t="s">
        <v>80</v>
      </c>
      <c r="AV294" s="37">
        <f>AW294+AX294</f>
        <v>0</v>
      </c>
      <c r="AW294" s="37">
        <f>G294*AO294</f>
        <v>0</v>
      </c>
      <c r="AX294" s="37">
        <f>G294*AP294</f>
        <v>0</v>
      </c>
      <c r="AY294" s="38" t="s">
        <v>521</v>
      </c>
      <c r="AZ294" s="38" t="s">
        <v>279</v>
      </c>
      <c r="BA294" s="31" t="s">
        <v>56</v>
      </c>
      <c r="BC294" s="37">
        <f>AW294+AX294</f>
        <v>0</v>
      </c>
      <c r="BD294" s="37">
        <f>H294/(100-BE294)*100</f>
        <v>0</v>
      </c>
      <c r="BE294" s="37">
        <v>0</v>
      </c>
      <c r="BF294" s="37">
        <f>294</f>
        <v>294</v>
      </c>
      <c r="BH294" s="37">
        <f>G294*AO294</f>
        <v>0</v>
      </c>
      <c r="BI294" s="37">
        <f>G294*AP294</f>
        <v>0</v>
      </c>
      <c r="BJ294" s="37">
        <f>G294*H294</f>
        <v>0</v>
      </c>
    </row>
    <row r="295" spans="3:7" ht="12.75">
      <c r="C295" s="39" t="s">
        <v>566</v>
      </c>
      <c r="D295" s="39"/>
      <c r="E295" s="39"/>
      <c r="G295" s="40">
        <v>21.5</v>
      </c>
    </row>
    <row r="296" spans="1:62" ht="12.75">
      <c r="A296" s="10" t="s">
        <v>567</v>
      </c>
      <c r="B296" s="10" t="s">
        <v>564</v>
      </c>
      <c r="C296" s="10" t="s">
        <v>568</v>
      </c>
      <c r="D296" s="10"/>
      <c r="E296" s="10"/>
      <c r="F296" s="10" t="s">
        <v>167</v>
      </c>
      <c r="G296" s="37">
        <v>148.8</v>
      </c>
      <c r="H296" s="37">
        <v>0</v>
      </c>
      <c r="I296" s="37">
        <f>G296*AO296</f>
        <v>0</v>
      </c>
      <c r="J296" s="37">
        <f>G296*AP296</f>
        <v>0</v>
      </c>
      <c r="K296" s="37">
        <f>G296*H296</f>
        <v>0</v>
      </c>
      <c r="L296" s="38" t="s">
        <v>99</v>
      </c>
      <c r="Z296" s="37">
        <f>IF(AQ296="5",BJ296,0)</f>
        <v>0</v>
      </c>
      <c r="AB296" s="37">
        <f>IF(AQ296="1",BH296,0)</f>
        <v>0</v>
      </c>
      <c r="AC296" s="37">
        <f>IF(AQ296="1",BI296,0)</f>
        <v>0</v>
      </c>
      <c r="AD296" s="37">
        <f>IF(AQ296="7",BH296,0)</f>
        <v>0</v>
      </c>
      <c r="AE296" s="37">
        <f>IF(AQ296="7",BI296,0)</f>
        <v>0</v>
      </c>
      <c r="AF296" s="37">
        <f>IF(AQ296="2",BH296,0)</f>
        <v>0</v>
      </c>
      <c r="AG296" s="37">
        <f>IF(AQ296="2",BI296,0)</f>
        <v>0</v>
      </c>
      <c r="AH296" s="37">
        <f>IF(AQ296="0",BJ296,0)</f>
        <v>0</v>
      </c>
      <c r="AI296" s="31"/>
      <c r="AJ296" s="37">
        <f>IF(AN296=0,K296,0)</f>
        <v>0</v>
      </c>
      <c r="AK296" s="37">
        <f>IF(AN296=15,K296,0)</f>
        <v>0</v>
      </c>
      <c r="AL296" s="37">
        <f>IF(AN296=21,K296,0)</f>
        <v>0</v>
      </c>
      <c r="AN296" s="37">
        <v>15</v>
      </c>
      <c r="AO296" s="37">
        <f>H296*0.191455026455026</f>
        <v>0</v>
      </c>
      <c r="AP296" s="37">
        <f>H296*(1-0.191455026455026)</f>
        <v>0</v>
      </c>
      <c r="AQ296" s="38" t="s">
        <v>80</v>
      </c>
      <c r="AV296" s="37">
        <f>AW296+AX296</f>
        <v>0</v>
      </c>
      <c r="AW296" s="37">
        <f>G296*AO296</f>
        <v>0</v>
      </c>
      <c r="AX296" s="37">
        <f>G296*AP296</f>
        <v>0</v>
      </c>
      <c r="AY296" s="38" t="s">
        <v>521</v>
      </c>
      <c r="AZ296" s="38" t="s">
        <v>279</v>
      </c>
      <c r="BA296" s="31" t="s">
        <v>56</v>
      </c>
      <c r="BC296" s="37">
        <f>AW296+AX296</f>
        <v>0</v>
      </c>
      <c r="BD296" s="37">
        <f>H296/(100-BE296)*100</f>
        <v>0</v>
      </c>
      <c r="BE296" s="37">
        <v>0</v>
      </c>
      <c r="BF296" s="37">
        <f>296</f>
        <v>296</v>
      </c>
      <c r="BH296" s="37">
        <f>G296*AO296</f>
        <v>0</v>
      </c>
      <c r="BI296" s="37">
        <f>G296*AP296</f>
        <v>0</v>
      </c>
      <c r="BJ296" s="37">
        <f>G296*H296</f>
        <v>0</v>
      </c>
    </row>
    <row r="297" spans="3:7" ht="12.75">
      <c r="C297" s="39" t="s">
        <v>569</v>
      </c>
      <c r="D297" s="39"/>
      <c r="E297" s="39"/>
      <c r="G297" s="40">
        <v>148.8</v>
      </c>
    </row>
    <row r="298" spans="1:62" ht="12.75">
      <c r="A298" s="10" t="s">
        <v>570</v>
      </c>
      <c r="B298" s="10" t="s">
        <v>571</v>
      </c>
      <c r="C298" s="10" t="s">
        <v>572</v>
      </c>
      <c r="D298" s="10"/>
      <c r="E298" s="10"/>
      <c r="F298" s="10" t="s">
        <v>167</v>
      </c>
      <c r="G298" s="37">
        <v>88</v>
      </c>
      <c r="H298" s="37">
        <v>0</v>
      </c>
      <c r="I298" s="37">
        <f>G298*AO298</f>
        <v>0</v>
      </c>
      <c r="J298" s="37">
        <f>G298*AP298</f>
        <v>0</v>
      </c>
      <c r="K298" s="37">
        <f>G298*H298</f>
        <v>0</v>
      </c>
      <c r="L298" s="38" t="s">
        <v>99</v>
      </c>
      <c r="Z298" s="37">
        <f>IF(AQ298="5",BJ298,0)</f>
        <v>0</v>
      </c>
      <c r="AB298" s="37">
        <f>IF(AQ298="1",BH298,0)</f>
        <v>0</v>
      </c>
      <c r="AC298" s="37">
        <f>IF(AQ298="1",BI298,0)</f>
        <v>0</v>
      </c>
      <c r="AD298" s="37">
        <f>IF(AQ298="7",BH298,0)</f>
        <v>0</v>
      </c>
      <c r="AE298" s="37">
        <f>IF(AQ298="7",BI298,0)</f>
        <v>0</v>
      </c>
      <c r="AF298" s="37">
        <f>IF(AQ298="2",BH298,0)</f>
        <v>0</v>
      </c>
      <c r="AG298" s="37">
        <f>IF(AQ298="2",BI298,0)</f>
        <v>0</v>
      </c>
      <c r="AH298" s="37">
        <f>IF(AQ298="0",BJ298,0)</f>
        <v>0</v>
      </c>
      <c r="AI298" s="31"/>
      <c r="AJ298" s="37">
        <f>IF(AN298=0,K298,0)</f>
        <v>0</v>
      </c>
      <c r="AK298" s="37">
        <f>IF(AN298=15,K298,0)</f>
        <v>0</v>
      </c>
      <c r="AL298" s="37">
        <f>IF(AN298=21,K298,0)</f>
        <v>0</v>
      </c>
      <c r="AN298" s="37">
        <v>15</v>
      </c>
      <c r="AO298" s="37">
        <f>H298*0.210268877890654</f>
        <v>0</v>
      </c>
      <c r="AP298" s="37">
        <f>H298*(1-0.210268877890654)</f>
        <v>0</v>
      </c>
      <c r="AQ298" s="38" t="s">
        <v>80</v>
      </c>
      <c r="AV298" s="37">
        <f>AW298+AX298</f>
        <v>0</v>
      </c>
      <c r="AW298" s="37">
        <f>G298*AO298</f>
        <v>0</v>
      </c>
      <c r="AX298" s="37">
        <f>G298*AP298</f>
        <v>0</v>
      </c>
      <c r="AY298" s="38" t="s">
        <v>521</v>
      </c>
      <c r="AZ298" s="38" t="s">
        <v>279</v>
      </c>
      <c r="BA298" s="31" t="s">
        <v>56</v>
      </c>
      <c r="BC298" s="37">
        <f>AW298+AX298</f>
        <v>0</v>
      </c>
      <c r="BD298" s="37">
        <f>H298/(100-BE298)*100</f>
        <v>0</v>
      </c>
      <c r="BE298" s="37">
        <v>0</v>
      </c>
      <c r="BF298" s="37">
        <f>298</f>
        <v>298</v>
      </c>
      <c r="BH298" s="37">
        <f>G298*AO298</f>
        <v>0</v>
      </c>
      <c r="BI298" s="37">
        <f>G298*AP298</f>
        <v>0</v>
      </c>
      <c r="BJ298" s="37">
        <f>G298*H298</f>
        <v>0</v>
      </c>
    </row>
    <row r="299" spans="3:7" ht="12.75">
      <c r="C299" s="39" t="s">
        <v>573</v>
      </c>
      <c r="D299" s="39"/>
      <c r="E299" s="39"/>
      <c r="G299" s="40">
        <v>88</v>
      </c>
    </row>
    <row r="300" spans="1:62" ht="12.75">
      <c r="A300" s="10" t="s">
        <v>574</v>
      </c>
      <c r="B300" s="10" t="s">
        <v>575</v>
      </c>
      <c r="C300" s="10" t="s">
        <v>576</v>
      </c>
      <c r="D300" s="10"/>
      <c r="E300" s="10"/>
      <c r="F300" s="10" t="s">
        <v>167</v>
      </c>
      <c r="G300" s="37">
        <v>1.75</v>
      </c>
      <c r="H300" s="37">
        <v>0</v>
      </c>
      <c r="I300" s="37">
        <f>G300*AO300</f>
        <v>0</v>
      </c>
      <c r="J300" s="37">
        <f>G300*AP300</f>
        <v>0</v>
      </c>
      <c r="K300" s="37">
        <f>G300*H300</f>
        <v>0</v>
      </c>
      <c r="L300" s="38" t="s">
        <v>99</v>
      </c>
      <c r="Z300" s="37">
        <f>IF(AQ300="5",BJ300,0)</f>
        <v>0</v>
      </c>
      <c r="AB300" s="37">
        <f>IF(AQ300="1",BH300,0)</f>
        <v>0</v>
      </c>
      <c r="AC300" s="37">
        <f>IF(AQ300="1",BI300,0)</f>
        <v>0</v>
      </c>
      <c r="AD300" s="37">
        <f>IF(AQ300="7",BH300,0)</f>
        <v>0</v>
      </c>
      <c r="AE300" s="37">
        <f>IF(AQ300="7",BI300,0)</f>
        <v>0</v>
      </c>
      <c r="AF300" s="37">
        <f>IF(AQ300="2",BH300,0)</f>
        <v>0</v>
      </c>
      <c r="AG300" s="37">
        <f>IF(AQ300="2",BI300,0)</f>
        <v>0</v>
      </c>
      <c r="AH300" s="37">
        <f>IF(AQ300="0",BJ300,0)</f>
        <v>0</v>
      </c>
      <c r="AI300" s="31"/>
      <c r="AJ300" s="37">
        <f>IF(AN300=0,K300,0)</f>
        <v>0</v>
      </c>
      <c r="AK300" s="37">
        <f>IF(AN300=15,K300,0)</f>
        <v>0</v>
      </c>
      <c r="AL300" s="37">
        <f>IF(AN300=21,K300,0)</f>
        <v>0</v>
      </c>
      <c r="AN300" s="37">
        <v>15</v>
      </c>
      <c r="AO300" s="37">
        <f>H300*0.812473401168414</f>
        <v>0</v>
      </c>
      <c r="AP300" s="37">
        <f>H300*(1-0.812473401168414)</f>
        <v>0</v>
      </c>
      <c r="AQ300" s="38" t="s">
        <v>80</v>
      </c>
      <c r="AV300" s="37">
        <f>AW300+AX300</f>
        <v>0</v>
      </c>
      <c r="AW300" s="37">
        <f>G300*AO300</f>
        <v>0</v>
      </c>
      <c r="AX300" s="37">
        <f>G300*AP300</f>
        <v>0</v>
      </c>
      <c r="AY300" s="38" t="s">
        <v>521</v>
      </c>
      <c r="AZ300" s="38" t="s">
        <v>279</v>
      </c>
      <c r="BA300" s="31" t="s">
        <v>56</v>
      </c>
      <c r="BC300" s="37">
        <f>AW300+AX300</f>
        <v>0</v>
      </c>
      <c r="BD300" s="37">
        <f>H300/(100-BE300)*100</f>
        <v>0</v>
      </c>
      <c r="BE300" s="37">
        <v>0</v>
      </c>
      <c r="BF300" s="37">
        <f>300</f>
        <v>300</v>
      </c>
      <c r="BH300" s="37">
        <f>G300*AO300</f>
        <v>0</v>
      </c>
      <c r="BI300" s="37">
        <f>G300*AP300</f>
        <v>0</v>
      </c>
      <c r="BJ300" s="37">
        <f>G300*H300</f>
        <v>0</v>
      </c>
    </row>
    <row r="301" spans="3:7" ht="12.75">
      <c r="C301" s="39" t="s">
        <v>577</v>
      </c>
      <c r="D301" s="39"/>
      <c r="E301" s="39"/>
      <c r="G301" s="40">
        <v>1.75</v>
      </c>
    </row>
    <row r="302" spans="1:62" ht="12.75">
      <c r="A302" s="10" t="s">
        <v>578</v>
      </c>
      <c r="B302" s="10" t="s">
        <v>579</v>
      </c>
      <c r="C302" s="10" t="s">
        <v>580</v>
      </c>
      <c r="D302" s="10"/>
      <c r="E302" s="10"/>
      <c r="F302" s="10" t="s">
        <v>347</v>
      </c>
      <c r="G302" s="37">
        <v>1.75</v>
      </c>
      <c r="H302" s="37">
        <v>0</v>
      </c>
      <c r="I302" s="37">
        <f>G302*AO302</f>
        <v>0</v>
      </c>
      <c r="J302" s="37">
        <f>G302*AP302</f>
        <v>0</v>
      </c>
      <c r="K302" s="37">
        <f>G302*H302</f>
        <v>0</v>
      </c>
      <c r="L302" s="38" t="s">
        <v>99</v>
      </c>
      <c r="Z302" s="37">
        <f>IF(AQ302="5",BJ302,0)</f>
        <v>0</v>
      </c>
      <c r="AB302" s="37">
        <f>IF(AQ302="1",BH302,0)</f>
        <v>0</v>
      </c>
      <c r="AC302" s="37">
        <f>IF(AQ302="1",BI302,0)</f>
        <v>0</v>
      </c>
      <c r="AD302" s="37">
        <f>IF(AQ302="7",BH302,0)</f>
        <v>0</v>
      </c>
      <c r="AE302" s="37">
        <f>IF(AQ302="7",BI302,0)</f>
        <v>0</v>
      </c>
      <c r="AF302" s="37">
        <f>IF(AQ302="2",BH302,0)</f>
        <v>0</v>
      </c>
      <c r="AG302" s="37">
        <f>IF(AQ302="2",BI302,0)</f>
        <v>0</v>
      </c>
      <c r="AH302" s="37">
        <f>IF(AQ302="0",BJ302,0)</f>
        <v>0</v>
      </c>
      <c r="AI302" s="31"/>
      <c r="AJ302" s="37">
        <f>IF(AN302=0,K302,0)</f>
        <v>0</v>
      </c>
      <c r="AK302" s="37">
        <f>IF(AN302=15,K302,0)</f>
        <v>0</v>
      </c>
      <c r="AL302" s="37">
        <f>IF(AN302=21,K302,0)</f>
        <v>0</v>
      </c>
      <c r="AN302" s="37">
        <v>15</v>
      </c>
      <c r="AO302" s="37">
        <f>H302*0.496266187730409</f>
        <v>0</v>
      </c>
      <c r="AP302" s="37">
        <f>H302*(1-0.496266187730409)</f>
        <v>0</v>
      </c>
      <c r="AQ302" s="38" t="s">
        <v>80</v>
      </c>
      <c r="AV302" s="37">
        <f>AW302+AX302</f>
        <v>0</v>
      </c>
      <c r="AW302" s="37">
        <f>G302*AO302</f>
        <v>0</v>
      </c>
      <c r="AX302" s="37">
        <f>G302*AP302</f>
        <v>0</v>
      </c>
      <c r="AY302" s="38" t="s">
        <v>521</v>
      </c>
      <c r="AZ302" s="38" t="s">
        <v>279</v>
      </c>
      <c r="BA302" s="31" t="s">
        <v>56</v>
      </c>
      <c r="BC302" s="37">
        <f>AW302+AX302</f>
        <v>0</v>
      </c>
      <c r="BD302" s="37">
        <f>H302/(100-BE302)*100</f>
        <v>0</v>
      </c>
      <c r="BE302" s="37">
        <v>0</v>
      </c>
      <c r="BF302" s="37">
        <f>302</f>
        <v>302</v>
      </c>
      <c r="BH302" s="37">
        <f>G302*AO302</f>
        <v>0</v>
      </c>
      <c r="BI302" s="37">
        <f>G302*AP302</f>
        <v>0</v>
      </c>
      <c r="BJ302" s="37">
        <f>G302*H302</f>
        <v>0</v>
      </c>
    </row>
    <row r="303" spans="3:7" ht="12.75">
      <c r="C303" s="39" t="s">
        <v>577</v>
      </c>
      <c r="D303" s="39"/>
      <c r="E303" s="39"/>
      <c r="G303" s="40">
        <v>1.75</v>
      </c>
    </row>
    <row r="304" spans="1:62" ht="12.75">
      <c r="A304" s="10" t="s">
        <v>581</v>
      </c>
      <c r="B304" s="10" t="s">
        <v>582</v>
      </c>
      <c r="C304" s="10" t="s">
        <v>583</v>
      </c>
      <c r="D304" s="10"/>
      <c r="E304" s="10"/>
      <c r="F304" s="10" t="s">
        <v>347</v>
      </c>
      <c r="G304" s="37">
        <v>2</v>
      </c>
      <c r="H304" s="37">
        <v>0</v>
      </c>
      <c r="I304" s="37">
        <f>G304*AO304</f>
        <v>0</v>
      </c>
      <c r="J304" s="37">
        <f>G304*AP304</f>
        <v>0</v>
      </c>
      <c r="K304" s="37">
        <f>G304*H304</f>
        <v>0</v>
      </c>
      <c r="L304" s="38" t="s">
        <v>99</v>
      </c>
      <c r="Z304" s="37">
        <f>IF(AQ304="5",BJ304,0)</f>
        <v>0</v>
      </c>
      <c r="AB304" s="37">
        <f>IF(AQ304="1",BH304,0)</f>
        <v>0</v>
      </c>
      <c r="AC304" s="37">
        <f>IF(AQ304="1",BI304,0)</f>
        <v>0</v>
      </c>
      <c r="AD304" s="37">
        <f>IF(AQ304="7",BH304,0)</f>
        <v>0</v>
      </c>
      <c r="AE304" s="37">
        <f>IF(AQ304="7",BI304,0)</f>
        <v>0</v>
      </c>
      <c r="AF304" s="37">
        <f>IF(AQ304="2",BH304,0)</f>
        <v>0</v>
      </c>
      <c r="AG304" s="37">
        <f>IF(AQ304="2",BI304,0)</f>
        <v>0</v>
      </c>
      <c r="AH304" s="37">
        <f>IF(AQ304="0",BJ304,0)</f>
        <v>0</v>
      </c>
      <c r="AI304" s="31"/>
      <c r="AJ304" s="37">
        <f>IF(AN304=0,K304,0)</f>
        <v>0</v>
      </c>
      <c r="AK304" s="37">
        <f>IF(AN304=15,K304,0)</f>
        <v>0</v>
      </c>
      <c r="AL304" s="37">
        <f>IF(AN304=21,K304,0)</f>
        <v>0</v>
      </c>
      <c r="AN304" s="37">
        <v>15</v>
      </c>
      <c r="AO304" s="37">
        <f>H304*0.362015915119363</f>
        <v>0</v>
      </c>
      <c r="AP304" s="37">
        <f>H304*(1-0.362015915119363)</f>
        <v>0</v>
      </c>
      <c r="AQ304" s="38" t="s">
        <v>80</v>
      </c>
      <c r="AV304" s="37">
        <f>AW304+AX304</f>
        <v>0</v>
      </c>
      <c r="AW304" s="37">
        <f>G304*AO304</f>
        <v>0</v>
      </c>
      <c r="AX304" s="37">
        <f>G304*AP304</f>
        <v>0</v>
      </c>
      <c r="AY304" s="38" t="s">
        <v>521</v>
      </c>
      <c r="AZ304" s="38" t="s">
        <v>279</v>
      </c>
      <c r="BA304" s="31" t="s">
        <v>56</v>
      </c>
      <c r="BC304" s="37">
        <f>AW304+AX304</f>
        <v>0</v>
      </c>
      <c r="BD304" s="37">
        <f>H304/(100-BE304)*100</f>
        <v>0</v>
      </c>
      <c r="BE304" s="37">
        <v>0</v>
      </c>
      <c r="BF304" s="37">
        <f>304</f>
        <v>304</v>
      </c>
      <c r="BH304" s="37">
        <f>G304*AO304</f>
        <v>0</v>
      </c>
      <c r="BI304" s="37">
        <f>G304*AP304</f>
        <v>0</v>
      </c>
      <c r="BJ304" s="37">
        <f>G304*H304</f>
        <v>0</v>
      </c>
    </row>
    <row r="305" spans="3:7" ht="12.75">
      <c r="C305" s="39" t="s">
        <v>584</v>
      </c>
      <c r="D305" s="39"/>
      <c r="E305" s="39"/>
      <c r="G305" s="40">
        <v>2</v>
      </c>
    </row>
    <row r="306" spans="1:62" ht="12.75">
      <c r="A306" s="10" t="s">
        <v>585</v>
      </c>
      <c r="B306" s="10" t="s">
        <v>586</v>
      </c>
      <c r="C306" s="10" t="s">
        <v>587</v>
      </c>
      <c r="D306" s="10"/>
      <c r="E306" s="10"/>
      <c r="F306" s="10" t="s">
        <v>347</v>
      </c>
      <c r="G306" s="37">
        <v>2</v>
      </c>
      <c r="H306" s="37">
        <v>0</v>
      </c>
      <c r="I306" s="37">
        <f>G306*AO306</f>
        <v>0</v>
      </c>
      <c r="J306" s="37">
        <f>G306*AP306</f>
        <v>0</v>
      </c>
      <c r="K306" s="37">
        <f>G306*H306</f>
        <v>0</v>
      </c>
      <c r="L306" s="38" t="s">
        <v>99</v>
      </c>
      <c r="Z306" s="37">
        <f>IF(AQ306="5",BJ306,0)</f>
        <v>0</v>
      </c>
      <c r="AB306" s="37">
        <f>IF(AQ306="1",BH306,0)</f>
        <v>0</v>
      </c>
      <c r="AC306" s="37">
        <f>IF(AQ306="1",BI306,0)</f>
        <v>0</v>
      </c>
      <c r="AD306" s="37">
        <f>IF(AQ306="7",BH306,0)</f>
        <v>0</v>
      </c>
      <c r="AE306" s="37">
        <f>IF(AQ306="7",BI306,0)</f>
        <v>0</v>
      </c>
      <c r="AF306" s="37">
        <f>IF(AQ306="2",BH306,0)</f>
        <v>0</v>
      </c>
      <c r="AG306" s="37">
        <f>IF(AQ306="2",BI306,0)</f>
        <v>0</v>
      </c>
      <c r="AH306" s="37">
        <f>IF(AQ306="0",BJ306,0)</f>
        <v>0</v>
      </c>
      <c r="AI306" s="31"/>
      <c r="AJ306" s="37">
        <f>IF(AN306=0,K306,0)</f>
        <v>0</v>
      </c>
      <c r="AK306" s="37">
        <f>IF(AN306=15,K306,0)</f>
        <v>0</v>
      </c>
      <c r="AL306" s="37">
        <f>IF(AN306=21,K306,0)</f>
        <v>0</v>
      </c>
      <c r="AN306" s="37">
        <v>15</v>
      </c>
      <c r="AO306" s="37">
        <f>H306*0.567431952662722</f>
        <v>0</v>
      </c>
      <c r="AP306" s="37">
        <f>H306*(1-0.567431952662722)</f>
        <v>0</v>
      </c>
      <c r="AQ306" s="38" t="s">
        <v>80</v>
      </c>
      <c r="AV306" s="37">
        <f>AW306+AX306</f>
        <v>0</v>
      </c>
      <c r="AW306" s="37">
        <f>G306*AO306</f>
        <v>0</v>
      </c>
      <c r="AX306" s="37">
        <f>G306*AP306</f>
        <v>0</v>
      </c>
      <c r="AY306" s="38" t="s">
        <v>521</v>
      </c>
      <c r="AZ306" s="38" t="s">
        <v>279</v>
      </c>
      <c r="BA306" s="31" t="s">
        <v>56</v>
      </c>
      <c r="BC306" s="37">
        <f>AW306+AX306</f>
        <v>0</v>
      </c>
      <c r="BD306" s="37">
        <f>H306/(100-BE306)*100</f>
        <v>0</v>
      </c>
      <c r="BE306" s="37">
        <v>0</v>
      </c>
      <c r="BF306" s="37">
        <f>306</f>
        <v>306</v>
      </c>
      <c r="BH306" s="37">
        <f>G306*AO306</f>
        <v>0</v>
      </c>
      <c r="BI306" s="37">
        <f>G306*AP306</f>
        <v>0</v>
      </c>
      <c r="BJ306" s="37">
        <f>G306*H306</f>
        <v>0</v>
      </c>
    </row>
    <row r="307" spans="3:7" ht="12.75">
      <c r="C307" s="39" t="s">
        <v>584</v>
      </c>
      <c r="D307" s="39"/>
      <c r="E307" s="39"/>
      <c r="G307" s="40">
        <v>2</v>
      </c>
    </row>
    <row r="308" spans="1:62" ht="12.75">
      <c r="A308" s="10" t="s">
        <v>588</v>
      </c>
      <c r="B308" s="10" t="s">
        <v>589</v>
      </c>
      <c r="C308" s="10" t="s">
        <v>590</v>
      </c>
      <c r="D308" s="10"/>
      <c r="E308" s="10"/>
      <c r="F308" s="10" t="s">
        <v>167</v>
      </c>
      <c r="G308" s="37">
        <v>6.2</v>
      </c>
      <c r="H308" s="37">
        <v>0</v>
      </c>
      <c r="I308" s="37">
        <f>G308*AO308</f>
        <v>0</v>
      </c>
      <c r="J308" s="37">
        <f>G308*AP308</f>
        <v>0</v>
      </c>
      <c r="K308" s="37">
        <f>G308*H308</f>
        <v>0</v>
      </c>
      <c r="L308" s="38" t="s">
        <v>99</v>
      </c>
      <c r="Z308" s="37">
        <f>IF(AQ308="5",BJ308,0)</f>
        <v>0</v>
      </c>
      <c r="AB308" s="37">
        <f>IF(AQ308="1",BH308,0)</f>
        <v>0</v>
      </c>
      <c r="AC308" s="37">
        <f>IF(AQ308="1",BI308,0)</f>
        <v>0</v>
      </c>
      <c r="AD308" s="37">
        <f>IF(AQ308="7",BH308,0)</f>
        <v>0</v>
      </c>
      <c r="AE308" s="37">
        <f>IF(AQ308="7",BI308,0)</f>
        <v>0</v>
      </c>
      <c r="AF308" s="37">
        <f>IF(AQ308="2",BH308,0)</f>
        <v>0</v>
      </c>
      <c r="AG308" s="37">
        <f>IF(AQ308="2",BI308,0)</f>
        <v>0</v>
      </c>
      <c r="AH308" s="37">
        <f>IF(AQ308="0",BJ308,0)</f>
        <v>0</v>
      </c>
      <c r="AI308" s="31"/>
      <c r="AJ308" s="37">
        <f>IF(AN308=0,K308,0)</f>
        <v>0</v>
      </c>
      <c r="AK308" s="37">
        <f>IF(AN308=15,K308,0)</f>
        <v>0</v>
      </c>
      <c r="AL308" s="37">
        <f>IF(AN308=21,K308,0)</f>
        <v>0</v>
      </c>
      <c r="AN308" s="37">
        <v>15</v>
      </c>
      <c r="AO308" s="37">
        <f>H308*0.68749343832021</f>
        <v>0</v>
      </c>
      <c r="AP308" s="37">
        <f>H308*(1-0.68749343832021)</f>
        <v>0</v>
      </c>
      <c r="AQ308" s="38" t="s">
        <v>80</v>
      </c>
      <c r="AV308" s="37">
        <f>AW308+AX308</f>
        <v>0</v>
      </c>
      <c r="AW308" s="37">
        <f>G308*AO308</f>
        <v>0</v>
      </c>
      <c r="AX308" s="37">
        <f>G308*AP308</f>
        <v>0</v>
      </c>
      <c r="AY308" s="38" t="s">
        <v>521</v>
      </c>
      <c r="AZ308" s="38" t="s">
        <v>279</v>
      </c>
      <c r="BA308" s="31" t="s">
        <v>56</v>
      </c>
      <c r="BC308" s="37">
        <f>AW308+AX308</f>
        <v>0</v>
      </c>
      <c r="BD308" s="37">
        <f>H308/(100-BE308)*100</f>
        <v>0</v>
      </c>
      <c r="BE308" s="37">
        <v>0</v>
      </c>
      <c r="BF308" s="37">
        <f>308</f>
        <v>308</v>
      </c>
      <c r="BH308" s="37">
        <f>G308*AO308</f>
        <v>0</v>
      </c>
      <c r="BI308" s="37">
        <f>G308*AP308</f>
        <v>0</v>
      </c>
      <c r="BJ308" s="37">
        <f>G308*H308</f>
        <v>0</v>
      </c>
    </row>
    <row r="309" spans="3:7" ht="12.75">
      <c r="C309" s="39" t="s">
        <v>591</v>
      </c>
      <c r="D309" s="39"/>
      <c r="E309" s="39"/>
      <c r="G309" s="40">
        <v>6.2</v>
      </c>
    </row>
    <row r="310" spans="1:62" ht="12.75">
      <c r="A310" s="10" t="s">
        <v>592</v>
      </c>
      <c r="B310" s="10" t="s">
        <v>593</v>
      </c>
      <c r="C310" s="10" t="s">
        <v>594</v>
      </c>
      <c r="D310" s="10"/>
      <c r="E310" s="10"/>
      <c r="F310" s="10" t="s">
        <v>347</v>
      </c>
      <c r="G310" s="37">
        <v>4</v>
      </c>
      <c r="H310" s="37">
        <v>0</v>
      </c>
      <c r="I310" s="37">
        <f>G310*AO310</f>
        <v>0</v>
      </c>
      <c r="J310" s="37">
        <f>G310*AP310</f>
        <v>0</v>
      </c>
      <c r="K310" s="37">
        <f>G310*H310</f>
        <v>0</v>
      </c>
      <c r="L310" s="38" t="s">
        <v>99</v>
      </c>
      <c r="Z310" s="37">
        <f>IF(AQ310="5",BJ310,0)</f>
        <v>0</v>
      </c>
      <c r="AB310" s="37">
        <f>IF(AQ310="1",BH310,0)</f>
        <v>0</v>
      </c>
      <c r="AC310" s="37">
        <f>IF(AQ310="1",BI310,0)</f>
        <v>0</v>
      </c>
      <c r="AD310" s="37">
        <f>IF(AQ310="7",BH310,0)</f>
        <v>0</v>
      </c>
      <c r="AE310" s="37">
        <f>IF(AQ310="7",BI310,0)</f>
        <v>0</v>
      </c>
      <c r="AF310" s="37">
        <f>IF(AQ310="2",BH310,0)</f>
        <v>0</v>
      </c>
      <c r="AG310" s="37">
        <f>IF(AQ310="2",BI310,0)</f>
        <v>0</v>
      </c>
      <c r="AH310" s="37">
        <f>IF(AQ310="0",BJ310,0)</f>
        <v>0</v>
      </c>
      <c r="AI310" s="31"/>
      <c r="AJ310" s="37">
        <f>IF(AN310=0,K310,0)</f>
        <v>0</v>
      </c>
      <c r="AK310" s="37">
        <f>IF(AN310=15,K310,0)</f>
        <v>0</v>
      </c>
      <c r="AL310" s="37">
        <f>IF(AN310=21,K310,0)</f>
        <v>0</v>
      </c>
      <c r="AN310" s="37">
        <v>15</v>
      </c>
      <c r="AO310" s="37">
        <f>H310*0.36412030075188</f>
        <v>0</v>
      </c>
      <c r="AP310" s="37">
        <f>H310*(1-0.36412030075188)</f>
        <v>0</v>
      </c>
      <c r="AQ310" s="38" t="s">
        <v>80</v>
      </c>
      <c r="AV310" s="37">
        <f>AW310+AX310</f>
        <v>0</v>
      </c>
      <c r="AW310" s="37">
        <f>G310*AO310</f>
        <v>0</v>
      </c>
      <c r="AX310" s="37">
        <f>G310*AP310</f>
        <v>0</v>
      </c>
      <c r="AY310" s="38" t="s">
        <v>521</v>
      </c>
      <c r="AZ310" s="38" t="s">
        <v>279</v>
      </c>
      <c r="BA310" s="31" t="s">
        <v>56</v>
      </c>
      <c r="BC310" s="37">
        <f>AW310+AX310</f>
        <v>0</v>
      </c>
      <c r="BD310" s="37">
        <f>H310/(100-BE310)*100</f>
        <v>0</v>
      </c>
      <c r="BE310" s="37">
        <v>0</v>
      </c>
      <c r="BF310" s="37">
        <f>310</f>
        <v>310</v>
      </c>
      <c r="BH310" s="37">
        <f>G310*AO310</f>
        <v>0</v>
      </c>
      <c r="BI310" s="37">
        <f>G310*AP310</f>
        <v>0</v>
      </c>
      <c r="BJ310" s="37">
        <f>G310*H310</f>
        <v>0</v>
      </c>
    </row>
    <row r="311" spans="3:7" ht="12.75">
      <c r="C311" s="39" t="s">
        <v>595</v>
      </c>
      <c r="D311" s="39"/>
      <c r="E311" s="39"/>
      <c r="G311" s="40">
        <v>4</v>
      </c>
    </row>
    <row r="312" spans="1:62" ht="12.75">
      <c r="A312" s="10" t="s">
        <v>596</v>
      </c>
      <c r="B312" s="10" t="s">
        <v>597</v>
      </c>
      <c r="C312" s="10" t="s">
        <v>598</v>
      </c>
      <c r="D312" s="10"/>
      <c r="E312" s="10"/>
      <c r="F312" s="10" t="s">
        <v>167</v>
      </c>
      <c r="G312" s="37">
        <v>6.2</v>
      </c>
      <c r="H312" s="37">
        <v>0</v>
      </c>
      <c r="I312" s="37">
        <f>G312*AO312</f>
        <v>0</v>
      </c>
      <c r="J312" s="37">
        <f>G312*AP312</f>
        <v>0</v>
      </c>
      <c r="K312" s="37">
        <f>G312*H312</f>
        <v>0</v>
      </c>
      <c r="L312" s="38" t="s">
        <v>99</v>
      </c>
      <c r="Z312" s="37">
        <f>IF(AQ312="5",BJ312,0)</f>
        <v>0</v>
      </c>
      <c r="AB312" s="37">
        <f>IF(AQ312="1",BH312,0)</f>
        <v>0</v>
      </c>
      <c r="AC312" s="37">
        <f>IF(AQ312="1",BI312,0)</f>
        <v>0</v>
      </c>
      <c r="AD312" s="37">
        <f>IF(AQ312="7",BH312,0)</f>
        <v>0</v>
      </c>
      <c r="AE312" s="37">
        <f>IF(AQ312="7",BI312,0)</f>
        <v>0</v>
      </c>
      <c r="AF312" s="37">
        <f>IF(AQ312="2",BH312,0)</f>
        <v>0</v>
      </c>
      <c r="AG312" s="37">
        <f>IF(AQ312="2",BI312,0)</f>
        <v>0</v>
      </c>
      <c r="AH312" s="37">
        <f>IF(AQ312="0",BJ312,0)</f>
        <v>0</v>
      </c>
      <c r="AI312" s="31"/>
      <c r="AJ312" s="37">
        <f>IF(AN312=0,K312,0)</f>
        <v>0</v>
      </c>
      <c r="AK312" s="37">
        <f>IF(AN312=15,K312,0)</f>
        <v>0</v>
      </c>
      <c r="AL312" s="37">
        <f>IF(AN312=21,K312,0)</f>
        <v>0</v>
      </c>
      <c r="AN312" s="37">
        <v>15</v>
      </c>
      <c r="AO312" s="37">
        <f>H312*0.371706208985361</f>
        <v>0</v>
      </c>
      <c r="AP312" s="37">
        <f>H312*(1-0.371706208985361)</f>
        <v>0</v>
      </c>
      <c r="AQ312" s="38" t="s">
        <v>80</v>
      </c>
      <c r="AV312" s="37">
        <f>AW312+AX312</f>
        <v>0</v>
      </c>
      <c r="AW312" s="37">
        <f>G312*AO312</f>
        <v>0</v>
      </c>
      <c r="AX312" s="37">
        <f>G312*AP312</f>
        <v>0</v>
      </c>
      <c r="AY312" s="38" t="s">
        <v>521</v>
      </c>
      <c r="AZ312" s="38" t="s">
        <v>279</v>
      </c>
      <c r="BA312" s="31" t="s">
        <v>56</v>
      </c>
      <c r="BC312" s="37">
        <f>AW312+AX312</f>
        <v>0</v>
      </c>
      <c r="BD312" s="37">
        <f>H312/(100-BE312)*100</f>
        <v>0</v>
      </c>
      <c r="BE312" s="37">
        <v>0</v>
      </c>
      <c r="BF312" s="37">
        <f>312</f>
        <v>312</v>
      </c>
      <c r="BH312" s="37">
        <f>G312*AO312</f>
        <v>0</v>
      </c>
      <c r="BI312" s="37">
        <f>G312*AP312</f>
        <v>0</v>
      </c>
      <c r="BJ312" s="37">
        <f>G312*H312</f>
        <v>0</v>
      </c>
    </row>
    <row r="313" spans="3:7" ht="12.75">
      <c r="C313" s="39" t="s">
        <v>599</v>
      </c>
      <c r="D313" s="39"/>
      <c r="E313" s="39"/>
      <c r="G313" s="40">
        <v>6.2</v>
      </c>
    </row>
    <row r="314" spans="1:62" ht="12.75">
      <c r="A314" s="10" t="s">
        <v>600</v>
      </c>
      <c r="B314" s="10" t="s">
        <v>601</v>
      </c>
      <c r="C314" s="10" t="s">
        <v>602</v>
      </c>
      <c r="D314" s="10"/>
      <c r="E314" s="10"/>
      <c r="F314" s="10" t="s">
        <v>117</v>
      </c>
      <c r="G314" s="37">
        <v>5.6</v>
      </c>
      <c r="H314" s="37">
        <v>0</v>
      </c>
      <c r="I314" s="37">
        <f>G314*AO314</f>
        <v>0</v>
      </c>
      <c r="J314" s="37">
        <f>G314*AP314</f>
        <v>0</v>
      </c>
      <c r="K314" s="37">
        <f>G314*H314</f>
        <v>0</v>
      </c>
      <c r="L314" s="38" t="s">
        <v>99</v>
      </c>
      <c r="Z314" s="37">
        <f>IF(AQ314="5",BJ314,0)</f>
        <v>0</v>
      </c>
      <c r="AB314" s="37">
        <f>IF(AQ314="1",BH314,0)</f>
        <v>0</v>
      </c>
      <c r="AC314" s="37">
        <f>IF(AQ314="1",BI314,0)</f>
        <v>0</v>
      </c>
      <c r="AD314" s="37">
        <f>IF(AQ314="7",BH314,0)</f>
        <v>0</v>
      </c>
      <c r="AE314" s="37">
        <f>IF(AQ314="7",BI314,0)</f>
        <v>0</v>
      </c>
      <c r="AF314" s="37">
        <f>IF(AQ314="2",BH314,0)</f>
        <v>0</v>
      </c>
      <c r="AG314" s="37">
        <f>IF(AQ314="2",BI314,0)</f>
        <v>0</v>
      </c>
      <c r="AH314" s="37">
        <f>IF(AQ314="0",BJ314,0)</f>
        <v>0</v>
      </c>
      <c r="AI314" s="31"/>
      <c r="AJ314" s="37">
        <f>IF(AN314=0,K314,0)</f>
        <v>0</v>
      </c>
      <c r="AK314" s="37">
        <f>IF(AN314=15,K314,0)</f>
        <v>0</v>
      </c>
      <c r="AL314" s="37">
        <f>IF(AN314=21,K314,0)</f>
        <v>0</v>
      </c>
      <c r="AN314" s="37">
        <v>15</v>
      </c>
      <c r="AO314" s="37">
        <f>H314*0.500247787610619</f>
        <v>0</v>
      </c>
      <c r="AP314" s="37">
        <f>H314*(1-0.500247787610619)</f>
        <v>0</v>
      </c>
      <c r="AQ314" s="38" t="s">
        <v>80</v>
      </c>
      <c r="AV314" s="37">
        <f>AW314+AX314</f>
        <v>0</v>
      </c>
      <c r="AW314" s="37">
        <f>G314*AO314</f>
        <v>0</v>
      </c>
      <c r="AX314" s="37">
        <f>G314*AP314</f>
        <v>0</v>
      </c>
      <c r="AY314" s="38" t="s">
        <v>521</v>
      </c>
      <c r="AZ314" s="38" t="s">
        <v>279</v>
      </c>
      <c r="BA314" s="31" t="s">
        <v>56</v>
      </c>
      <c r="BC314" s="37">
        <f>AW314+AX314</f>
        <v>0</v>
      </c>
      <c r="BD314" s="37">
        <f>H314/(100-BE314)*100</f>
        <v>0</v>
      </c>
      <c r="BE314" s="37">
        <v>0</v>
      </c>
      <c r="BF314" s="37">
        <f>314</f>
        <v>314</v>
      </c>
      <c r="BH314" s="37">
        <f>G314*AO314</f>
        <v>0</v>
      </c>
      <c r="BI314" s="37">
        <f>G314*AP314</f>
        <v>0</v>
      </c>
      <c r="BJ314" s="37">
        <f>G314*H314</f>
        <v>0</v>
      </c>
    </row>
    <row r="315" spans="3:7" ht="12.75">
      <c r="C315" s="39" t="s">
        <v>603</v>
      </c>
      <c r="D315" s="39"/>
      <c r="E315" s="39"/>
      <c r="G315" s="40">
        <v>5.6</v>
      </c>
    </row>
    <row r="316" spans="1:62" ht="12.75">
      <c r="A316" s="10" t="s">
        <v>604</v>
      </c>
      <c r="B316" s="10" t="s">
        <v>605</v>
      </c>
      <c r="C316" s="10" t="s">
        <v>606</v>
      </c>
      <c r="D316" s="10"/>
      <c r="E316" s="10"/>
      <c r="F316" s="10" t="s">
        <v>347</v>
      </c>
      <c r="G316" s="37">
        <v>2</v>
      </c>
      <c r="H316" s="37">
        <v>0</v>
      </c>
      <c r="I316" s="37">
        <f>G316*AO316</f>
        <v>0</v>
      </c>
      <c r="J316" s="37">
        <f>G316*AP316</f>
        <v>0</v>
      </c>
      <c r="K316" s="37">
        <f>G316*H316</f>
        <v>0</v>
      </c>
      <c r="L316" s="38" t="s">
        <v>99</v>
      </c>
      <c r="Z316" s="37">
        <f>IF(AQ316="5",BJ316,0)</f>
        <v>0</v>
      </c>
      <c r="AB316" s="37">
        <f>IF(AQ316="1",BH316,0)</f>
        <v>0</v>
      </c>
      <c r="AC316" s="37">
        <f>IF(AQ316="1",BI316,0)</f>
        <v>0</v>
      </c>
      <c r="AD316" s="37">
        <f>IF(AQ316="7",BH316,0)</f>
        <v>0</v>
      </c>
      <c r="AE316" s="37">
        <f>IF(AQ316="7",BI316,0)</f>
        <v>0</v>
      </c>
      <c r="AF316" s="37">
        <f>IF(AQ316="2",BH316,0)</f>
        <v>0</v>
      </c>
      <c r="AG316" s="37">
        <f>IF(AQ316="2",BI316,0)</f>
        <v>0</v>
      </c>
      <c r="AH316" s="37">
        <f>IF(AQ316="0",BJ316,0)</f>
        <v>0</v>
      </c>
      <c r="AI316" s="31"/>
      <c r="AJ316" s="37">
        <f>IF(AN316=0,K316,0)</f>
        <v>0</v>
      </c>
      <c r="AK316" s="37">
        <f>IF(AN316=15,K316,0)</f>
        <v>0</v>
      </c>
      <c r="AL316" s="37">
        <f>IF(AN316=21,K316,0)</f>
        <v>0</v>
      </c>
      <c r="AN316" s="37">
        <v>15</v>
      </c>
      <c r="AO316" s="37">
        <f>H316*1</f>
        <v>0</v>
      </c>
      <c r="AP316" s="37">
        <f>H316*(1-1)</f>
        <v>0</v>
      </c>
      <c r="AQ316" s="38" t="s">
        <v>80</v>
      </c>
      <c r="AV316" s="37">
        <f>AW316+AX316</f>
        <v>0</v>
      </c>
      <c r="AW316" s="37">
        <f>G316*AO316</f>
        <v>0</v>
      </c>
      <c r="AX316" s="37">
        <f>G316*AP316</f>
        <v>0</v>
      </c>
      <c r="AY316" s="38" t="s">
        <v>521</v>
      </c>
      <c r="AZ316" s="38" t="s">
        <v>279</v>
      </c>
      <c r="BA316" s="31" t="s">
        <v>56</v>
      </c>
      <c r="BC316" s="37">
        <f>AW316+AX316</f>
        <v>0</v>
      </c>
      <c r="BD316" s="37">
        <f>H316/(100-BE316)*100</f>
        <v>0</v>
      </c>
      <c r="BE316" s="37">
        <v>0</v>
      </c>
      <c r="BF316" s="37">
        <f>316</f>
        <v>316</v>
      </c>
      <c r="BH316" s="37">
        <f>G316*AO316</f>
        <v>0</v>
      </c>
      <c r="BI316" s="37">
        <f>G316*AP316</f>
        <v>0</v>
      </c>
      <c r="BJ316" s="37">
        <f>G316*H316</f>
        <v>0</v>
      </c>
    </row>
    <row r="317" spans="3:7" ht="12.75">
      <c r="C317" s="39" t="s">
        <v>403</v>
      </c>
      <c r="D317" s="39"/>
      <c r="E317" s="39"/>
      <c r="G317" s="40">
        <v>2</v>
      </c>
    </row>
    <row r="318" spans="1:62" ht="12.75">
      <c r="A318" s="10" t="s">
        <v>607</v>
      </c>
      <c r="B318" s="10" t="s">
        <v>608</v>
      </c>
      <c r="C318" s="10" t="s">
        <v>609</v>
      </c>
      <c r="D318" s="10"/>
      <c r="E318" s="10"/>
      <c r="F318" s="10" t="s">
        <v>347</v>
      </c>
      <c r="G318" s="37">
        <v>9</v>
      </c>
      <c r="H318" s="37">
        <v>0</v>
      </c>
      <c r="I318" s="37">
        <f>G318*AO318</f>
        <v>0</v>
      </c>
      <c r="J318" s="37">
        <f>G318*AP318</f>
        <v>0</v>
      </c>
      <c r="K318" s="37">
        <f>G318*H318</f>
        <v>0</v>
      </c>
      <c r="L318" s="38" t="s">
        <v>99</v>
      </c>
      <c r="Z318" s="37">
        <f>IF(AQ318="5",BJ318,0)</f>
        <v>0</v>
      </c>
      <c r="AB318" s="37">
        <f>IF(AQ318="1",BH318,0)</f>
        <v>0</v>
      </c>
      <c r="AC318" s="37">
        <f>IF(AQ318="1",BI318,0)</f>
        <v>0</v>
      </c>
      <c r="AD318" s="37">
        <f>IF(AQ318="7",BH318,0)</f>
        <v>0</v>
      </c>
      <c r="AE318" s="37">
        <f>IF(AQ318="7",BI318,0)</f>
        <v>0</v>
      </c>
      <c r="AF318" s="37">
        <f>IF(AQ318="2",BH318,0)</f>
        <v>0</v>
      </c>
      <c r="AG318" s="37">
        <f>IF(AQ318="2",BI318,0)</f>
        <v>0</v>
      </c>
      <c r="AH318" s="37">
        <f>IF(AQ318="0",BJ318,0)</f>
        <v>0</v>
      </c>
      <c r="AI318" s="31"/>
      <c r="AJ318" s="37">
        <f>IF(AN318=0,K318,0)</f>
        <v>0</v>
      </c>
      <c r="AK318" s="37">
        <f>IF(AN318=15,K318,0)</f>
        <v>0</v>
      </c>
      <c r="AL318" s="37">
        <f>IF(AN318=21,K318,0)</f>
        <v>0</v>
      </c>
      <c r="AN318" s="37">
        <v>15</v>
      </c>
      <c r="AO318" s="37">
        <f>H318*1</f>
        <v>0</v>
      </c>
      <c r="AP318" s="37">
        <f>H318*(1-1)</f>
        <v>0</v>
      </c>
      <c r="AQ318" s="38" t="s">
        <v>80</v>
      </c>
      <c r="AV318" s="37">
        <f>AW318+AX318</f>
        <v>0</v>
      </c>
      <c r="AW318" s="37">
        <f>G318*AO318</f>
        <v>0</v>
      </c>
      <c r="AX318" s="37">
        <f>G318*AP318</f>
        <v>0</v>
      </c>
      <c r="AY318" s="38" t="s">
        <v>521</v>
      </c>
      <c r="AZ318" s="38" t="s">
        <v>279</v>
      </c>
      <c r="BA318" s="31" t="s">
        <v>56</v>
      </c>
      <c r="BC318" s="37">
        <f>AW318+AX318</f>
        <v>0</v>
      </c>
      <c r="BD318" s="37">
        <f>H318/(100-BE318)*100</f>
        <v>0</v>
      </c>
      <c r="BE318" s="37">
        <v>0</v>
      </c>
      <c r="BF318" s="37">
        <f>318</f>
        <v>318</v>
      </c>
      <c r="BH318" s="37">
        <f>G318*AO318</f>
        <v>0</v>
      </c>
      <c r="BI318" s="37">
        <f>G318*AP318</f>
        <v>0</v>
      </c>
      <c r="BJ318" s="37">
        <f>G318*H318</f>
        <v>0</v>
      </c>
    </row>
    <row r="319" spans="3:7" ht="12.75">
      <c r="C319" s="39" t="s">
        <v>610</v>
      </c>
      <c r="D319" s="39"/>
      <c r="E319" s="39"/>
      <c r="G319" s="40">
        <v>9</v>
      </c>
    </row>
    <row r="320" spans="1:62" ht="12.75">
      <c r="A320" s="10" t="s">
        <v>611</v>
      </c>
      <c r="B320" s="10" t="s">
        <v>612</v>
      </c>
      <c r="C320" s="10" t="s">
        <v>613</v>
      </c>
      <c r="D320" s="10"/>
      <c r="E320" s="10"/>
      <c r="F320" s="10" t="s">
        <v>145</v>
      </c>
      <c r="G320" s="37">
        <v>2.109</v>
      </c>
      <c r="H320" s="37">
        <v>0</v>
      </c>
      <c r="I320" s="37">
        <f>G320*AO320</f>
        <v>0</v>
      </c>
      <c r="J320" s="37">
        <f>G320*AP320</f>
        <v>0</v>
      </c>
      <c r="K320" s="37">
        <f>G320*H320</f>
        <v>0</v>
      </c>
      <c r="L320" s="38" t="s">
        <v>54</v>
      </c>
      <c r="Z320" s="37">
        <f>IF(AQ320="5",BJ320,0)</f>
        <v>0</v>
      </c>
      <c r="AB320" s="37">
        <f>IF(AQ320="1",BH320,0)</f>
        <v>0</v>
      </c>
      <c r="AC320" s="37">
        <f>IF(AQ320="1",BI320,0)</f>
        <v>0</v>
      </c>
      <c r="AD320" s="37">
        <f>IF(AQ320="7",BH320,0)</f>
        <v>0</v>
      </c>
      <c r="AE320" s="37">
        <f>IF(AQ320="7",BI320,0)</f>
        <v>0</v>
      </c>
      <c r="AF320" s="37">
        <f>IF(AQ320="2",BH320,0)</f>
        <v>0</v>
      </c>
      <c r="AG320" s="37">
        <f>IF(AQ320="2",BI320,0)</f>
        <v>0</v>
      </c>
      <c r="AH320" s="37">
        <f>IF(AQ320="0",BJ320,0)</f>
        <v>0</v>
      </c>
      <c r="AI320" s="31"/>
      <c r="AJ320" s="37">
        <f>IF(AN320=0,K320,0)</f>
        <v>0</v>
      </c>
      <c r="AK320" s="37">
        <f>IF(AN320=15,K320,0)</f>
        <v>0</v>
      </c>
      <c r="AL320" s="37">
        <f>IF(AN320=21,K320,0)</f>
        <v>0</v>
      </c>
      <c r="AN320" s="37">
        <v>15</v>
      </c>
      <c r="AO320" s="37">
        <f>H320*0</f>
        <v>0</v>
      </c>
      <c r="AP320" s="37">
        <f>H320*(1-0)</f>
        <v>0</v>
      </c>
      <c r="AQ320" s="38" t="s">
        <v>68</v>
      </c>
      <c r="AV320" s="37">
        <f>AW320+AX320</f>
        <v>0</v>
      </c>
      <c r="AW320" s="37">
        <f>G320*AO320</f>
        <v>0</v>
      </c>
      <c r="AX320" s="37">
        <f>G320*AP320</f>
        <v>0</v>
      </c>
      <c r="AY320" s="38" t="s">
        <v>521</v>
      </c>
      <c r="AZ320" s="38" t="s">
        <v>279</v>
      </c>
      <c r="BA320" s="31" t="s">
        <v>56</v>
      </c>
      <c r="BC320" s="37">
        <f>AW320+AX320</f>
        <v>0</v>
      </c>
      <c r="BD320" s="37">
        <f>H320/(100-BE320)*100</f>
        <v>0</v>
      </c>
      <c r="BE320" s="37">
        <v>0</v>
      </c>
      <c r="BF320" s="37">
        <f>320</f>
        <v>320</v>
      </c>
      <c r="BH320" s="37">
        <f>G320*AO320</f>
        <v>0</v>
      </c>
      <c r="BI320" s="37">
        <f>G320*AP320</f>
        <v>0</v>
      </c>
      <c r="BJ320" s="37">
        <f>G320*H320</f>
        <v>0</v>
      </c>
    </row>
    <row r="321" spans="3:7" ht="12.75">
      <c r="C321" s="39" t="s">
        <v>614</v>
      </c>
      <c r="D321" s="39"/>
      <c r="E321" s="39"/>
      <c r="G321" s="40">
        <v>2.109</v>
      </c>
    </row>
    <row r="322" spans="1:47" ht="12.75">
      <c r="A322" s="41"/>
      <c r="B322" s="42" t="s">
        <v>615</v>
      </c>
      <c r="C322" s="42" t="s">
        <v>616</v>
      </c>
      <c r="D322" s="42"/>
      <c r="E322" s="42"/>
      <c r="F322" s="41" t="s">
        <v>4</v>
      </c>
      <c r="G322" s="41" t="s">
        <v>4</v>
      </c>
      <c r="H322" s="41" t="s">
        <v>4</v>
      </c>
      <c r="I322" s="36">
        <f>SUM(I323:I357)</f>
        <v>0</v>
      </c>
      <c r="J322" s="36">
        <f>SUM(J323:J357)</f>
        <v>0</v>
      </c>
      <c r="K322" s="36">
        <f>SUM(K323:K357)</f>
        <v>0</v>
      </c>
      <c r="L322" s="31"/>
      <c r="AI322" s="31"/>
      <c r="AS322" s="36">
        <f>SUM(AJ323:AJ357)</f>
        <v>0</v>
      </c>
      <c r="AT322" s="36">
        <f>SUM(AK323:AK357)</f>
        <v>0</v>
      </c>
      <c r="AU322" s="36">
        <f>SUM(AL323:AL357)</f>
        <v>0</v>
      </c>
    </row>
    <row r="323" spans="1:62" ht="12.75">
      <c r="A323" s="10" t="s">
        <v>617</v>
      </c>
      <c r="B323" s="10" t="s">
        <v>618</v>
      </c>
      <c r="C323" s="10" t="s">
        <v>619</v>
      </c>
      <c r="D323" s="10"/>
      <c r="E323" s="10"/>
      <c r="F323" s="10" t="s">
        <v>167</v>
      </c>
      <c r="G323" s="37">
        <v>148.8</v>
      </c>
      <c r="H323" s="37">
        <v>0</v>
      </c>
      <c r="I323" s="37">
        <f>G323*AO323</f>
        <v>0</v>
      </c>
      <c r="J323" s="37">
        <f>G323*AP323</f>
        <v>0</v>
      </c>
      <c r="K323" s="37">
        <f>G323*H323</f>
        <v>0</v>
      </c>
      <c r="L323" s="38" t="s">
        <v>54</v>
      </c>
      <c r="Z323" s="37">
        <f>IF(AQ323="5",BJ323,0)</f>
        <v>0</v>
      </c>
      <c r="AB323" s="37">
        <f>IF(AQ323="1",BH323,0)</f>
        <v>0</v>
      </c>
      <c r="AC323" s="37">
        <f>IF(AQ323="1",BI323,0)</f>
        <v>0</v>
      </c>
      <c r="AD323" s="37">
        <f>IF(AQ323="7",BH323,0)</f>
        <v>0</v>
      </c>
      <c r="AE323" s="37">
        <f>IF(AQ323="7",BI323,0)</f>
        <v>0</v>
      </c>
      <c r="AF323" s="37">
        <f>IF(AQ323="2",BH323,0)</f>
        <v>0</v>
      </c>
      <c r="AG323" s="37">
        <f>IF(AQ323="2",BI323,0)</f>
        <v>0</v>
      </c>
      <c r="AH323" s="37">
        <f>IF(AQ323="0",BJ323,0)</f>
        <v>0</v>
      </c>
      <c r="AI323" s="31"/>
      <c r="AJ323" s="37">
        <f>IF(AN323=0,K323,0)</f>
        <v>0</v>
      </c>
      <c r="AK323" s="37">
        <f>IF(AN323=15,K323,0)</f>
        <v>0</v>
      </c>
      <c r="AL323" s="37">
        <f>IF(AN323=21,K323,0)</f>
        <v>0</v>
      </c>
      <c r="AN323" s="37">
        <v>15</v>
      </c>
      <c r="AO323" s="37">
        <f>H323*0.0497846153846154</f>
        <v>0</v>
      </c>
      <c r="AP323" s="37">
        <f>H323*(1-0.0497846153846154)</f>
        <v>0</v>
      </c>
      <c r="AQ323" s="38" t="s">
        <v>80</v>
      </c>
      <c r="AV323" s="37">
        <f>AW323+AX323</f>
        <v>0</v>
      </c>
      <c r="AW323" s="37">
        <f>G323*AO323</f>
        <v>0</v>
      </c>
      <c r="AX323" s="37">
        <f>G323*AP323</f>
        <v>0</v>
      </c>
      <c r="AY323" s="38" t="s">
        <v>620</v>
      </c>
      <c r="AZ323" s="38" t="s">
        <v>279</v>
      </c>
      <c r="BA323" s="31" t="s">
        <v>56</v>
      </c>
      <c r="BC323" s="37">
        <f>AW323+AX323</f>
        <v>0</v>
      </c>
      <c r="BD323" s="37">
        <f>H323/(100-BE323)*100</f>
        <v>0</v>
      </c>
      <c r="BE323" s="37">
        <v>0</v>
      </c>
      <c r="BF323" s="37">
        <f>323</f>
        <v>323</v>
      </c>
      <c r="BH323" s="37">
        <f>G323*AO323</f>
        <v>0</v>
      </c>
      <c r="BI323" s="37">
        <f>G323*AP323</f>
        <v>0</v>
      </c>
      <c r="BJ323" s="37">
        <f>G323*H323</f>
        <v>0</v>
      </c>
    </row>
    <row r="324" spans="3:7" ht="12.75">
      <c r="C324" s="39" t="s">
        <v>621</v>
      </c>
      <c r="D324" s="39"/>
      <c r="E324" s="39"/>
      <c r="G324" s="40">
        <v>148.8</v>
      </c>
    </row>
    <row r="325" spans="1:62" ht="12.75">
      <c r="A325" s="10" t="s">
        <v>622</v>
      </c>
      <c r="B325" s="10" t="s">
        <v>623</v>
      </c>
      <c r="C325" s="10" t="s">
        <v>624</v>
      </c>
      <c r="D325" s="10"/>
      <c r="E325" s="10"/>
      <c r="F325" s="10" t="s">
        <v>347</v>
      </c>
      <c r="G325" s="37">
        <v>168</v>
      </c>
      <c r="H325" s="37">
        <v>0</v>
      </c>
      <c r="I325" s="37">
        <f>G325*AO325</f>
        <v>0</v>
      </c>
      <c r="J325" s="37">
        <f>G325*AP325</f>
        <v>0</v>
      </c>
      <c r="K325" s="37">
        <f>G325*H325</f>
        <v>0</v>
      </c>
      <c r="L325" s="38" t="s">
        <v>54</v>
      </c>
      <c r="Z325" s="37">
        <f>IF(AQ325="5",BJ325,0)</f>
        <v>0</v>
      </c>
      <c r="AB325" s="37">
        <f>IF(AQ325="1",BH325,0)</f>
        <v>0</v>
      </c>
      <c r="AC325" s="37">
        <f>IF(AQ325="1",BI325,0)</f>
        <v>0</v>
      </c>
      <c r="AD325" s="37">
        <f>IF(AQ325="7",BH325,0)</f>
        <v>0</v>
      </c>
      <c r="AE325" s="37">
        <f>IF(AQ325="7",BI325,0)</f>
        <v>0</v>
      </c>
      <c r="AF325" s="37">
        <f>IF(AQ325="2",BH325,0)</f>
        <v>0</v>
      </c>
      <c r="AG325" s="37">
        <f>IF(AQ325="2",BI325,0)</f>
        <v>0</v>
      </c>
      <c r="AH325" s="37">
        <f>IF(AQ325="0",BJ325,0)</f>
        <v>0</v>
      </c>
      <c r="AI325" s="31"/>
      <c r="AJ325" s="37">
        <f>IF(AN325=0,K325,0)</f>
        <v>0</v>
      </c>
      <c r="AK325" s="37">
        <f>IF(AN325=15,K325,0)</f>
        <v>0</v>
      </c>
      <c r="AL325" s="37">
        <f>IF(AN325=21,K325,0)</f>
        <v>0</v>
      </c>
      <c r="AN325" s="37">
        <v>15</v>
      </c>
      <c r="AO325" s="37">
        <f>H325*1</f>
        <v>0</v>
      </c>
      <c r="AP325" s="37">
        <f>H325*(1-1)</f>
        <v>0</v>
      </c>
      <c r="AQ325" s="38" t="s">
        <v>80</v>
      </c>
      <c r="AV325" s="37">
        <f>AW325+AX325</f>
        <v>0</v>
      </c>
      <c r="AW325" s="37">
        <f>G325*AO325</f>
        <v>0</v>
      </c>
      <c r="AX325" s="37">
        <f>G325*AP325</f>
        <v>0</v>
      </c>
      <c r="AY325" s="38" t="s">
        <v>620</v>
      </c>
      <c r="AZ325" s="38" t="s">
        <v>279</v>
      </c>
      <c r="BA325" s="31" t="s">
        <v>56</v>
      </c>
      <c r="BC325" s="37">
        <f>AW325+AX325</f>
        <v>0</v>
      </c>
      <c r="BD325" s="37">
        <f>H325/(100-BE325)*100</f>
        <v>0</v>
      </c>
      <c r="BE325" s="37">
        <v>0</v>
      </c>
      <c r="BF325" s="37">
        <f>325</f>
        <v>325</v>
      </c>
      <c r="BH325" s="37">
        <f>G325*AO325</f>
        <v>0</v>
      </c>
      <c r="BI325" s="37">
        <f>G325*AP325</f>
        <v>0</v>
      </c>
      <c r="BJ325" s="37">
        <f>G325*H325</f>
        <v>0</v>
      </c>
    </row>
    <row r="326" spans="3:7" ht="12.75">
      <c r="C326" s="39" t="s">
        <v>625</v>
      </c>
      <c r="D326" s="39"/>
      <c r="E326" s="39"/>
      <c r="G326" s="40">
        <v>168</v>
      </c>
    </row>
    <row r="327" spans="1:62" ht="12.75">
      <c r="A327" s="10" t="s">
        <v>626</v>
      </c>
      <c r="B327" s="10" t="s">
        <v>627</v>
      </c>
      <c r="C327" s="10" t="s">
        <v>628</v>
      </c>
      <c r="D327" s="10"/>
      <c r="E327" s="10"/>
      <c r="F327" s="10" t="s">
        <v>167</v>
      </c>
      <c r="G327" s="37">
        <v>148.8</v>
      </c>
      <c r="H327" s="37">
        <v>0</v>
      </c>
      <c r="I327" s="37">
        <f>G327*AO327</f>
        <v>0</v>
      </c>
      <c r="J327" s="37">
        <f>G327*AP327</f>
        <v>0</v>
      </c>
      <c r="K327" s="37">
        <f>G327*H327</f>
        <v>0</v>
      </c>
      <c r="L327" s="38" t="s">
        <v>54</v>
      </c>
      <c r="Z327" s="37">
        <f>IF(AQ327="5",BJ327,0)</f>
        <v>0</v>
      </c>
      <c r="AB327" s="37">
        <f>IF(AQ327="1",BH327,0)</f>
        <v>0</v>
      </c>
      <c r="AC327" s="37">
        <f>IF(AQ327="1",BI327,0)</f>
        <v>0</v>
      </c>
      <c r="AD327" s="37">
        <f>IF(AQ327="7",BH327,0)</f>
        <v>0</v>
      </c>
      <c r="AE327" s="37">
        <f>IF(AQ327="7",BI327,0)</f>
        <v>0</v>
      </c>
      <c r="AF327" s="37">
        <f>IF(AQ327="2",BH327,0)</f>
        <v>0</v>
      </c>
      <c r="AG327" s="37">
        <f>IF(AQ327="2",BI327,0)</f>
        <v>0</v>
      </c>
      <c r="AH327" s="37">
        <f>IF(AQ327="0",BJ327,0)</f>
        <v>0</v>
      </c>
      <c r="AI327" s="31"/>
      <c r="AJ327" s="37">
        <f>IF(AN327=0,K327,0)</f>
        <v>0</v>
      </c>
      <c r="AK327" s="37">
        <f>IF(AN327=15,K327,0)</f>
        <v>0</v>
      </c>
      <c r="AL327" s="37">
        <f>IF(AN327=21,K327,0)</f>
        <v>0</v>
      </c>
      <c r="AN327" s="37">
        <v>15</v>
      </c>
      <c r="AO327" s="37">
        <f>H327*0.782729805013928</f>
        <v>0</v>
      </c>
      <c r="AP327" s="37">
        <f>H327*(1-0.782729805013928)</f>
        <v>0</v>
      </c>
      <c r="AQ327" s="38" t="s">
        <v>80</v>
      </c>
      <c r="AV327" s="37">
        <f>AW327+AX327</f>
        <v>0</v>
      </c>
      <c r="AW327" s="37">
        <f>G327*AO327</f>
        <v>0</v>
      </c>
      <c r="AX327" s="37">
        <f>G327*AP327</f>
        <v>0</v>
      </c>
      <c r="AY327" s="38" t="s">
        <v>620</v>
      </c>
      <c r="AZ327" s="38" t="s">
        <v>279</v>
      </c>
      <c r="BA327" s="31" t="s">
        <v>56</v>
      </c>
      <c r="BC327" s="37">
        <f>AW327+AX327</f>
        <v>0</v>
      </c>
      <c r="BD327" s="37">
        <f>H327/(100-BE327)*100</f>
        <v>0</v>
      </c>
      <c r="BE327" s="37">
        <v>0</v>
      </c>
      <c r="BF327" s="37">
        <f>327</f>
        <v>327</v>
      </c>
      <c r="BH327" s="37">
        <f>G327*AO327</f>
        <v>0</v>
      </c>
      <c r="BI327" s="37">
        <f>G327*AP327</f>
        <v>0</v>
      </c>
      <c r="BJ327" s="37">
        <f>G327*H327</f>
        <v>0</v>
      </c>
    </row>
    <row r="328" spans="3:7" ht="12.75">
      <c r="C328" s="39" t="s">
        <v>629</v>
      </c>
      <c r="D328" s="39"/>
      <c r="E328" s="39"/>
      <c r="G328" s="40">
        <v>148.8</v>
      </c>
    </row>
    <row r="329" spans="1:62" ht="12.75">
      <c r="A329" s="10" t="s">
        <v>630</v>
      </c>
      <c r="B329" s="10" t="s">
        <v>631</v>
      </c>
      <c r="C329" s="10" t="s">
        <v>632</v>
      </c>
      <c r="D329" s="10"/>
      <c r="E329" s="10"/>
      <c r="F329" s="10" t="s">
        <v>167</v>
      </c>
      <c r="G329" s="37">
        <v>148.8</v>
      </c>
      <c r="H329" s="37">
        <v>0</v>
      </c>
      <c r="I329" s="37">
        <f>G329*AO329</f>
        <v>0</v>
      </c>
      <c r="J329" s="37">
        <f>G329*AP329</f>
        <v>0</v>
      </c>
      <c r="K329" s="37">
        <f>G329*H329</f>
        <v>0</v>
      </c>
      <c r="L329" s="38" t="s">
        <v>54</v>
      </c>
      <c r="Z329" s="37">
        <f>IF(AQ329="5",BJ329,0)</f>
        <v>0</v>
      </c>
      <c r="AB329" s="37">
        <f>IF(AQ329="1",BH329,0)</f>
        <v>0</v>
      </c>
      <c r="AC329" s="37">
        <f>IF(AQ329="1",BI329,0)</f>
        <v>0</v>
      </c>
      <c r="AD329" s="37">
        <f>IF(AQ329="7",BH329,0)</f>
        <v>0</v>
      </c>
      <c r="AE329" s="37">
        <f>IF(AQ329="7",BI329,0)</f>
        <v>0</v>
      </c>
      <c r="AF329" s="37">
        <f>IF(AQ329="2",BH329,0)</f>
        <v>0</v>
      </c>
      <c r="AG329" s="37">
        <f>IF(AQ329="2",BI329,0)</f>
        <v>0</v>
      </c>
      <c r="AH329" s="37">
        <f>IF(AQ329="0",BJ329,0)</f>
        <v>0</v>
      </c>
      <c r="AI329" s="31"/>
      <c r="AJ329" s="37">
        <f>IF(AN329=0,K329,0)</f>
        <v>0</v>
      </c>
      <c r="AK329" s="37">
        <f>IF(AN329=15,K329,0)</f>
        <v>0</v>
      </c>
      <c r="AL329" s="37">
        <f>IF(AN329=21,K329,0)</f>
        <v>0</v>
      </c>
      <c r="AN329" s="37">
        <v>15</v>
      </c>
      <c r="AO329" s="37">
        <f>H329*0.418284772149281</f>
        <v>0</v>
      </c>
      <c r="AP329" s="37">
        <f>H329*(1-0.418284772149281)</f>
        <v>0</v>
      </c>
      <c r="AQ329" s="38" t="s">
        <v>80</v>
      </c>
      <c r="AV329" s="37">
        <f>AW329+AX329</f>
        <v>0</v>
      </c>
      <c r="AW329" s="37">
        <f>G329*AO329</f>
        <v>0</v>
      </c>
      <c r="AX329" s="37">
        <f>G329*AP329</f>
        <v>0</v>
      </c>
      <c r="AY329" s="38" t="s">
        <v>620</v>
      </c>
      <c r="AZ329" s="38" t="s">
        <v>279</v>
      </c>
      <c r="BA329" s="31" t="s">
        <v>56</v>
      </c>
      <c r="BC329" s="37">
        <f>AW329+AX329</f>
        <v>0</v>
      </c>
      <c r="BD329" s="37">
        <f>H329/(100-BE329)*100</f>
        <v>0</v>
      </c>
      <c r="BE329" s="37">
        <v>0</v>
      </c>
      <c r="BF329" s="37">
        <f>329</f>
        <v>329</v>
      </c>
      <c r="BH329" s="37">
        <f>G329*AO329</f>
        <v>0</v>
      </c>
      <c r="BI329" s="37">
        <f>G329*AP329</f>
        <v>0</v>
      </c>
      <c r="BJ329" s="37">
        <f>G329*H329</f>
        <v>0</v>
      </c>
    </row>
    <row r="330" spans="3:7" ht="12.75">
      <c r="C330" s="39" t="s">
        <v>633</v>
      </c>
      <c r="D330" s="39"/>
      <c r="E330" s="39"/>
      <c r="G330" s="40">
        <v>148.8</v>
      </c>
    </row>
    <row r="331" spans="1:62" ht="12.75">
      <c r="A331" s="10" t="s">
        <v>634</v>
      </c>
      <c r="B331" s="10" t="s">
        <v>635</v>
      </c>
      <c r="C331" s="10" t="s">
        <v>636</v>
      </c>
      <c r="D331" s="10"/>
      <c r="E331" s="10"/>
      <c r="F331" s="10" t="s">
        <v>167</v>
      </c>
      <c r="G331" s="37">
        <v>33.6</v>
      </c>
      <c r="H331" s="37">
        <v>0</v>
      </c>
      <c r="I331" s="37">
        <f>G331*AO331</f>
        <v>0</v>
      </c>
      <c r="J331" s="37">
        <f>G331*AP331</f>
        <v>0</v>
      </c>
      <c r="K331" s="37">
        <f>G331*H331</f>
        <v>0</v>
      </c>
      <c r="L331" s="38" t="s">
        <v>54</v>
      </c>
      <c r="Z331" s="37">
        <f>IF(AQ331="5",BJ331,0)</f>
        <v>0</v>
      </c>
      <c r="AB331" s="37">
        <f>IF(AQ331="1",BH331,0)</f>
        <v>0</v>
      </c>
      <c r="AC331" s="37">
        <f>IF(AQ331="1",BI331,0)</f>
        <v>0</v>
      </c>
      <c r="AD331" s="37">
        <f>IF(AQ331="7",BH331,0)</f>
        <v>0</v>
      </c>
      <c r="AE331" s="37">
        <f>IF(AQ331="7",BI331,0)</f>
        <v>0</v>
      </c>
      <c r="AF331" s="37">
        <f>IF(AQ331="2",BH331,0)</f>
        <v>0</v>
      </c>
      <c r="AG331" s="37">
        <f>IF(AQ331="2",BI331,0)</f>
        <v>0</v>
      </c>
      <c r="AH331" s="37">
        <f>IF(AQ331="0",BJ331,0)</f>
        <v>0</v>
      </c>
      <c r="AI331" s="31"/>
      <c r="AJ331" s="37">
        <f>IF(AN331=0,K331,0)</f>
        <v>0</v>
      </c>
      <c r="AK331" s="37">
        <f>IF(AN331=15,K331,0)</f>
        <v>0</v>
      </c>
      <c r="AL331" s="37">
        <f>IF(AN331=21,K331,0)</f>
        <v>0</v>
      </c>
      <c r="AN331" s="37">
        <v>15</v>
      </c>
      <c r="AO331" s="37">
        <f>H331*0</f>
        <v>0</v>
      </c>
      <c r="AP331" s="37">
        <f>H331*(1-0)</f>
        <v>0</v>
      </c>
      <c r="AQ331" s="38" t="s">
        <v>80</v>
      </c>
      <c r="AV331" s="37">
        <f>AW331+AX331</f>
        <v>0</v>
      </c>
      <c r="AW331" s="37">
        <f>G331*AO331</f>
        <v>0</v>
      </c>
      <c r="AX331" s="37">
        <f>G331*AP331</f>
        <v>0</v>
      </c>
      <c r="AY331" s="38" t="s">
        <v>620</v>
      </c>
      <c r="AZ331" s="38" t="s">
        <v>279</v>
      </c>
      <c r="BA331" s="31" t="s">
        <v>56</v>
      </c>
      <c r="BC331" s="37">
        <f>AW331+AX331</f>
        <v>0</v>
      </c>
      <c r="BD331" s="37">
        <f>H331/(100-BE331)*100</f>
        <v>0</v>
      </c>
      <c r="BE331" s="37">
        <v>0</v>
      </c>
      <c r="BF331" s="37">
        <f>331</f>
        <v>331</v>
      </c>
      <c r="BH331" s="37">
        <f>G331*AO331</f>
        <v>0</v>
      </c>
      <c r="BI331" s="37">
        <f>G331*AP331</f>
        <v>0</v>
      </c>
      <c r="BJ331" s="37">
        <f>G331*H331</f>
        <v>0</v>
      </c>
    </row>
    <row r="332" spans="3:7" ht="12.75">
      <c r="C332" s="39" t="s">
        <v>637</v>
      </c>
      <c r="D332" s="39"/>
      <c r="E332" s="39"/>
      <c r="G332" s="40">
        <v>33.6</v>
      </c>
    </row>
    <row r="333" spans="1:62" ht="12.75">
      <c r="A333" s="10" t="s">
        <v>638</v>
      </c>
      <c r="B333" s="10" t="s">
        <v>623</v>
      </c>
      <c r="C333" s="10" t="s">
        <v>624</v>
      </c>
      <c r="D333" s="10"/>
      <c r="E333" s="10"/>
      <c r="F333" s="10" t="s">
        <v>347</v>
      </c>
      <c r="G333" s="37">
        <v>18</v>
      </c>
      <c r="H333" s="37">
        <v>0</v>
      </c>
      <c r="I333" s="37">
        <f>G333*AO333</f>
        <v>0</v>
      </c>
      <c r="J333" s="37">
        <f>G333*AP333</f>
        <v>0</v>
      </c>
      <c r="K333" s="37">
        <f>G333*H333</f>
        <v>0</v>
      </c>
      <c r="L333" s="38" t="s">
        <v>54</v>
      </c>
      <c r="Z333" s="37">
        <f>IF(AQ333="5",BJ333,0)</f>
        <v>0</v>
      </c>
      <c r="AB333" s="37">
        <f>IF(AQ333="1",BH333,0)</f>
        <v>0</v>
      </c>
      <c r="AC333" s="37">
        <f>IF(AQ333="1",BI333,0)</f>
        <v>0</v>
      </c>
      <c r="AD333" s="37">
        <f>IF(AQ333="7",BH333,0)</f>
        <v>0</v>
      </c>
      <c r="AE333" s="37">
        <f>IF(AQ333="7",BI333,0)</f>
        <v>0</v>
      </c>
      <c r="AF333" s="37">
        <f>IF(AQ333="2",BH333,0)</f>
        <v>0</v>
      </c>
      <c r="AG333" s="37">
        <f>IF(AQ333="2",BI333,0)</f>
        <v>0</v>
      </c>
      <c r="AH333" s="37">
        <f>IF(AQ333="0",BJ333,0)</f>
        <v>0</v>
      </c>
      <c r="AI333" s="31"/>
      <c r="AJ333" s="37">
        <f>IF(AN333=0,K333,0)</f>
        <v>0</v>
      </c>
      <c r="AK333" s="37">
        <f>IF(AN333=15,K333,0)</f>
        <v>0</v>
      </c>
      <c r="AL333" s="37">
        <f>IF(AN333=21,K333,0)</f>
        <v>0</v>
      </c>
      <c r="AN333" s="37">
        <v>15</v>
      </c>
      <c r="AO333" s="37">
        <f>H333*1</f>
        <v>0</v>
      </c>
      <c r="AP333" s="37">
        <f>H333*(1-1)</f>
        <v>0</v>
      </c>
      <c r="AQ333" s="38" t="s">
        <v>80</v>
      </c>
      <c r="AV333" s="37">
        <f>AW333+AX333</f>
        <v>0</v>
      </c>
      <c r="AW333" s="37">
        <f>G333*AO333</f>
        <v>0</v>
      </c>
      <c r="AX333" s="37">
        <f>G333*AP333</f>
        <v>0</v>
      </c>
      <c r="AY333" s="38" t="s">
        <v>620</v>
      </c>
      <c r="AZ333" s="38" t="s">
        <v>279</v>
      </c>
      <c r="BA333" s="31" t="s">
        <v>56</v>
      </c>
      <c r="BC333" s="37">
        <f>AW333+AX333</f>
        <v>0</v>
      </c>
      <c r="BD333" s="37">
        <f>H333/(100-BE333)*100</f>
        <v>0</v>
      </c>
      <c r="BE333" s="37">
        <v>0</v>
      </c>
      <c r="BF333" s="37">
        <f>333</f>
        <v>333</v>
      </c>
      <c r="BH333" s="37">
        <f>G333*AO333</f>
        <v>0</v>
      </c>
      <c r="BI333" s="37">
        <f>G333*AP333</f>
        <v>0</v>
      </c>
      <c r="BJ333" s="37">
        <f>G333*H333</f>
        <v>0</v>
      </c>
    </row>
    <row r="334" spans="3:7" ht="12.75">
      <c r="C334" s="39" t="s">
        <v>639</v>
      </c>
      <c r="D334" s="39"/>
      <c r="E334" s="39"/>
      <c r="G334" s="40">
        <v>18</v>
      </c>
    </row>
    <row r="335" spans="1:62" ht="12.75">
      <c r="A335" s="10" t="s">
        <v>640</v>
      </c>
      <c r="B335" s="10" t="s">
        <v>641</v>
      </c>
      <c r="C335" s="10" t="s">
        <v>642</v>
      </c>
      <c r="D335" s="10"/>
      <c r="E335" s="10"/>
      <c r="F335" s="10" t="s">
        <v>167</v>
      </c>
      <c r="G335" s="37">
        <v>67.2</v>
      </c>
      <c r="H335" s="37">
        <v>0</v>
      </c>
      <c r="I335" s="37">
        <f>G335*AO335</f>
        <v>0</v>
      </c>
      <c r="J335" s="37">
        <f>G335*AP335</f>
        <v>0</v>
      </c>
      <c r="K335" s="37">
        <f>G335*H335</f>
        <v>0</v>
      </c>
      <c r="L335" s="38" t="s">
        <v>54</v>
      </c>
      <c r="Z335" s="37">
        <f>IF(AQ335="5",BJ335,0)</f>
        <v>0</v>
      </c>
      <c r="AB335" s="37">
        <f>IF(AQ335="1",BH335,0)</f>
        <v>0</v>
      </c>
      <c r="AC335" s="37">
        <f>IF(AQ335="1",BI335,0)</f>
        <v>0</v>
      </c>
      <c r="AD335" s="37">
        <f>IF(AQ335="7",BH335,0)</f>
        <v>0</v>
      </c>
      <c r="AE335" s="37">
        <f>IF(AQ335="7",BI335,0)</f>
        <v>0</v>
      </c>
      <c r="AF335" s="37">
        <f>IF(AQ335="2",BH335,0)</f>
        <v>0</v>
      </c>
      <c r="AG335" s="37">
        <f>IF(AQ335="2",BI335,0)</f>
        <v>0</v>
      </c>
      <c r="AH335" s="37">
        <f>IF(AQ335="0",BJ335,0)</f>
        <v>0</v>
      </c>
      <c r="AI335" s="31"/>
      <c r="AJ335" s="37">
        <f>IF(AN335=0,K335,0)</f>
        <v>0</v>
      </c>
      <c r="AK335" s="37">
        <f>IF(AN335=15,K335,0)</f>
        <v>0</v>
      </c>
      <c r="AL335" s="37">
        <f>IF(AN335=21,K335,0)</f>
        <v>0</v>
      </c>
      <c r="AN335" s="37">
        <v>15</v>
      </c>
      <c r="AO335" s="37">
        <f>H335*0.437722222222222</f>
        <v>0</v>
      </c>
      <c r="AP335" s="37">
        <f>H335*(1-0.437722222222222)</f>
        <v>0</v>
      </c>
      <c r="AQ335" s="38" t="s">
        <v>80</v>
      </c>
      <c r="AV335" s="37">
        <f>AW335+AX335</f>
        <v>0</v>
      </c>
      <c r="AW335" s="37">
        <f>G335*AO335</f>
        <v>0</v>
      </c>
      <c r="AX335" s="37">
        <f>G335*AP335</f>
        <v>0</v>
      </c>
      <c r="AY335" s="38" t="s">
        <v>620</v>
      </c>
      <c r="AZ335" s="38" t="s">
        <v>279</v>
      </c>
      <c r="BA335" s="31" t="s">
        <v>56</v>
      </c>
      <c r="BC335" s="37">
        <f>AW335+AX335</f>
        <v>0</v>
      </c>
      <c r="BD335" s="37">
        <f>H335/(100-BE335)*100</f>
        <v>0</v>
      </c>
      <c r="BE335" s="37">
        <v>0</v>
      </c>
      <c r="BF335" s="37">
        <f>335</f>
        <v>335</v>
      </c>
      <c r="BH335" s="37">
        <f>G335*AO335</f>
        <v>0</v>
      </c>
      <c r="BI335" s="37">
        <f>G335*AP335</f>
        <v>0</v>
      </c>
      <c r="BJ335" s="37">
        <f>G335*H335</f>
        <v>0</v>
      </c>
    </row>
    <row r="336" spans="3:7" ht="12.75">
      <c r="C336" s="39" t="s">
        <v>643</v>
      </c>
      <c r="D336" s="39"/>
      <c r="E336" s="39"/>
      <c r="G336" s="40">
        <v>67.2</v>
      </c>
    </row>
    <row r="337" spans="1:62" ht="12.75">
      <c r="A337" s="10" t="s">
        <v>644</v>
      </c>
      <c r="B337" s="10" t="s">
        <v>428</v>
      </c>
      <c r="C337" s="10" t="s">
        <v>645</v>
      </c>
      <c r="D337" s="10"/>
      <c r="E337" s="10"/>
      <c r="F337" s="10" t="s">
        <v>117</v>
      </c>
      <c r="G337" s="37">
        <v>16.464</v>
      </c>
      <c r="H337" s="37">
        <v>0</v>
      </c>
      <c r="I337" s="37">
        <f>G337*AO337</f>
        <v>0</v>
      </c>
      <c r="J337" s="37">
        <f>G337*AP337</f>
        <v>0</v>
      </c>
      <c r="K337" s="37">
        <f>G337*H337</f>
        <v>0</v>
      </c>
      <c r="L337" s="38" t="s">
        <v>54</v>
      </c>
      <c r="Z337" s="37">
        <f>IF(AQ337="5",BJ337,0)</f>
        <v>0</v>
      </c>
      <c r="AB337" s="37">
        <f>IF(AQ337="1",BH337,0)</f>
        <v>0</v>
      </c>
      <c r="AC337" s="37">
        <f>IF(AQ337="1",BI337,0)</f>
        <v>0</v>
      </c>
      <c r="AD337" s="37">
        <f>IF(AQ337="7",BH337,0)</f>
        <v>0</v>
      </c>
      <c r="AE337" s="37">
        <f>IF(AQ337="7",BI337,0)</f>
        <v>0</v>
      </c>
      <c r="AF337" s="37">
        <f>IF(AQ337="2",BH337,0)</f>
        <v>0</v>
      </c>
      <c r="AG337" s="37">
        <f>IF(AQ337="2",BI337,0)</f>
        <v>0</v>
      </c>
      <c r="AH337" s="37">
        <f>IF(AQ337="0",BJ337,0)</f>
        <v>0</v>
      </c>
      <c r="AI337" s="31"/>
      <c r="AJ337" s="37">
        <f>IF(AN337=0,K337,0)</f>
        <v>0</v>
      </c>
      <c r="AK337" s="37">
        <f>IF(AN337=15,K337,0)</f>
        <v>0</v>
      </c>
      <c r="AL337" s="37">
        <f>IF(AN337=21,K337,0)</f>
        <v>0</v>
      </c>
      <c r="AN337" s="37">
        <v>15</v>
      </c>
      <c r="AO337" s="37">
        <f>H337*0.258709677419355</f>
        <v>0</v>
      </c>
      <c r="AP337" s="37">
        <f>H337*(1-0.258709677419355)</f>
        <v>0</v>
      </c>
      <c r="AQ337" s="38" t="s">
        <v>80</v>
      </c>
      <c r="AV337" s="37">
        <f>AW337+AX337</f>
        <v>0</v>
      </c>
      <c r="AW337" s="37">
        <f>G337*AO337</f>
        <v>0</v>
      </c>
      <c r="AX337" s="37">
        <f>G337*AP337</f>
        <v>0</v>
      </c>
      <c r="AY337" s="38" t="s">
        <v>620</v>
      </c>
      <c r="AZ337" s="38" t="s">
        <v>279</v>
      </c>
      <c r="BA337" s="31" t="s">
        <v>56</v>
      </c>
      <c r="BC337" s="37">
        <f>AW337+AX337</f>
        <v>0</v>
      </c>
      <c r="BD337" s="37">
        <f>H337/(100-BE337)*100</f>
        <v>0</v>
      </c>
      <c r="BE337" s="37">
        <v>0</v>
      </c>
      <c r="BF337" s="37">
        <f>337</f>
        <v>337</v>
      </c>
      <c r="BH337" s="37">
        <f>G337*AO337</f>
        <v>0</v>
      </c>
      <c r="BI337" s="37">
        <f>G337*AP337</f>
        <v>0</v>
      </c>
      <c r="BJ337" s="37">
        <f>G337*H337</f>
        <v>0</v>
      </c>
    </row>
    <row r="338" spans="3:7" ht="12.75">
      <c r="C338" s="39" t="s">
        <v>646</v>
      </c>
      <c r="D338" s="39"/>
      <c r="E338" s="39"/>
      <c r="G338" s="40">
        <v>16.464</v>
      </c>
    </row>
    <row r="339" spans="1:62" ht="12.75">
      <c r="A339" s="10" t="s">
        <v>647</v>
      </c>
      <c r="B339" s="10" t="s">
        <v>648</v>
      </c>
      <c r="C339" s="10" t="s">
        <v>649</v>
      </c>
      <c r="D339" s="10"/>
      <c r="E339" s="10"/>
      <c r="F339" s="10" t="s">
        <v>167</v>
      </c>
      <c r="G339" s="37">
        <v>7.4</v>
      </c>
      <c r="H339" s="37">
        <v>0</v>
      </c>
      <c r="I339" s="37">
        <f>G339*AO339</f>
        <v>0</v>
      </c>
      <c r="J339" s="37">
        <f>G339*AP339</f>
        <v>0</v>
      </c>
      <c r="K339" s="37">
        <f>G339*H339</f>
        <v>0</v>
      </c>
      <c r="L339" s="38" t="s">
        <v>54</v>
      </c>
      <c r="Z339" s="37">
        <f>IF(AQ339="5",BJ339,0)</f>
        <v>0</v>
      </c>
      <c r="AB339" s="37">
        <f>IF(AQ339="1",BH339,0)</f>
        <v>0</v>
      </c>
      <c r="AC339" s="37">
        <f>IF(AQ339="1",BI339,0)</f>
        <v>0</v>
      </c>
      <c r="AD339" s="37">
        <f>IF(AQ339="7",BH339,0)</f>
        <v>0</v>
      </c>
      <c r="AE339" s="37">
        <f>IF(AQ339="7",BI339,0)</f>
        <v>0</v>
      </c>
      <c r="AF339" s="37">
        <f>IF(AQ339="2",BH339,0)</f>
        <v>0</v>
      </c>
      <c r="AG339" s="37">
        <f>IF(AQ339="2",BI339,0)</f>
        <v>0</v>
      </c>
      <c r="AH339" s="37">
        <f>IF(AQ339="0",BJ339,0)</f>
        <v>0</v>
      </c>
      <c r="AI339" s="31"/>
      <c r="AJ339" s="37">
        <f>IF(AN339=0,K339,0)</f>
        <v>0</v>
      </c>
      <c r="AK339" s="37">
        <f>IF(AN339=15,K339,0)</f>
        <v>0</v>
      </c>
      <c r="AL339" s="37">
        <f>IF(AN339=21,K339,0)</f>
        <v>0</v>
      </c>
      <c r="AN339" s="37">
        <v>15</v>
      </c>
      <c r="AO339" s="37">
        <f>H339*0.0273061625794548</f>
        <v>0</v>
      </c>
      <c r="AP339" s="37">
        <f>H339*(1-0.0273061625794548)</f>
        <v>0</v>
      </c>
      <c r="AQ339" s="38" t="s">
        <v>80</v>
      </c>
      <c r="AV339" s="37">
        <f>AW339+AX339</f>
        <v>0</v>
      </c>
      <c r="AW339" s="37">
        <f>G339*AO339</f>
        <v>0</v>
      </c>
      <c r="AX339" s="37">
        <f>G339*AP339</f>
        <v>0</v>
      </c>
      <c r="AY339" s="38" t="s">
        <v>620</v>
      </c>
      <c r="AZ339" s="38" t="s">
        <v>279</v>
      </c>
      <c r="BA339" s="31" t="s">
        <v>56</v>
      </c>
      <c r="BC339" s="37">
        <f>AW339+AX339</f>
        <v>0</v>
      </c>
      <c r="BD339" s="37">
        <f>H339/(100-BE339)*100</f>
        <v>0</v>
      </c>
      <c r="BE339" s="37">
        <v>0</v>
      </c>
      <c r="BF339" s="37">
        <f>339</f>
        <v>339</v>
      </c>
      <c r="BH339" s="37">
        <f>G339*AO339</f>
        <v>0</v>
      </c>
      <c r="BI339" s="37">
        <f>G339*AP339</f>
        <v>0</v>
      </c>
      <c r="BJ339" s="37">
        <f>G339*H339</f>
        <v>0</v>
      </c>
    </row>
    <row r="340" spans="3:7" ht="12.75">
      <c r="C340" s="39" t="s">
        <v>650</v>
      </c>
      <c r="D340" s="39"/>
      <c r="E340" s="39"/>
      <c r="G340" s="40">
        <v>7.4</v>
      </c>
    </row>
    <row r="341" spans="1:62" ht="12.75">
      <c r="A341" s="10" t="s">
        <v>651</v>
      </c>
      <c r="B341" s="10" t="s">
        <v>652</v>
      </c>
      <c r="C341" s="10" t="s">
        <v>653</v>
      </c>
      <c r="D341" s="10"/>
      <c r="E341" s="10"/>
      <c r="F341" s="10" t="s">
        <v>53</v>
      </c>
      <c r="G341" s="37">
        <v>1</v>
      </c>
      <c r="H341" s="37">
        <v>0</v>
      </c>
      <c r="I341" s="37">
        <f>G341*AO341</f>
        <v>0</v>
      </c>
      <c r="J341" s="37">
        <f>G341*AP341</f>
        <v>0</v>
      </c>
      <c r="K341" s="37">
        <f>G341*H341</f>
        <v>0</v>
      </c>
      <c r="L341" s="38" t="s">
        <v>54</v>
      </c>
      <c r="Z341" s="37">
        <f>IF(AQ341="5",BJ341,0)</f>
        <v>0</v>
      </c>
      <c r="AB341" s="37">
        <f>IF(AQ341="1",BH341,0)</f>
        <v>0</v>
      </c>
      <c r="AC341" s="37">
        <f>IF(AQ341="1",BI341,0)</f>
        <v>0</v>
      </c>
      <c r="AD341" s="37">
        <f>IF(AQ341="7",BH341,0)</f>
        <v>0</v>
      </c>
      <c r="AE341" s="37">
        <f>IF(AQ341="7",BI341,0)</f>
        <v>0</v>
      </c>
      <c r="AF341" s="37">
        <f>IF(AQ341="2",BH341,0)</f>
        <v>0</v>
      </c>
      <c r="AG341" s="37">
        <f>IF(AQ341="2",BI341,0)</f>
        <v>0</v>
      </c>
      <c r="AH341" s="37">
        <f>IF(AQ341="0",BJ341,0)</f>
        <v>0</v>
      </c>
      <c r="AI341" s="31"/>
      <c r="AJ341" s="37">
        <f>IF(AN341=0,K341,0)</f>
        <v>0</v>
      </c>
      <c r="AK341" s="37">
        <f>IF(AN341=15,K341,0)</f>
        <v>0</v>
      </c>
      <c r="AL341" s="37">
        <f>IF(AN341=21,K341,0)</f>
        <v>0</v>
      </c>
      <c r="AN341" s="37">
        <v>15</v>
      </c>
      <c r="AO341" s="37">
        <f>H341*0.719821138211382</f>
        <v>0</v>
      </c>
      <c r="AP341" s="37">
        <f>H341*(1-0.719821138211382)</f>
        <v>0</v>
      </c>
      <c r="AQ341" s="38" t="s">
        <v>80</v>
      </c>
      <c r="AV341" s="37">
        <f>AW341+AX341</f>
        <v>0</v>
      </c>
      <c r="AW341" s="37">
        <f>G341*AO341</f>
        <v>0</v>
      </c>
      <c r="AX341" s="37">
        <f>G341*AP341</f>
        <v>0</v>
      </c>
      <c r="AY341" s="38" t="s">
        <v>620</v>
      </c>
      <c r="AZ341" s="38" t="s">
        <v>279</v>
      </c>
      <c r="BA341" s="31" t="s">
        <v>56</v>
      </c>
      <c r="BC341" s="37">
        <f>AW341+AX341</f>
        <v>0</v>
      </c>
      <c r="BD341" s="37">
        <f>H341/(100-BE341)*100</f>
        <v>0</v>
      </c>
      <c r="BE341" s="37">
        <v>0</v>
      </c>
      <c r="BF341" s="37">
        <f>341</f>
        <v>341</v>
      </c>
      <c r="BH341" s="37">
        <f>G341*AO341</f>
        <v>0</v>
      </c>
      <c r="BI341" s="37">
        <f>G341*AP341</f>
        <v>0</v>
      </c>
      <c r="BJ341" s="37">
        <f>G341*H341</f>
        <v>0</v>
      </c>
    </row>
    <row r="342" spans="3:7" ht="12.75">
      <c r="C342" s="39" t="s">
        <v>654</v>
      </c>
      <c r="D342" s="39"/>
      <c r="E342" s="39"/>
      <c r="G342" s="40">
        <v>1</v>
      </c>
    </row>
    <row r="343" spans="1:62" ht="12.75">
      <c r="A343" s="10" t="s">
        <v>655</v>
      </c>
      <c r="B343" s="10" t="s">
        <v>656</v>
      </c>
      <c r="C343" s="10" t="s">
        <v>657</v>
      </c>
      <c r="D343" s="10"/>
      <c r="E343" s="10"/>
      <c r="F343" s="10" t="s">
        <v>347</v>
      </c>
      <c r="G343" s="37">
        <v>111</v>
      </c>
      <c r="H343" s="37">
        <v>0</v>
      </c>
      <c r="I343" s="37">
        <f>G343*AO343</f>
        <v>0</v>
      </c>
      <c r="J343" s="37">
        <f>G343*AP343</f>
        <v>0</v>
      </c>
      <c r="K343" s="37">
        <f>G343*H343</f>
        <v>0</v>
      </c>
      <c r="L343" s="38" t="s">
        <v>54</v>
      </c>
      <c r="Z343" s="37">
        <f>IF(AQ343="5",BJ343,0)</f>
        <v>0</v>
      </c>
      <c r="AB343" s="37">
        <f>IF(AQ343="1",BH343,0)</f>
        <v>0</v>
      </c>
      <c r="AC343" s="37">
        <f>IF(AQ343="1",BI343,0)</f>
        <v>0</v>
      </c>
      <c r="AD343" s="37">
        <f>IF(AQ343="7",BH343,0)</f>
        <v>0</v>
      </c>
      <c r="AE343" s="37">
        <f>IF(AQ343="7",BI343,0)</f>
        <v>0</v>
      </c>
      <c r="AF343" s="37">
        <f>IF(AQ343="2",BH343,0)</f>
        <v>0</v>
      </c>
      <c r="AG343" s="37">
        <f>IF(AQ343="2",BI343,0)</f>
        <v>0</v>
      </c>
      <c r="AH343" s="37">
        <f>IF(AQ343="0",BJ343,0)</f>
        <v>0</v>
      </c>
      <c r="AI343" s="31"/>
      <c r="AJ343" s="37">
        <f>IF(AN343=0,K343,0)</f>
        <v>0</v>
      </c>
      <c r="AK343" s="37">
        <f>IF(AN343=15,K343,0)</f>
        <v>0</v>
      </c>
      <c r="AL343" s="37">
        <f>IF(AN343=21,K343,0)</f>
        <v>0</v>
      </c>
      <c r="AN343" s="37">
        <v>15</v>
      </c>
      <c r="AO343" s="37">
        <f>H343*0</f>
        <v>0</v>
      </c>
      <c r="AP343" s="37">
        <f>H343*(1-0)</f>
        <v>0</v>
      </c>
      <c r="AQ343" s="38" t="s">
        <v>80</v>
      </c>
      <c r="AV343" s="37">
        <f>AW343+AX343</f>
        <v>0</v>
      </c>
      <c r="AW343" s="37">
        <f>G343*AO343</f>
        <v>0</v>
      </c>
      <c r="AX343" s="37">
        <f>G343*AP343</f>
        <v>0</v>
      </c>
      <c r="AY343" s="38" t="s">
        <v>620</v>
      </c>
      <c r="AZ343" s="38" t="s">
        <v>279</v>
      </c>
      <c r="BA343" s="31" t="s">
        <v>56</v>
      </c>
      <c r="BC343" s="37">
        <f>AW343+AX343</f>
        <v>0</v>
      </c>
      <c r="BD343" s="37">
        <f>H343/(100-BE343)*100</f>
        <v>0</v>
      </c>
      <c r="BE343" s="37">
        <v>0</v>
      </c>
      <c r="BF343" s="37">
        <f>343</f>
        <v>343</v>
      </c>
      <c r="BH343" s="37">
        <f>G343*AO343</f>
        <v>0</v>
      </c>
      <c r="BI343" s="37">
        <f>G343*AP343</f>
        <v>0</v>
      </c>
      <c r="BJ343" s="37">
        <f>G343*H343</f>
        <v>0</v>
      </c>
    </row>
    <row r="344" spans="3:7" ht="12.75">
      <c r="C344" s="39" t="s">
        <v>658</v>
      </c>
      <c r="D344" s="39"/>
      <c r="E344" s="39"/>
      <c r="G344" s="40">
        <v>111</v>
      </c>
    </row>
    <row r="345" spans="1:62" ht="12.75">
      <c r="A345" s="10" t="s">
        <v>659</v>
      </c>
      <c r="B345" s="10" t="s">
        <v>660</v>
      </c>
      <c r="C345" s="10" t="s">
        <v>661</v>
      </c>
      <c r="D345" s="10"/>
      <c r="E345" s="10"/>
      <c r="F345" s="10" t="s">
        <v>53</v>
      </c>
      <c r="G345" s="37">
        <v>24</v>
      </c>
      <c r="H345" s="37">
        <v>0</v>
      </c>
      <c r="I345" s="37">
        <f>G345*AO345</f>
        <v>0</v>
      </c>
      <c r="J345" s="37">
        <f>G345*AP345</f>
        <v>0</v>
      </c>
      <c r="K345" s="37">
        <f>G345*H345</f>
        <v>0</v>
      </c>
      <c r="L345" s="38" t="s">
        <v>54</v>
      </c>
      <c r="Z345" s="37">
        <f>IF(AQ345="5",BJ345,0)</f>
        <v>0</v>
      </c>
      <c r="AB345" s="37">
        <f>IF(AQ345="1",BH345,0)</f>
        <v>0</v>
      </c>
      <c r="AC345" s="37">
        <f>IF(AQ345="1",BI345,0)</f>
        <v>0</v>
      </c>
      <c r="AD345" s="37">
        <f>IF(AQ345="7",BH345,0)</f>
        <v>0</v>
      </c>
      <c r="AE345" s="37">
        <f>IF(AQ345="7",BI345,0)</f>
        <v>0</v>
      </c>
      <c r="AF345" s="37">
        <f>IF(AQ345="2",BH345,0)</f>
        <v>0</v>
      </c>
      <c r="AG345" s="37">
        <f>IF(AQ345="2",BI345,0)</f>
        <v>0</v>
      </c>
      <c r="AH345" s="37">
        <f>IF(AQ345="0",BJ345,0)</f>
        <v>0</v>
      </c>
      <c r="AI345" s="31"/>
      <c r="AJ345" s="37">
        <f>IF(AN345=0,K345,0)</f>
        <v>0</v>
      </c>
      <c r="AK345" s="37">
        <f>IF(AN345=15,K345,0)</f>
        <v>0</v>
      </c>
      <c r="AL345" s="37">
        <f>IF(AN345=21,K345,0)</f>
        <v>0</v>
      </c>
      <c r="AN345" s="37">
        <v>15</v>
      </c>
      <c r="AO345" s="37">
        <f>H345*0.050718019777036</f>
        <v>0</v>
      </c>
      <c r="AP345" s="37">
        <f>H345*(1-0.050718019777036)</f>
        <v>0</v>
      </c>
      <c r="AQ345" s="38" t="s">
        <v>80</v>
      </c>
      <c r="AV345" s="37">
        <f>AW345+AX345</f>
        <v>0</v>
      </c>
      <c r="AW345" s="37">
        <f>G345*AO345</f>
        <v>0</v>
      </c>
      <c r="AX345" s="37">
        <f>G345*AP345</f>
        <v>0</v>
      </c>
      <c r="AY345" s="38" t="s">
        <v>620</v>
      </c>
      <c r="AZ345" s="38" t="s">
        <v>279</v>
      </c>
      <c r="BA345" s="31" t="s">
        <v>56</v>
      </c>
      <c r="BC345" s="37">
        <f>AW345+AX345</f>
        <v>0</v>
      </c>
      <c r="BD345" s="37">
        <f>H345/(100-BE345)*100</f>
        <v>0</v>
      </c>
      <c r="BE345" s="37">
        <v>0</v>
      </c>
      <c r="BF345" s="37">
        <f>345</f>
        <v>345</v>
      </c>
      <c r="BH345" s="37">
        <f>G345*AO345</f>
        <v>0</v>
      </c>
      <c r="BI345" s="37">
        <f>G345*AP345</f>
        <v>0</v>
      </c>
      <c r="BJ345" s="37">
        <f>G345*H345</f>
        <v>0</v>
      </c>
    </row>
    <row r="346" spans="3:7" ht="12.75">
      <c r="C346" s="39" t="s">
        <v>662</v>
      </c>
      <c r="D346" s="39"/>
      <c r="E346" s="39"/>
      <c r="G346" s="40">
        <v>24</v>
      </c>
    </row>
    <row r="347" spans="1:62" ht="12.75">
      <c r="A347" s="10" t="s">
        <v>663</v>
      </c>
      <c r="B347" s="10" t="s">
        <v>664</v>
      </c>
      <c r="C347" s="10" t="s">
        <v>665</v>
      </c>
      <c r="D347" s="10"/>
      <c r="E347" s="10"/>
      <c r="F347" s="10" t="s">
        <v>53</v>
      </c>
      <c r="G347" s="37">
        <v>24</v>
      </c>
      <c r="H347" s="37">
        <v>0</v>
      </c>
      <c r="I347" s="37">
        <f>G347*AO347</f>
        <v>0</v>
      </c>
      <c r="J347" s="37">
        <f>G347*AP347</f>
        <v>0</v>
      </c>
      <c r="K347" s="37">
        <f>G347*H347</f>
        <v>0</v>
      </c>
      <c r="L347" s="38" t="s">
        <v>54</v>
      </c>
      <c r="Z347" s="37">
        <f>IF(AQ347="5",BJ347,0)</f>
        <v>0</v>
      </c>
      <c r="AB347" s="37">
        <f>IF(AQ347="1",BH347,0)</f>
        <v>0</v>
      </c>
      <c r="AC347" s="37">
        <f>IF(AQ347="1",BI347,0)</f>
        <v>0</v>
      </c>
      <c r="AD347" s="37">
        <f>IF(AQ347="7",BH347,0)</f>
        <v>0</v>
      </c>
      <c r="AE347" s="37">
        <f>IF(AQ347="7",BI347,0)</f>
        <v>0</v>
      </c>
      <c r="AF347" s="37">
        <f>IF(AQ347="2",BH347,0)</f>
        <v>0</v>
      </c>
      <c r="AG347" s="37">
        <f>IF(AQ347="2",BI347,0)</f>
        <v>0</v>
      </c>
      <c r="AH347" s="37">
        <f>IF(AQ347="0",BJ347,0)</f>
        <v>0</v>
      </c>
      <c r="AI347" s="31"/>
      <c r="AJ347" s="37">
        <f>IF(AN347=0,K347,0)</f>
        <v>0</v>
      </c>
      <c r="AK347" s="37">
        <f>IF(AN347=15,K347,0)</f>
        <v>0</v>
      </c>
      <c r="AL347" s="37">
        <f>IF(AN347=21,K347,0)</f>
        <v>0</v>
      </c>
      <c r="AN347" s="37">
        <v>15</v>
      </c>
      <c r="AO347" s="37">
        <f>H347*0.0453218298555377</f>
        <v>0</v>
      </c>
      <c r="AP347" s="37">
        <f>H347*(1-0.0453218298555377)</f>
        <v>0</v>
      </c>
      <c r="AQ347" s="38" t="s">
        <v>80</v>
      </c>
      <c r="AV347" s="37">
        <f>AW347+AX347</f>
        <v>0</v>
      </c>
      <c r="AW347" s="37">
        <f>G347*AO347</f>
        <v>0</v>
      </c>
      <c r="AX347" s="37">
        <f>G347*AP347</f>
        <v>0</v>
      </c>
      <c r="AY347" s="38" t="s">
        <v>620</v>
      </c>
      <c r="AZ347" s="38" t="s">
        <v>279</v>
      </c>
      <c r="BA347" s="31" t="s">
        <v>56</v>
      </c>
      <c r="BC347" s="37">
        <f>AW347+AX347</f>
        <v>0</v>
      </c>
      <c r="BD347" s="37">
        <f>H347/(100-BE347)*100</f>
        <v>0</v>
      </c>
      <c r="BE347" s="37">
        <v>0</v>
      </c>
      <c r="BF347" s="37">
        <f>347</f>
        <v>347</v>
      </c>
      <c r="BH347" s="37">
        <f>G347*AO347</f>
        <v>0</v>
      </c>
      <c r="BI347" s="37">
        <f>G347*AP347</f>
        <v>0</v>
      </c>
      <c r="BJ347" s="37">
        <f>G347*H347</f>
        <v>0</v>
      </c>
    </row>
    <row r="348" spans="3:7" ht="12.75">
      <c r="C348" s="39" t="s">
        <v>662</v>
      </c>
      <c r="D348" s="39"/>
      <c r="E348" s="39"/>
      <c r="G348" s="40">
        <v>24</v>
      </c>
    </row>
    <row r="349" spans="1:62" ht="12.75">
      <c r="A349" s="10" t="s">
        <v>666</v>
      </c>
      <c r="B349" s="10" t="s">
        <v>667</v>
      </c>
      <c r="C349" s="10" t="s">
        <v>668</v>
      </c>
      <c r="D349" s="10"/>
      <c r="E349" s="10"/>
      <c r="F349" s="10" t="s">
        <v>53</v>
      </c>
      <c r="G349" s="37">
        <v>24</v>
      </c>
      <c r="H349" s="37">
        <v>0</v>
      </c>
      <c r="I349" s="37">
        <f>G349*AO349</f>
        <v>0</v>
      </c>
      <c r="J349" s="37">
        <f>G349*AP349</f>
        <v>0</v>
      </c>
      <c r="K349" s="37">
        <f>G349*H349</f>
        <v>0</v>
      </c>
      <c r="L349" s="38" t="s">
        <v>54</v>
      </c>
      <c r="Z349" s="37">
        <f>IF(AQ349="5",BJ349,0)</f>
        <v>0</v>
      </c>
      <c r="AB349" s="37">
        <f>IF(AQ349="1",BH349,0)</f>
        <v>0</v>
      </c>
      <c r="AC349" s="37">
        <f>IF(AQ349="1",BI349,0)</f>
        <v>0</v>
      </c>
      <c r="AD349" s="37">
        <f>IF(AQ349="7",BH349,0)</f>
        <v>0</v>
      </c>
      <c r="AE349" s="37">
        <f>IF(AQ349="7",BI349,0)</f>
        <v>0</v>
      </c>
      <c r="AF349" s="37">
        <f>IF(AQ349="2",BH349,0)</f>
        <v>0</v>
      </c>
      <c r="AG349" s="37">
        <f>IF(AQ349="2",BI349,0)</f>
        <v>0</v>
      </c>
      <c r="AH349" s="37">
        <f>IF(AQ349="0",BJ349,0)</f>
        <v>0</v>
      </c>
      <c r="AI349" s="31"/>
      <c r="AJ349" s="37">
        <f>IF(AN349=0,K349,0)</f>
        <v>0</v>
      </c>
      <c r="AK349" s="37">
        <f>IF(AN349=15,K349,0)</f>
        <v>0</v>
      </c>
      <c r="AL349" s="37">
        <f>IF(AN349=21,K349,0)</f>
        <v>0</v>
      </c>
      <c r="AN349" s="37">
        <v>15</v>
      </c>
      <c r="AO349" s="37">
        <f>H349*0.0384323320958488</f>
        <v>0</v>
      </c>
      <c r="AP349" s="37">
        <f>H349*(1-0.0384323320958488)</f>
        <v>0</v>
      </c>
      <c r="AQ349" s="38" t="s">
        <v>80</v>
      </c>
      <c r="AV349" s="37">
        <f>AW349+AX349</f>
        <v>0</v>
      </c>
      <c r="AW349" s="37">
        <f>G349*AO349</f>
        <v>0</v>
      </c>
      <c r="AX349" s="37">
        <f>G349*AP349</f>
        <v>0</v>
      </c>
      <c r="AY349" s="38" t="s">
        <v>620</v>
      </c>
      <c r="AZ349" s="38" t="s">
        <v>279</v>
      </c>
      <c r="BA349" s="31" t="s">
        <v>56</v>
      </c>
      <c r="BC349" s="37">
        <f>AW349+AX349</f>
        <v>0</v>
      </c>
      <c r="BD349" s="37">
        <f>H349/(100-BE349)*100</f>
        <v>0</v>
      </c>
      <c r="BE349" s="37">
        <v>0</v>
      </c>
      <c r="BF349" s="37">
        <f>349</f>
        <v>349</v>
      </c>
      <c r="BH349" s="37">
        <f>G349*AO349</f>
        <v>0</v>
      </c>
      <c r="BI349" s="37">
        <f>G349*AP349</f>
        <v>0</v>
      </c>
      <c r="BJ349" s="37">
        <f>G349*H349</f>
        <v>0</v>
      </c>
    </row>
    <row r="350" spans="3:7" ht="12.75">
      <c r="C350" s="39" t="s">
        <v>662</v>
      </c>
      <c r="D350" s="39"/>
      <c r="E350" s="39"/>
      <c r="G350" s="40">
        <v>24</v>
      </c>
    </row>
    <row r="351" spans="1:62" ht="12.75">
      <c r="A351" s="10" t="s">
        <v>669</v>
      </c>
      <c r="B351" s="10" t="s">
        <v>670</v>
      </c>
      <c r="C351" s="10" t="s">
        <v>671</v>
      </c>
      <c r="D351" s="10"/>
      <c r="E351" s="10"/>
      <c r="F351" s="10" t="s">
        <v>53</v>
      </c>
      <c r="G351" s="37">
        <v>24</v>
      </c>
      <c r="H351" s="37">
        <v>0</v>
      </c>
      <c r="I351" s="37">
        <f>G351*AO351</f>
        <v>0</v>
      </c>
      <c r="J351" s="37">
        <f>G351*AP351</f>
        <v>0</v>
      </c>
      <c r="K351" s="37">
        <f>G351*H351</f>
        <v>0</v>
      </c>
      <c r="L351" s="38" t="s">
        <v>54</v>
      </c>
      <c r="Z351" s="37">
        <f>IF(AQ351="5",BJ351,0)</f>
        <v>0</v>
      </c>
      <c r="AB351" s="37">
        <f>IF(AQ351="1",BH351,0)</f>
        <v>0</v>
      </c>
      <c r="AC351" s="37">
        <f>IF(AQ351="1",BI351,0)</f>
        <v>0</v>
      </c>
      <c r="AD351" s="37">
        <f>IF(AQ351="7",BH351,0)</f>
        <v>0</v>
      </c>
      <c r="AE351" s="37">
        <f>IF(AQ351="7",BI351,0)</f>
        <v>0</v>
      </c>
      <c r="AF351" s="37">
        <f>IF(AQ351="2",BH351,0)</f>
        <v>0</v>
      </c>
      <c r="AG351" s="37">
        <f>IF(AQ351="2",BI351,0)</f>
        <v>0</v>
      </c>
      <c r="AH351" s="37">
        <f>IF(AQ351="0",BJ351,0)</f>
        <v>0</v>
      </c>
      <c r="AI351" s="31"/>
      <c r="AJ351" s="37">
        <f>IF(AN351=0,K351,0)</f>
        <v>0</v>
      </c>
      <c r="AK351" s="37">
        <f>IF(AN351=15,K351,0)</f>
        <v>0</v>
      </c>
      <c r="AL351" s="37">
        <f>IF(AN351=21,K351,0)</f>
        <v>0</v>
      </c>
      <c r="AN351" s="37">
        <v>15</v>
      </c>
      <c r="AO351" s="37">
        <f>H351*0</f>
        <v>0</v>
      </c>
      <c r="AP351" s="37">
        <f>H351*(1-0)</f>
        <v>0</v>
      </c>
      <c r="AQ351" s="38" t="s">
        <v>80</v>
      </c>
      <c r="AV351" s="37">
        <f>AW351+AX351</f>
        <v>0</v>
      </c>
      <c r="AW351" s="37">
        <f>G351*AO351</f>
        <v>0</v>
      </c>
      <c r="AX351" s="37">
        <f>G351*AP351</f>
        <v>0</v>
      </c>
      <c r="AY351" s="38" t="s">
        <v>620</v>
      </c>
      <c r="AZ351" s="38" t="s">
        <v>279</v>
      </c>
      <c r="BA351" s="31" t="s">
        <v>56</v>
      </c>
      <c r="BC351" s="37">
        <f>AW351+AX351</f>
        <v>0</v>
      </c>
      <c r="BD351" s="37">
        <f>H351/(100-BE351)*100</f>
        <v>0</v>
      </c>
      <c r="BE351" s="37">
        <v>0</v>
      </c>
      <c r="BF351" s="37">
        <f>351</f>
        <v>351</v>
      </c>
      <c r="BH351" s="37">
        <f>G351*AO351</f>
        <v>0</v>
      </c>
      <c r="BI351" s="37">
        <f>G351*AP351</f>
        <v>0</v>
      </c>
      <c r="BJ351" s="37">
        <f>G351*H351</f>
        <v>0</v>
      </c>
    </row>
    <row r="352" spans="3:7" ht="12.75">
      <c r="C352" s="39" t="s">
        <v>662</v>
      </c>
      <c r="D352" s="39"/>
      <c r="E352" s="39"/>
      <c r="G352" s="40">
        <v>24</v>
      </c>
    </row>
    <row r="353" spans="1:62" ht="12.75">
      <c r="A353" s="10" t="s">
        <v>672</v>
      </c>
      <c r="B353" s="10" t="s">
        <v>673</v>
      </c>
      <c r="C353" s="10" t="s">
        <v>674</v>
      </c>
      <c r="D353" s="10"/>
      <c r="E353" s="10"/>
      <c r="F353" s="10" t="s">
        <v>347</v>
      </c>
      <c r="G353" s="37">
        <v>140</v>
      </c>
      <c r="H353" s="37">
        <v>0</v>
      </c>
      <c r="I353" s="37">
        <f>G353*AO353</f>
        <v>0</v>
      </c>
      <c r="J353" s="37">
        <f>G353*AP353</f>
        <v>0</v>
      </c>
      <c r="K353" s="37">
        <f>G353*H353</f>
        <v>0</v>
      </c>
      <c r="L353" s="38" t="s">
        <v>99</v>
      </c>
      <c r="Z353" s="37">
        <f>IF(AQ353="5",BJ353,0)</f>
        <v>0</v>
      </c>
      <c r="AB353" s="37">
        <f>IF(AQ353="1",BH353,0)</f>
        <v>0</v>
      </c>
      <c r="AC353" s="37">
        <f>IF(AQ353="1",BI353,0)</f>
        <v>0</v>
      </c>
      <c r="AD353" s="37">
        <f>IF(AQ353="7",BH353,0)</f>
        <v>0</v>
      </c>
      <c r="AE353" s="37">
        <f>IF(AQ353="7",BI353,0)</f>
        <v>0</v>
      </c>
      <c r="AF353" s="37">
        <f>IF(AQ353="2",BH353,0)</f>
        <v>0</v>
      </c>
      <c r="AG353" s="37">
        <f>IF(AQ353="2",BI353,0)</f>
        <v>0</v>
      </c>
      <c r="AH353" s="37">
        <f>IF(AQ353="0",BJ353,0)</f>
        <v>0</v>
      </c>
      <c r="AI353" s="31"/>
      <c r="AJ353" s="37">
        <f>IF(AN353=0,K353,0)</f>
        <v>0</v>
      </c>
      <c r="AK353" s="37">
        <f>IF(AN353=15,K353,0)</f>
        <v>0</v>
      </c>
      <c r="AL353" s="37">
        <f>IF(AN353=21,K353,0)</f>
        <v>0</v>
      </c>
      <c r="AN353" s="37">
        <v>15</v>
      </c>
      <c r="AO353" s="37">
        <f>H353*0</f>
        <v>0</v>
      </c>
      <c r="AP353" s="37">
        <f>H353*(1-0)</f>
        <v>0</v>
      </c>
      <c r="AQ353" s="38" t="s">
        <v>80</v>
      </c>
      <c r="AV353" s="37">
        <f>AW353+AX353</f>
        <v>0</v>
      </c>
      <c r="AW353" s="37">
        <f>G353*AO353</f>
        <v>0</v>
      </c>
      <c r="AX353" s="37">
        <f>G353*AP353</f>
        <v>0</v>
      </c>
      <c r="AY353" s="38" t="s">
        <v>620</v>
      </c>
      <c r="AZ353" s="38" t="s">
        <v>279</v>
      </c>
      <c r="BA353" s="31" t="s">
        <v>56</v>
      </c>
      <c r="BC353" s="37">
        <f>AW353+AX353</f>
        <v>0</v>
      </c>
      <c r="BD353" s="37">
        <f>H353/(100-BE353)*100</f>
        <v>0</v>
      </c>
      <c r="BE353" s="37">
        <v>0</v>
      </c>
      <c r="BF353" s="37">
        <f>353</f>
        <v>353</v>
      </c>
      <c r="BH353" s="37">
        <f>G353*AO353</f>
        <v>0</v>
      </c>
      <c r="BI353" s="37">
        <f>G353*AP353</f>
        <v>0</v>
      </c>
      <c r="BJ353" s="37">
        <f>G353*H353</f>
        <v>0</v>
      </c>
    </row>
    <row r="354" spans="3:7" ht="12.75">
      <c r="C354" s="39" t="s">
        <v>675</v>
      </c>
      <c r="D354" s="39"/>
      <c r="E354" s="39"/>
      <c r="G354" s="40">
        <v>140</v>
      </c>
    </row>
    <row r="355" spans="1:62" ht="12.75">
      <c r="A355" s="10" t="s">
        <v>676</v>
      </c>
      <c r="B355" s="10" t="s">
        <v>677</v>
      </c>
      <c r="C355" s="10" t="s">
        <v>678</v>
      </c>
      <c r="D355" s="10"/>
      <c r="E355" s="10"/>
      <c r="F355" s="10" t="s">
        <v>167</v>
      </c>
      <c r="G355" s="37">
        <v>14</v>
      </c>
      <c r="H355" s="37">
        <v>0</v>
      </c>
      <c r="I355" s="37">
        <f>G355*AO355</f>
        <v>0</v>
      </c>
      <c r="J355" s="37">
        <f>G355*AP355</f>
        <v>0</v>
      </c>
      <c r="K355" s="37">
        <f>G355*H355</f>
        <v>0</v>
      </c>
      <c r="L355" s="38" t="s">
        <v>99</v>
      </c>
      <c r="Z355" s="37">
        <f>IF(AQ355="5",BJ355,0)</f>
        <v>0</v>
      </c>
      <c r="AB355" s="37">
        <f>IF(AQ355="1",BH355,0)</f>
        <v>0</v>
      </c>
      <c r="AC355" s="37">
        <f>IF(AQ355="1",BI355,0)</f>
        <v>0</v>
      </c>
      <c r="AD355" s="37">
        <f>IF(AQ355="7",BH355,0)</f>
        <v>0</v>
      </c>
      <c r="AE355" s="37">
        <f>IF(AQ355="7",BI355,0)</f>
        <v>0</v>
      </c>
      <c r="AF355" s="37">
        <f>IF(AQ355="2",BH355,0)</f>
        <v>0</v>
      </c>
      <c r="AG355" s="37">
        <f>IF(AQ355="2",BI355,0)</f>
        <v>0</v>
      </c>
      <c r="AH355" s="37">
        <f>IF(AQ355="0",BJ355,0)</f>
        <v>0</v>
      </c>
      <c r="AI355" s="31"/>
      <c r="AJ355" s="37">
        <f>IF(AN355=0,K355,0)</f>
        <v>0</v>
      </c>
      <c r="AK355" s="37">
        <f>IF(AN355=15,K355,0)</f>
        <v>0</v>
      </c>
      <c r="AL355" s="37">
        <f>IF(AN355=21,K355,0)</f>
        <v>0</v>
      </c>
      <c r="AN355" s="37">
        <v>15</v>
      </c>
      <c r="AO355" s="37">
        <f>H355*0.384330202669303</f>
        <v>0</v>
      </c>
      <c r="AP355" s="37">
        <f>H355*(1-0.384330202669303)</f>
        <v>0</v>
      </c>
      <c r="AQ355" s="38" t="s">
        <v>80</v>
      </c>
      <c r="AV355" s="37">
        <f>AW355+AX355</f>
        <v>0</v>
      </c>
      <c r="AW355" s="37">
        <f>G355*AO355</f>
        <v>0</v>
      </c>
      <c r="AX355" s="37">
        <f>G355*AP355</f>
        <v>0</v>
      </c>
      <c r="AY355" s="38" t="s">
        <v>620</v>
      </c>
      <c r="AZ355" s="38" t="s">
        <v>279</v>
      </c>
      <c r="BA355" s="31" t="s">
        <v>56</v>
      </c>
      <c r="BC355" s="37">
        <f>AW355+AX355</f>
        <v>0</v>
      </c>
      <c r="BD355" s="37">
        <f>H355/(100-BE355)*100</f>
        <v>0</v>
      </c>
      <c r="BE355" s="37">
        <v>0</v>
      </c>
      <c r="BF355" s="37">
        <f>355</f>
        <v>355</v>
      </c>
      <c r="BH355" s="37">
        <f>G355*AO355</f>
        <v>0</v>
      </c>
      <c r="BI355" s="37">
        <f>G355*AP355</f>
        <v>0</v>
      </c>
      <c r="BJ355" s="37">
        <f>G355*H355</f>
        <v>0</v>
      </c>
    </row>
    <row r="356" spans="3:7" ht="12.75">
      <c r="C356" s="39" t="s">
        <v>679</v>
      </c>
      <c r="D356" s="39"/>
      <c r="E356" s="39"/>
      <c r="G356" s="40">
        <v>14</v>
      </c>
    </row>
    <row r="357" spans="1:62" ht="12.75">
      <c r="A357" s="10" t="s">
        <v>680</v>
      </c>
      <c r="B357" s="10" t="s">
        <v>681</v>
      </c>
      <c r="C357" s="10" t="s">
        <v>682</v>
      </c>
      <c r="D357" s="10"/>
      <c r="E357" s="10"/>
      <c r="F357" s="10" t="s">
        <v>145</v>
      </c>
      <c r="G357" s="37">
        <v>12.645</v>
      </c>
      <c r="H357" s="37">
        <v>0</v>
      </c>
      <c r="I357" s="37">
        <f>G357*AO357</f>
        <v>0</v>
      </c>
      <c r="J357" s="37">
        <f>G357*AP357</f>
        <v>0</v>
      </c>
      <c r="K357" s="37">
        <f>G357*H357</f>
        <v>0</v>
      </c>
      <c r="L357" s="38" t="s">
        <v>54</v>
      </c>
      <c r="Z357" s="37">
        <f>IF(AQ357="5",BJ357,0)</f>
        <v>0</v>
      </c>
      <c r="AB357" s="37">
        <f>IF(AQ357="1",BH357,0)</f>
        <v>0</v>
      </c>
      <c r="AC357" s="37">
        <f>IF(AQ357="1",BI357,0)</f>
        <v>0</v>
      </c>
      <c r="AD357" s="37">
        <f>IF(AQ357="7",BH357,0)</f>
        <v>0</v>
      </c>
      <c r="AE357" s="37">
        <f>IF(AQ357="7",BI357,0)</f>
        <v>0</v>
      </c>
      <c r="AF357" s="37">
        <f>IF(AQ357="2",BH357,0)</f>
        <v>0</v>
      </c>
      <c r="AG357" s="37">
        <f>IF(AQ357="2",BI357,0)</f>
        <v>0</v>
      </c>
      <c r="AH357" s="37">
        <f>IF(AQ357="0",BJ357,0)</f>
        <v>0</v>
      </c>
      <c r="AI357" s="31"/>
      <c r="AJ357" s="37">
        <f>IF(AN357=0,K357,0)</f>
        <v>0</v>
      </c>
      <c r="AK357" s="37">
        <f>IF(AN357=15,K357,0)</f>
        <v>0</v>
      </c>
      <c r="AL357" s="37">
        <f>IF(AN357=21,K357,0)</f>
        <v>0</v>
      </c>
      <c r="AN357" s="37">
        <v>15</v>
      </c>
      <c r="AO357" s="37">
        <f>H357*0</f>
        <v>0</v>
      </c>
      <c r="AP357" s="37">
        <f>H357*(1-0)</f>
        <v>0</v>
      </c>
      <c r="AQ357" s="38" t="s">
        <v>68</v>
      </c>
      <c r="AV357" s="37">
        <f>AW357+AX357</f>
        <v>0</v>
      </c>
      <c r="AW357" s="37">
        <f>G357*AO357</f>
        <v>0</v>
      </c>
      <c r="AX357" s="37">
        <f>G357*AP357</f>
        <v>0</v>
      </c>
      <c r="AY357" s="38" t="s">
        <v>620</v>
      </c>
      <c r="AZ357" s="38" t="s">
        <v>279</v>
      </c>
      <c r="BA357" s="31" t="s">
        <v>56</v>
      </c>
      <c r="BC357" s="37">
        <f>AW357+AX357</f>
        <v>0</v>
      </c>
      <c r="BD357" s="37">
        <f>H357/(100-BE357)*100</f>
        <v>0</v>
      </c>
      <c r="BE357" s="37">
        <v>0</v>
      </c>
      <c r="BF357" s="37">
        <f>357</f>
        <v>357</v>
      </c>
      <c r="BH357" s="37">
        <f>G357*AO357</f>
        <v>0</v>
      </c>
      <c r="BI357" s="37">
        <f>G357*AP357</f>
        <v>0</v>
      </c>
      <c r="BJ357" s="37">
        <f>G357*H357</f>
        <v>0</v>
      </c>
    </row>
    <row r="358" spans="3:7" ht="12.75">
      <c r="C358" s="39" t="s">
        <v>683</v>
      </c>
      <c r="D358" s="39"/>
      <c r="E358" s="39"/>
      <c r="G358" s="40">
        <v>12.645</v>
      </c>
    </row>
    <row r="359" spans="1:47" ht="12.75">
      <c r="A359" s="41"/>
      <c r="B359" s="42" t="s">
        <v>684</v>
      </c>
      <c r="C359" s="42" t="s">
        <v>685</v>
      </c>
      <c r="D359" s="42"/>
      <c r="E359" s="42"/>
      <c r="F359" s="41" t="s">
        <v>4</v>
      </c>
      <c r="G359" s="41" t="s">
        <v>4</v>
      </c>
      <c r="H359" s="41" t="s">
        <v>4</v>
      </c>
      <c r="I359" s="36">
        <f>SUM(I360:I383)</f>
        <v>0</v>
      </c>
      <c r="J359" s="36">
        <f>SUM(J360:J383)</f>
        <v>0</v>
      </c>
      <c r="K359" s="36">
        <f>SUM(K360:K383)</f>
        <v>0</v>
      </c>
      <c r="L359" s="31"/>
      <c r="AI359" s="31"/>
      <c r="AS359" s="36">
        <f>SUM(AJ360:AJ383)</f>
        <v>0</v>
      </c>
      <c r="AT359" s="36">
        <f>SUM(AK360:AK383)</f>
        <v>0</v>
      </c>
      <c r="AU359" s="36">
        <f>SUM(AL360:AL383)</f>
        <v>0</v>
      </c>
    </row>
    <row r="360" spans="1:62" ht="12.75">
      <c r="A360" s="10" t="s">
        <v>686</v>
      </c>
      <c r="B360" s="10" t="s">
        <v>687</v>
      </c>
      <c r="C360" s="10" t="s">
        <v>688</v>
      </c>
      <c r="D360" s="10"/>
      <c r="E360" s="10"/>
      <c r="F360" s="10" t="s">
        <v>117</v>
      </c>
      <c r="G360" s="37">
        <v>196.64</v>
      </c>
      <c r="H360" s="37">
        <v>0</v>
      </c>
      <c r="I360" s="37">
        <f>G360*AO360</f>
        <v>0</v>
      </c>
      <c r="J360" s="37">
        <f>G360*AP360</f>
        <v>0</v>
      </c>
      <c r="K360" s="37">
        <f>G360*H360</f>
        <v>0</v>
      </c>
      <c r="L360" s="38" t="s">
        <v>54</v>
      </c>
      <c r="Z360" s="37">
        <f>IF(AQ360="5",BJ360,0)</f>
        <v>0</v>
      </c>
      <c r="AB360" s="37">
        <f>IF(AQ360="1",BH360,0)</f>
        <v>0</v>
      </c>
      <c r="AC360" s="37">
        <f>IF(AQ360="1",BI360,0)</f>
        <v>0</v>
      </c>
      <c r="AD360" s="37">
        <f>IF(AQ360="7",BH360,0)</f>
        <v>0</v>
      </c>
      <c r="AE360" s="37">
        <f>IF(AQ360="7",BI360,0)</f>
        <v>0</v>
      </c>
      <c r="AF360" s="37">
        <f>IF(AQ360="2",BH360,0)</f>
        <v>0</v>
      </c>
      <c r="AG360" s="37">
        <f>IF(AQ360="2",BI360,0)</f>
        <v>0</v>
      </c>
      <c r="AH360" s="37">
        <f>IF(AQ360="0",BJ360,0)</f>
        <v>0</v>
      </c>
      <c r="AI360" s="31"/>
      <c r="AJ360" s="37">
        <f>IF(AN360=0,K360,0)</f>
        <v>0</v>
      </c>
      <c r="AK360" s="37">
        <f>IF(AN360=15,K360,0)</f>
        <v>0</v>
      </c>
      <c r="AL360" s="37">
        <f>IF(AN360=21,K360,0)</f>
        <v>0</v>
      </c>
      <c r="AN360" s="37">
        <v>15</v>
      </c>
      <c r="AO360" s="37">
        <f>H360*0.16397976391231</f>
        <v>0</v>
      </c>
      <c r="AP360" s="37">
        <f>H360*(1-0.16397976391231)</f>
        <v>0</v>
      </c>
      <c r="AQ360" s="38" t="s">
        <v>80</v>
      </c>
      <c r="AV360" s="37">
        <f>AW360+AX360</f>
        <v>0</v>
      </c>
      <c r="AW360" s="37">
        <f>G360*AO360</f>
        <v>0</v>
      </c>
      <c r="AX360" s="37">
        <f>G360*AP360</f>
        <v>0</v>
      </c>
      <c r="AY360" s="38" t="s">
        <v>689</v>
      </c>
      <c r="AZ360" s="38" t="s">
        <v>690</v>
      </c>
      <c r="BA360" s="31" t="s">
        <v>56</v>
      </c>
      <c r="BC360" s="37">
        <f>AW360+AX360</f>
        <v>0</v>
      </c>
      <c r="BD360" s="37">
        <f>H360/(100-BE360)*100</f>
        <v>0</v>
      </c>
      <c r="BE360" s="37">
        <v>0</v>
      </c>
      <c r="BF360" s="37">
        <f>360</f>
        <v>360</v>
      </c>
      <c r="BH360" s="37">
        <f>G360*AO360</f>
        <v>0</v>
      </c>
      <c r="BI360" s="37">
        <f>G360*AP360</f>
        <v>0</v>
      </c>
      <c r="BJ360" s="37">
        <f>G360*H360</f>
        <v>0</v>
      </c>
    </row>
    <row r="361" spans="3:7" ht="12.75">
      <c r="C361" s="39" t="s">
        <v>691</v>
      </c>
      <c r="D361" s="39"/>
      <c r="E361" s="39"/>
      <c r="G361" s="40">
        <v>192.6</v>
      </c>
    </row>
    <row r="362" spans="3:7" ht="12.75">
      <c r="C362" s="39" t="s">
        <v>692</v>
      </c>
      <c r="D362" s="39"/>
      <c r="E362" s="39"/>
      <c r="G362" s="40">
        <v>4.04</v>
      </c>
    </row>
    <row r="363" spans="1:62" ht="12.75">
      <c r="A363" s="10" t="s">
        <v>693</v>
      </c>
      <c r="B363" s="10" t="s">
        <v>694</v>
      </c>
      <c r="C363" s="10" t="s">
        <v>695</v>
      </c>
      <c r="D363" s="10"/>
      <c r="E363" s="10"/>
      <c r="F363" s="10" t="s">
        <v>167</v>
      </c>
      <c r="G363" s="37">
        <v>267.41</v>
      </c>
      <c r="H363" s="37">
        <v>0</v>
      </c>
      <c r="I363" s="37">
        <f>G363*AO363</f>
        <v>0</v>
      </c>
      <c r="J363" s="37">
        <f>G363*AP363</f>
        <v>0</v>
      </c>
      <c r="K363" s="37">
        <f>G363*H363</f>
        <v>0</v>
      </c>
      <c r="L363" s="38" t="s">
        <v>54</v>
      </c>
      <c r="Z363" s="37">
        <f>IF(AQ363="5",BJ363,0)</f>
        <v>0</v>
      </c>
      <c r="AB363" s="37">
        <f>IF(AQ363="1",BH363,0)</f>
        <v>0</v>
      </c>
      <c r="AC363" s="37">
        <f>IF(AQ363="1",BI363,0)</f>
        <v>0</v>
      </c>
      <c r="AD363" s="37">
        <f>IF(AQ363="7",BH363,0)</f>
        <v>0</v>
      </c>
      <c r="AE363" s="37">
        <f>IF(AQ363="7",BI363,0)</f>
        <v>0</v>
      </c>
      <c r="AF363" s="37">
        <f>IF(AQ363="2",BH363,0)</f>
        <v>0</v>
      </c>
      <c r="AG363" s="37">
        <f>IF(AQ363="2",BI363,0)</f>
        <v>0</v>
      </c>
      <c r="AH363" s="37">
        <f>IF(AQ363="0",BJ363,0)</f>
        <v>0</v>
      </c>
      <c r="AI363" s="31"/>
      <c r="AJ363" s="37">
        <f>IF(AN363=0,K363,0)</f>
        <v>0</v>
      </c>
      <c r="AK363" s="37">
        <f>IF(AN363=15,K363,0)</f>
        <v>0</v>
      </c>
      <c r="AL363" s="37">
        <f>IF(AN363=21,K363,0)</f>
        <v>0</v>
      </c>
      <c r="AN363" s="37">
        <v>15</v>
      </c>
      <c r="AO363" s="37">
        <f>H363*0.0357201591120063</f>
        <v>0</v>
      </c>
      <c r="AP363" s="37">
        <f>H363*(1-0.0357201591120063)</f>
        <v>0</v>
      </c>
      <c r="AQ363" s="38" t="s">
        <v>80</v>
      </c>
      <c r="AV363" s="37">
        <f>AW363+AX363</f>
        <v>0</v>
      </c>
      <c r="AW363" s="37">
        <f>G363*AO363</f>
        <v>0</v>
      </c>
      <c r="AX363" s="37">
        <f>G363*AP363</f>
        <v>0</v>
      </c>
      <c r="AY363" s="38" t="s">
        <v>689</v>
      </c>
      <c r="AZ363" s="38" t="s">
        <v>690</v>
      </c>
      <c r="BA363" s="31" t="s">
        <v>56</v>
      </c>
      <c r="BC363" s="37">
        <f>AW363+AX363</f>
        <v>0</v>
      </c>
      <c r="BD363" s="37">
        <f>H363/(100-BE363)*100</f>
        <v>0</v>
      </c>
      <c r="BE363" s="37">
        <v>0</v>
      </c>
      <c r="BF363" s="37">
        <f>363</f>
        <v>363</v>
      </c>
      <c r="BH363" s="37">
        <f>G363*AO363</f>
        <v>0</v>
      </c>
      <c r="BI363" s="37">
        <f>G363*AP363</f>
        <v>0</v>
      </c>
      <c r="BJ363" s="37">
        <f>G363*H363</f>
        <v>0</v>
      </c>
    </row>
    <row r="364" spans="3:7" ht="12.75">
      <c r="C364" s="39" t="s">
        <v>696</v>
      </c>
      <c r="D364" s="39"/>
      <c r="E364" s="39"/>
      <c r="G364" s="40">
        <v>120.96</v>
      </c>
    </row>
    <row r="365" spans="3:7" ht="12.75">
      <c r="C365" s="39" t="s">
        <v>697</v>
      </c>
      <c r="D365" s="39"/>
      <c r="E365" s="39"/>
      <c r="G365" s="40">
        <v>145.2</v>
      </c>
    </row>
    <row r="366" spans="3:7" ht="12.75">
      <c r="C366" s="39" t="s">
        <v>698</v>
      </c>
      <c r="D366" s="39"/>
      <c r="E366" s="39"/>
      <c r="G366" s="40">
        <v>-3.6</v>
      </c>
    </row>
    <row r="367" spans="3:7" ht="12.75">
      <c r="C367" s="39" t="s">
        <v>699</v>
      </c>
      <c r="D367" s="39"/>
      <c r="E367" s="39"/>
      <c r="G367" s="40">
        <v>2.65</v>
      </c>
    </row>
    <row r="368" spans="3:7" ht="12.75">
      <c r="C368" s="39" t="s">
        <v>700</v>
      </c>
      <c r="D368" s="39"/>
      <c r="E368" s="39"/>
      <c r="G368" s="40">
        <v>2.2</v>
      </c>
    </row>
    <row r="369" spans="1:62" ht="12.75">
      <c r="A369" s="10" t="s">
        <v>701</v>
      </c>
      <c r="B369" s="10" t="s">
        <v>702</v>
      </c>
      <c r="C369" s="10" t="s">
        <v>703</v>
      </c>
      <c r="D369" s="10"/>
      <c r="E369" s="10"/>
      <c r="F369" s="10" t="s">
        <v>117</v>
      </c>
      <c r="G369" s="37">
        <v>236.7828</v>
      </c>
      <c r="H369" s="37">
        <v>0</v>
      </c>
      <c r="I369" s="37">
        <f>G369*AO369</f>
        <v>0</v>
      </c>
      <c r="J369" s="37">
        <f>G369*AP369</f>
        <v>0</v>
      </c>
      <c r="K369" s="37">
        <f>G369*H369</f>
        <v>0</v>
      </c>
      <c r="L369" s="38" t="s">
        <v>54</v>
      </c>
      <c r="Z369" s="37">
        <f>IF(AQ369="5",BJ369,0)</f>
        <v>0</v>
      </c>
      <c r="AB369" s="37">
        <f>IF(AQ369="1",BH369,0)</f>
        <v>0</v>
      </c>
      <c r="AC369" s="37">
        <f>IF(AQ369="1",BI369,0)</f>
        <v>0</v>
      </c>
      <c r="AD369" s="37">
        <f>IF(AQ369="7",BH369,0)</f>
        <v>0</v>
      </c>
      <c r="AE369" s="37">
        <f>IF(AQ369="7",BI369,0)</f>
        <v>0</v>
      </c>
      <c r="AF369" s="37">
        <f>IF(AQ369="2",BH369,0)</f>
        <v>0</v>
      </c>
      <c r="AG369" s="37">
        <f>IF(AQ369="2",BI369,0)</f>
        <v>0</v>
      </c>
      <c r="AH369" s="37">
        <f>IF(AQ369="0",BJ369,0)</f>
        <v>0</v>
      </c>
      <c r="AI369" s="31"/>
      <c r="AJ369" s="37">
        <f>IF(AN369=0,K369,0)</f>
        <v>0</v>
      </c>
      <c r="AK369" s="37">
        <f>IF(AN369=15,K369,0)</f>
        <v>0</v>
      </c>
      <c r="AL369" s="37">
        <f>IF(AN369=21,K369,0)</f>
        <v>0</v>
      </c>
      <c r="AN369" s="37">
        <v>15</v>
      </c>
      <c r="AO369" s="37">
        <f>H369*1</f>
        <v>0</v>
      </c>
      <c r="AP369" s="37">
        <f>H369*(1-1)</f>
        <v>0</v>
      </c>
      <c r="AQ369" s="38" t="s">
        <v>80</v>
      </c>
      <c r="AV369" s="37">
        <f>AW369+AX369</f>
        <v>0</v>
      </c>
      <c r="AW369" s="37">
        <f>G369*AO369</f>
        <v>0</v>
      </c>
      <c r="AX369" s="37">
        <f>G369*AP369</f>
        <v>0</v>
      </c>
      <c r="AY369" s="38" t="s">
        <v>689</v>
      </c>
      <c r="AZ369" s="38" t="s">
        <v>690</v>
      </c>
      <c r="BA369" s="31" t="s">
        <v>56</v>
      </c>
      <c r="BC369" s="37">
        <f>AW369+AX369</f>
        <v>0</v>
      </c>
      <c r="BD369" s="37">
        <f>H369/(100-BE369)*100</f>
        <v>0</v>
      </c>
      <c r="BE369" s="37">
        <v>0</v>
      </c>
      <c r="BF369" s="37">
        <f>369</f>
        <v>369</v>
      </c>
      <c r="BH369" s="37">
        <f>G369*AO369</f>
        <v>0</v>
      </c>
      <c r="BI369" s="37">
        <f>G369*AP369</f>
        <v>0</v>
      </c>
      <c r="BJ369" s="37">
        <f>G369*H369</f>
        <v>0</v>
      </c>
    </row>
    <row r="370" spans="3:7" ht="12.75">
      <c r="C370" s="39" t="s">
        <v>704</v>
      </c>
      <c r="D370" s="39"/>
      <c r="E370" s="39"/>
      <c r="G370" s="40">
        <v>26.74</v>
      </c>
    </row>
    <row r="371" spans="3:7" ht="12.75">
      <c r="C371" s="39" t="s">
        <v>705</v>
      </c>
      <c r="D371" s="39"/>
      <c r="E371" s="39"/>
      <c r="G371" s="40">
        <v>196.64</v>
      </c>
    </row>
    <row r="372" spans="3:7" ht="12.75">
      <c r="C372" s="39" t="s">
        <v>706</v>
      </c>
      <c r="D372" s="39"/>
      <c r="E372" s="39"/>
      <c r="G372" s="40">
        <v>13.4028</v>
      </c>
    </row>
    <row r="373" spans="1:62" ht="12.75">
      <c r="A373" s="10" t="s">
        <v>707</v>
      </c>
      <c r="B373" s="10" t="s">
        <v>708</v>
      </c>
      <c r="C373" s="10" t="s">
        <v>709</v>
      </c>
      <c r="D373" s="10"/>
      <c r="E373" s="10"/>
      <c r="F373" s="10" t="s">
        <v>167</v>
      </c>
      <c r="G373" s="37">
        <v>1.96</v>
      </c>
      <c r="H373" s="37">
        <v>0</v>
      </c>
      <c r="I373" s="37">
        <f>G373*AO373</f>
        <v>0</v>
      </c>
      <c r="J373" s="37">
        <f>G373*AP373</f>
        <v>0</v>
      </c>
      <c r="K373" s="37">
        <f>G373*H373</f>
        <v>0</v>
      </c>
      <c r="L373" s="38" t="s">
        <v>54</v>
      </c>
      <c r="Z373" s="37">
        <f>IF(AQ373="5",BJ373,0)</f>
        <v>0</v>
      </c>
      <c r="AB373" s="37">
        <f>IF(AQ373="1",BH373,0)</f>
        <v>0</v>
      </c>
      <c r="AC373" s="37">
        <f>IF(AQ373="1",BI373,0)</f>
        <v>0</v>
      </c>
      <c r="AD373" s="37">
        <f>IF(AQ373="7",BH373,0)</f>
        <v>0</v>
      </c>
      <c r="AE373" s="37">
        <f>IF(AQ373="7",BI373,0)</f>
        <v>0</v>
      </c>
      <c r="AF373" s="37">
        <f>IF(AQ373="2",BH373,0)</f>
        <v>0</v>
      </c>
      <c r="AG373" s="37">
        <f>IF(AQ373="2",BI373,0)</f>
        <v>0</v>
      </c>
      <c r="AH373" s="37">
        <f>IF(AQ373="0",BJ373,0)</f>
        <v>0</v>
      </c>
      <c r="AI373" s="31"/>
      <c r="AJ373" s="37">
        <f>IF(AN373=0,K373,0)</f>
        <v>0</v>
      </c>
      <c r="AK373" s="37">
        <f>IF(AN373=15,K373,0)</f>
        <v>0</v>
      </c>
      <c r="AL373" s="37">
        <f>IF(AN373=21,K373,0)</f>
        <v>0</v>
      </c>
      <c r="AN373" s="37">
        <v>15</v>
      </c>
      <c r="AO373" s="37">
        <f>H373*0.245242718446602</f>
        <v>0</v>
      </c>
      <c r="AP373" s="37">
        <f>H373*(1-0.245242718446602)</f>
        <v>0</v>
      </c>
      <c r="AQ373" s="38" t="s">
        <v>80</v>
      </c>
      <c r="AV373" s="37">
        <f>AW373+AX373</f>
        <v>0</v>
      </c>
      <c r="AW373" s="37">
        <f>G373*AO373</f>
        <v>0</v>
      </c>
      <c r="AX373" s="37">
        <f>G373*AP373</f>
        <v>0</v>
      </c>
      <c r="AY373" s="38" t="s">
        <v>689</v>
      </c>
      <c r="AZ373" s="38" t="s">
        <v>690</v>
      </c>
      <c r="BA373" s="31" t="s">
        <v>56</v>
      </c>
      <c r="BC373" s="37">
        <f>AW373+AX373</f>
        <v>0</v>
      </c>
      <c r="BD373" s="37">
        <f>H373/(100-BE373)*100</f>
        <v>0</v>
      </c>
      <c r="BE373" s="37">
        <v>0</v>
      </c>
      <c r="BF373" s="37">
        <f>373</f>
        <v>373</v>
      </c>
      <c r="BH373" s="37">
        <f>G373*AO373</f>
        <v>0</v>
      </c>
      <c r="BI373" s="37">
        <f>G373*AP373</f>
        <v>0</v>
      </c>
      <c r="BJ373" s="37">
        <f>G373*H373</f>
        <v>0</v>
      </c>
    </row>
    <row r="374" spans="3:7" ht="12.75">
      <c r="C374" s="39" t="s">
        <v>710</v>
      </c>
      <c r="D374" s="39"/>
      <c r="E374" s="39"/>
      <c r="G374" s="40">
        <v>1.96</v>
      </c>
    </row>
    <row r="375" spans="1:62" ht="12.75">
      <c r="A375" s="10" t="s">
        <v>711</v>
      </c>
      <c r="B375" s="10" t="s">
        <v>712</v>
      </c>
      <c r="C375" s="10" t="s">
        <v>713</v>
      </c>
      <c r="D375" s="10"/>
      <c r="E375" s="10"/>
      <c r="F375" s="10" t="s">
        <v>117</v>
      </c>
      <c r="G375" s="37">
        <v>2.1168</v>
      </c>
      <c r="H375" s="37">
        <v>0</v>
      </c>
      <c r="I375" s="37">
        <f>G375*AO375</f>
        <v>0</v>
      </c>
      <c r="J375" s="37">
        <f>G375*AP375</f>
        <v>0</v>
      </c>
      <c r="K375" s="37">
        <f>G375*H375</f>
        <v>0</v>
      </c>
      <c r="L375" s="38" t="s">
        <v>54</v>
      </c>
      <c r="Z375" s="37">
        <f>IF(AQ375="5",BJ375,0)</f>
        <v>0</v>
      </c>
      <c r="AB375" s="37">
        <f>IF(AQ375="1",BH375,0)</f>
        <v>0</v>
      </c>
      <c r="AC375" s="37">
        <f>IF(AQ375="1",BI375,0)</f>
        <v>0</v>
      </c>
      <c r="AD375" s="37">
        <f>IF(AQ375="7",BH375,0)</f>
        <v>0</v>
      </c>
      <c r="AE375" s="37">
        <f>IF(AQ375="7",BI375,0)</f>
        <v>0</v>
      </c>
      <c r="AF375" s="37">
        <f>IF(AQ375="2",BH375,0)</f>
        <v>0</v>
      </c>
      <c r="AG375" s="37">
        <f>IF(AQ375="2",BI375,0)</f>
        <v>0</v>
      </c>
      <c r="AH375" s="37">
        <f>IF(AQ375="0",BJ375,0)</f>
        <v>0</v>
      </c>
      <c r="AI375" s="31"/>
      <c r="AJ375" s="37">
        <f>IF(AN375=0,K375,0)</f>
        <v>0</v>
      </c>
      <c r="AK375" s="37">
        <f>IF(AN375=15,K375,0)</f>
        <v>0</v>
      </c>
      <c r="AL375" s="37">
        <f>IF(AN375=21,K375,0)</f>
        <v>0</v>
      </c>
      <c r="AN375" s="37">
        <v>15</v>
      </c>
      <c r="AO375" s="37">
        <f>H375*1</f>
        <v>0</v>
      </c>
      <c r="AP375" s="37">
        <f>H375*(1-1)</f>
        <v>0</v>
      </c>
      <c r="AQ375" s="38" t="s">
        <v>80</v>
      </c>
      <c r="AV375" s="37">
        <f>AW375+AX375</f>
        <v>0</v>
      </c>
      <c r="AW375" s="37">
        <f>G375*AO375</f>
        <v>0</v>
      </c>
      <c r="AX375" s="37">
        <f>G375*AP375</f>
        <v>0</v>
      </c>
      <c r="AY375" s="38" t="s">
        <v>689</v>
      </c>
      <c r="AZ375" s="38" t="s">
        <v>690</v>
      </c>
      <c r="BA375" s="31" t="s">
        <v>56</v>
      </c>
      <c r="BC375" s="37">
        <f>AW375+AX375</f>
        <v>0</v>
      </c>
      <c r="BD375" s="37">
        <f>H375/(100-BE375)*100</f>
        <v>0</v>
      </c>
      <c r="BE375" s="37">
        <v>0</v>
      </c>
      <c r="BF375" s="37">
        <f>375</f>
        <v>375</v>
      </c>
      <c r="BH375" s="37">
        <f>G375*AO375</f>
        <v>0</v>
      </c>
      <c r="BI375" s="37">
        <f>G375*AP375</f>
        <v>0</v>
      </c>
      <c r="BJ375" s="37">
        <f>G375*H375</f>
        <v>0</v>
      </c>
    </row>
    <row r="376" spans="3:7" ht="12.75">
      <c r="C376" s="39" t="s">
        <v>714</v>
      </c>
      <c r="D376" s="39"/>
      <c r="E376" s="39"/>
      <c r="G376" s="40">
        <v>1.96</v>
      </c>
    </row>
    <row r="377" spans="3:7" ht="12.75">
      <c r="C377" s="39" t="s">
        <v>715</v>
      </c>
      <c r="D377" s="39"/>
      <c r="E377" s="39"/>
      <c r="G377" s="40">
        <v>0.1568</v>
      </c>
    </row>
    <row r="378" spans="1:62" ht="12.75">
      <c r="A378" s="10" t="s">
        <v>716</v>
      </c>
      <c r="B378" s="10" t="s">
        <v>717</v>
      </c>
      <c r="C378" s="10" t="s">
        <v>718</v>
      </c>
      <c r="D378" s="10"/>
      <c r="E378" s="10"/>
      <c r="F378" s="10" t="s">
        <v>167</v>
      </c>
      <c r="G378" s="37">
        <v>22.2</v>
      </c>
      <c r="H378" s="37">
        <v>0</v>
      </c>
      <c r="I378" s="37">
        <f>G378*AO378</f>
        <v>0</v>
      </c>
      <c r="J378" s="37">
        <f>G378*AP378</f>
        <v>0</v>
      </c>
      <c r="K378" s="37">
        <f>G378*H378</f>
        <v>0</v>
      </c>
      <c r="L378" s="38" t="s">
        <v>54</v>
      </c>
      <c r="Z378" s="37">
        <f>IF(AQ378="5",BJ378,0)</f>
        <v>0</v>
      </c>
      <c r="AB378" s="37">
        <f>IF(AQ378="1",BH378,0)</f>
        <v>0</v>
      </c>
      <c r="AC378" s="37">
        <f>IF(AQ378="1",BI378,0)</f>
        <v>0</v>
      </c>
      <c r="AD378" s="37">
        <f>IF(AQ378="7",BH378,0)</f>
        <v>0</v>
      </c>
      <c r="AE378" s="37">
        <f>IF(AQ378="7",BI378,0)</f>
        <v>0</v>
      </c>
      <c r="AF378" s="37">
        <f>IF(AQ378="2",BH378,0)</f>
        <v>0</v>
      </c>
      <c r="AG378" s="37">
        <f>IF(AQ378="2",BI378,0)</f>
        <v>0</v>
      </c>
      <c r="AH378" s="37">
        <f>IF(AQ378="0",BJ378,0)</f>
        <v>0</v>
      </c>
      <c r="AI378" s="31"/>
      <c r="AJ378" s="37">
        <f>IF(AN378=0,K378,0)</f>
        <v>0</v>
      </c>
      <c r="AK378" s="37">
        <f>IF(AN378=15,K378,0)</f>
        <v>0</v>
      </c>
      <c r="AL378" s="37">
        <f>IF(AN378=21,K378,0)</f>
        <v>0</v>
      </c>
      <c r="AN378" s="37">
        <v>15</v>
      </c>
      <c r="AO378" s="37">
        <f>H378*0.394982368289704</f>
        <v>0</v>
      </c>
      <c r="AP378" s="37">
        <f>H378*(1-0.394982368289704)</f>
        <v>0</v>
      </c>
      <c r="AQ378" s="38" t="s">
        <v>80</v>
      </c>
      <c r="AV378" s="37">
        <f>AW378+AX378</f>
        <v>0</v>
      </c>
      <c r="AW378" s="37">
        <f>G378*AO378</f>
        <v>0</v>
      </c>
      <c r="AX378" s="37">
        <f>G378*AP378</f>
        <v>0</v>
      </c>
      <c r="AY378" s="38" t="s">
        <v>689</v>
      </c>
      <c r="AZ378" s="38" t="s">
        <v>690</v>
      </c>
      <c r="BA378" s="31" t="s">
        <v>56</v>
      </c>
      <c r="BC378" s="37">
        <f>AW378+AX378</f>
        <v>0</v>
      </c>
      <c r="BD378" s="37">
        <f>H378/(100-BE378)*100</f>
        <v>0</v>
      </c>
      <c r="BE378" s="37">
        <v>0</v>
      </c>
      <c r="BF378" s="37">
        <f>378</f>
        <v>378</v>
      </c>
      <c r="BH378" s="37">
        <f>G378*AO378</f>
        <v>0</v>
      </c>
      <c r="BI378" s="37">
        <f>G378*AP378</f>
        <v>0</v>
      </c>
      <c r="BJ378" s="37">
        <f>G378*H378</f>
        <v>0</v>
      </c>
    </row>
    <row r="379" spans="3:7" ht="12.75">
      <c r="C379" s="39" t="s">
        <v>719</v>
      </c>
      <c r="D379" s="39"/>
      <c r="E379" s="39"/>
      <c r="G379" s="40">
        <v>22.2</v>
      </c>
    </row>
    <row r="380" spans="1:62" ht="12.75">
      <c r="A380" s="10" t="s">
        <v>720</v>
      </c>
      <c r="B380" s="10" t="s">
        <v>721</v>
      </c>
      <c r="C380" s="10" t="s">
        <v>722</v>
      </c>
      <c r="D380" s="10"/>
      <c r="E380" s="10"/>
      <c r="F380" s="10" t="s">
        <v>117</v>
      </c>
      <c r="G380" s="37">
        <v>23.976</v>
      </c>
      <c r="H380" s="37">
        <v>0</v>
      </c>
      <c r="I380" s="37">
        <f>G380*AO380</f>
        <v>0</v>
      </c>
      <c r="J380" s="37">
        <f>G380*AP380</f>
        <v>0</v>
      </c>
      <c r="K380" s="37">
        <f>G380*H380</f>
        <v>0</v>
      </c>
      <c r="L380" s="38" t="s">
        <v>54</v>
      </c>
      <c r="Z380" s="37">
        <f>IF(AQ380="5",BJ380,0)</f>
        <v>0</v>
      </c>
      <c r="AB380" s="37">
        <f>IF(AQ380="1",BH380,0)</f>
        <v>0</v>
      </c>
      <c r="AC380" s="37">
        <f>IF(AQ380="1",BI380,0)</f>
        <v>0</v>
      </c>
      <c r="AD380" s="37">
        <f>IF(AQ380="7",BH380,0)</f>
        <v>0</v>
      </c>
      <c r="AE380" s="37">
        <f>IF(AQ380="7",BI380,0)</f>
        <v>0</v>
      </c>
      <c r="AF380" s="37">
        <f>IF(AQ380="2",BH380,0)</f>
        <v>0</v>
      </c>
      <c r="AG380" s="37">
        <f>IF(AQ380="2",BI380,0)</f>
        <v>0</v>
      </c>
      <c r="AH380" s="37">
        <f>IF(AQ380="0",BJ380,0)</f>
        <v>0</v>
      </c>
      <c r="AI380" s="31"/>
      <c r="AJ380" s="37">
        <f>IF(AN380=0,K380,0)</f>
        <v>0</v>
      </c>
      <c r="AK380" s="37">
        <f>IF(AN380=15,K380,0)</f>
        <v>0</v>
      </c>
      <c r="AL380" s="37">
        <f>IF(AN380=21,K380,0)</f>
        <v>0</v>
      </c>
      <c r="AN380" s="37">
        <v>15</v>
      </c>
      <c r="AO380" s="37">
        <f>H380*1</f>
        <v>0</v>
      </c>
      <c r="AP380" s="37">
        <f>H380*(1-1)</f>
        <v>0</v>
      </c>
      <c r="AQ380" s="38" t="s">
        <v>80</v>
      </c>
      <c r="AV380" s="37">
        <f>AW380+AX380</f>
        <v>0</v>
      </c>
      <c r="AW380" s="37">
        <f>G380*AO380</f>
        <v>0</v>
      </c>
      <c r="AX380" s="37">
        <f>G380*AP380</f>
        <v>0</v>
      </c>
      <c r="AY380" s="38" t="s">
        <v>689</v>
      </c>
      <c r="AZ380" s="38" t="s">
        <v>690</v>
      </c>
      <c r="BA380" s="31" t="s">
        <v>56</v>
      </c>
      <c r="BC380" s="37">
        <f>AW380+AX380</f>
        <v>0</v>
      </c>
      <c r="BD380" s="37">
        <f>H380/(100-BE380)*100</f>
        <v>0</v>
      </c>
      <c r="BE380" s="37">
        <v>0</v>
      </c>
      <c r="BF380" s="37">
        <f>380</f>
        <v>380</v>
      </c>
      <c r="BH380" s="37">
        <f>G380*AO380</f>
        <v>0</v>
      </c>
      <c r="BI380" s="37">
        <f>G380*AP380</f>
        <v>0</v>
      </c>
      <c r="BJ380" s="37">
        <f>G380*H380</f>
        <v>0</v>
      </c>
    </row>
    <row r="381" spans="3:7" ht="12.75">
      <c r="C381" s="39" t="s">
        <v>723</v>
      </c>
      <c r="D381" s="39"/>
      <c r="E381" s="39"/>
      <c r="G381" s="40">
        <v>22.2</v>
      </c>
    </row>
    <row r="382" spans="3:7" ht="12.75">
      <c r="C382" s="39" t="s">
        <v>724</v>
      </c>
      <c r="D382" s="39"/>
      <c r="E382" s="39"/>
      <c r="G382" s="40">
        <v>1.776</v>
      </c>
    </row>
    <row r="383" spans="1:62" ht="12.75">
      <c r="A383" s="10" t="s">
        <v>725</v>
      </c>
      <c r="B383" s="10" t="s">
        <v>726</v>
      </c>
      <c r="C383" s="10" t="s">
        <v>727</v>
      </c>
      <c r="D383" s="10"/>
      <c r="E383" s="10"/>
      <c r="F383" s="10" t="s">
        <v>145</v>
      </c>
      <c r="G383" s="37">
        <v>7.215</v>
      </c>
      <c r="H383" s="37">
        <v>0</v>
      </c>
      <c r="I383" s="37">
        <f>G383*AO383</f>
        <v>0</v>
      </c>
      <c r="J383" s="37">
        <f>G383*AP383</f>
        <v>0</v>
      </c>
      <c r="K383" s="37">
        <f>G383*H383</f>
        <v>0</v>
      </c>
      <c r="L383" s="38" t="s">
        <v>54</v>
      </c>
      <c r="Z383" s="37">
        <f>IF(AQ383="5",BJ383,0)</f>
        <v>0</v>
      </c>
      <c r="AB383" s="37">
        <f>IF(AQ383="1",BH383,0)</f>
        <v>0</v>
      </c>
      <c r="AC383" s="37">
        <f>IF(AQ383="1",BI383,0)</f>
        <v>0</v>
      </c>
      <c r="AD383" s="37">
        <f>IF(AQ383="7",BH383,0)</f>
        <v>0</v>
      </c>
      <c r="AE383" s="37">
        <f>IF(AQ383="7",BI383,0)</f>
        <v>0</v>
      </c>
      <c r="AF383" s="37">
        <f>IF(AQ383="2",BH383,0)</f>
        <v>0</v>
      </c>
      <c r="AG383" s="37">
        <f>IF(AQ383="2",BI383,0)</f>
        <v>0</v>
      </c>
      <c r="AH383" s="37">
        <f>IF(AQ383="0",BJ383,0)</f>
        <v>0</v>
      </c>
      <c r="AI383" s="31"/>
      <c r="AJ383" s="37">
        <f>IF(AN383=0,K383,0)</f>
        <v>0</v>
      </c>
      <c r="AK383" s="37">
        <f>IF(AN383=15,K383,0)</f>
        <v>0</v>
      </c>
      <c r="AL383" s="37">
        <f>IF(AN383=21,K383,0)</f>
        <v>0</v>
      </c>
      <c r="AN383" s="37">
        <v>15</v>
      </c>
      <c r="AO383" s="37">
        <f>H383*0</f>
        <v>0</v>
      </c>
      <c r="AP383" s="37">
        <f>H383*(1-0)</f>
        <v>0</v>
      </c>
      <c r="AQ383" s="38" t="s">
        <v>68</v>
      </c>
      <c r="AV383" s="37">
        <f>AW383+AX383</f>
        <v>0</v>
      </c>
      <c r="AW383" s="37">
        <f>G383*AO383</f>
        <v>0</v>
      </c>
      <c r="AX383" s="37">
        <f>G383*AP383</f>
        <v>0</v>
      </c>
      <c r="AY383" s="38" t="s">
        <v>689</v>
      </c>
      <c r="AZ383" s="38" t="s">
        <v>690</v>
      </c>
      <c r="BA383" s="31" t="s">
        <v>56</v>
      </c>
      <c r="BC383" s="37">
        <f>AW383+AX383</f>
        <v>0</v>
      </c>
      <c r="BD383" s="37">
        <f>H383/(100-BE383)*100</f>
        <v>0</v>
      </c>
      <c r="BE383" s="37">
        <v>0</v>
      </c>
      <c r="BF383" s="37">
        <f>383</f>
        <v>383</v>
      </c>
      <c r="BH383" s="37">
        <f>G383*AO383</f>
        <v>0</v>
      </c>
      <c r="BI383" s="37">
        <f>G383*AP383</f>
        <v>0</v>
      </c>
      <c r="BJ383" s="37">
        <f>G383*H383</f>
        <v>0</v>
      </c>
    </row>
    <row r="384" spans="3:7" ht="12.75">
      <c r="C384" s="39" t="s">
        <v>728</v>
      </c>
      <c r="D384" s="39"/>
      <c r="E384" s="39"/>
      <c r="G384" s="40">
        <v>7.215</v>
      </c>
    </row>
    <row r="385" spans="1:47" ht="12.75">
      <c r="A385" s="41"/>
      <c r="B385" s="42" t="s">
        <v>729</v>
      </c>
      <c r="C385" s="42" t="s">
        <v>730</v>
      </c>
      <c r="D385" s="42"/>
      <c r="E385" s="42"/>
      <c r="F385" s="41" t="s">
        <v>4</v>
      </c>
      <c r="G385" s="41" t="s">
        <v>4</v>
      </c>
      <c r="H385" s="41" t="s">
        <v>4</v>
      </c>
      <c r="I385" s="36">
        <f>SUM(I386:I391)</f>
        <v>0</v>
      </c>
      <c r="J385" s="36">
        <f>SUM(J386:J391)</f>
        <v>0</v>
      </c>
      <c r="K385" s="36">
        <f>SUM(K386:K391)</f>
        <v>0</v>
      </c>
      <c r="L385" s="31"/>
      <c r="AI385" s="31"/>
      <c r="AS385" s="36">
        <f>SUM(AJ386:AJ391)</f>
        <v>0</v>
      </c>
      <c r="AT385" s="36">
        <f>SUM(AK386:AK391)</f>
        <v>0</v>
      </c>
      <c r="AU385" s="36">
        <f>SUM(AL386:AL391)</f>
        <v>0</v>
      </c>
    </row>
    <row r="386" spans="1:62" ht="12.75">
      <c r="A386" s="10" t="s">
        <v>731</v>
      </c>
      <c r="B386" s="10" t="s">
        <v>732</v>
      </c>
      <c r="C386" s="10" t="s">
        <v>733</v>
      </c>
      <c r="D386" s="10"/>
      <c r="E386" s="10"/>
      <c r="F386" s="10" t="s">
        <v>117</v>
      </c>
      <c r="G386" s="37">
        <v>6.025</v>
      </c>
      <c r="H386" s="37">
        <v>0</v>
      </c>
      <c r="I386" s="37">
        <f>G386*AO386</f>
        <v>0</v>
      </c>
      <c r="J386" s="37">
        <f>G386*AP386</f>
        <v>0</v>
      </c>
      <c r="K386" s="37">
        <f>G386*H386</f>
        <v>0</v>
      </c>
      <c r="L386" s="38" t="s">
        <v>54</v>
      </c>
      <c r="Z386" s="37">
        <f>IF(AQ386="5",BJ386,0)</f>
        <v>0</v>
      </c>
      <c r="AB386" s="37">
        <f>IF(AQ386="1",BH386,0)</f>
        <v>0</v>
      </c>
      <c r="AC386" s="37">
        <f>IF(AQ386="1",BI386,0)</f>
        <v>0</v>
      </c>
      <c r="AD386" s="37">
        <f>IF(AQ386="7",BH386,0)</f>
        <v>0</v>
      </c>
      <c r="AE386" s="37">
        <f>IF(AQ386="7",BI386,0)</f>
        <v>0</v>
      </c>
      <c r="AF386" s="37">
        <f>IF(AQ386="2",BH386,0)</f>
        <v>0</v>
      </c>
      <c r="AG386" s="37">
        <f>IF(AQ386="2",BI386,0)</f>
        <v>0</v>
      </c>
      <c r="AH386" s="37">
        <f>IF(AQ386="0",BJ386,0)</f>
        <v>0</v>
      </c>
      <c r="AI386" s="31"/>
      <c r="AJ386" s="37">
        <f>IF(AN386=0,K386,0)</f>
        <v>0</v>
      </c>
      <c r="AK386" s="37">
        <f>IF(AN386=15,K386,0)</f>
        <v>0</v>
      </c>
      <c r="AL386" s="37">
        <f>IF(AN386=21,K386,0)</f>
        <v>0</v>
      </c>
      <c r="AN386" s="37">
        <v>15</v>
      </c>
      <c r="AO386" s="37">
        <f>H386*0.345648203901187</f>
        <v>0</v>
      </c>
      <c r="AP386" s="37">
        <f>H386*(1-0.345648203901187)</f>
        <v>0</v>
      </c>
      <c r="AQ386" s="38" t="s">
        <v>80</v>
      </c>
      <c r="AV386" s="37">
        <f>AW386+AX386</f>
        <v>0</v>
      </c>
      <c r="AW386" s="37">
        <f>G386*AO386</f>
        <v>0</v>
      </c>
      <c r="AX386" s="37">
        <f>G386*AP386</f>
        <v>0</v>
      </c>
      <c r="AY386" s="38" t="s">
        <v>734</v>
      </c>
      <c r="AZ386" s="38" t="s">
        <v>735</v>
      </c>
      <c r="BA386" s="31" t="s">
        <v>56</v>
      </c>
      <c r="BC386" s="37">
        <f>AW386+AX386</f>
        <v>0</v>
      </c>
      <c r="BD386" s="37">
        <f>H386/(100-BE386)*100</f>
        <v>0</v>
      </c>
      <c r="BE386" s="37">
        <v>0</v>
      </c>
      <c r="BF386" s="37">
        <f>386</f>
        <v>386</v>
      </c>
      <c r="BH386" s="37">
        <f>G386*AO386</f>
        <v>0</v>
      </c>
      <c r="BI386" s="37">
        <f>G386*AP386</f>
        <v>0</v>
      </c>
      <c r="BJ386" s="37">
        <f>G386*H386</f>
        <v>0</v>
      </c>
    </row>
    <row r="387" spans="3:7" ht="12.75">
      <c r="C387" s="39" t="s">
        <v>736</v>
      </c>
      <c r="D387" s="39"/>
      <c r="E387" s="39"/>
      <c r="G387" s="40">
        <v>4</v>
      </c>
    </row>
    <row r="388" spans="3:7" ht="12.75">
      <c r="C388" s="39" t="s">
        <v>737</v>
      </c>
      <c r="D388" s="39"/>
      <c r="E388" s="39"/>
      <c r="G388" s="40">
        <v>2.025</v>
      </c>
    </row>
    <row r="389" spans="1:62" ht="12.75">
      <c r="A389" s="10" t="s">
        <v>738</v>
      </c>
      <c r="B389" s="10" t="s">
        <v>739</v>
      </c>
      <c r="C389" s="10" t="s">
        <v>740</v>
      </c>
      <c r="D389" s="10"/>
      <c r="E389" s="10"/>
      <c r="F389" s="10" t="s">
        <v>167</v>
      </c>
      <c r="G389" s="37">
        <v>7</v>
      </c>
      <c r="H389" s="37">
        <v>0</v>
      </c>
      <c r="I389" s="37">
        <f>G389*AO389</f>
        <v>0</v>
      </c>
      <c r="J389" s="37">
        <f>G389*AP389</f>
        <v>0</v>
      </c>
      <c r="K389" s="37">
        <f>G389*H389</f>
        <v>0</v>
      </c>
      <c r="L389" s="38" t="s">
        <v>54</v>
      </c>
      <c r="Z389" s="37">
        <f>IF(AQ389="5",BJ389,0)</f>
        <v>0</v>
      </c>
      <c r="AB389" s="37">
        <f>IF(AQ389="1",BH389,0)</f>
        <v>0</v>
      </c>
      <c r="AC389" s="37">
        <f>IF(AQ389="1",BI389,0)</f>
        <v>0</v>
      </c>
      <c r="AD389" s="37">
        <f>IF(AQ389="7",BH389,0)</f>
        <v>0</v>
      </c>
      <c r="AE389" s="37">
        <f>IF(AQ389="7",BI389,0)</f>
        <v>0</v>
      </c>
      <c r="AF389" s="37">
        <f>IF(AQ389="2",BH389,0)</f>
        <v>0</v>
      </c>
      <c r="AG389" s="37">
        <f>IF(AQ389="2",BI389,0)</f>
        <v>0</v>
      </c>
      <c r="AH389" s="37">
        <f>IF(AQ389="0",BJ389,0)</f>
        <v>0</v>
      </c>
      <c r="AI389" s="31"/>
      <c r="AJ389" s="37">
        <f>IF(AN389=0,K389,0)</f>
        <v>0</v>
      </c>
      <c r="AK389" s="37">
        <f>IF(AN389=15,K389,0)</f>
        <v>0</v>
      </c>
      <c r="AL389" s="37">
        <f>IF(AN389=21,K389,0)</f>
        <v>0</v>
      </c>
      <c r="AN389" s="37">
        <v>15</v>
      </c>
      <c r="AO389" s="37">
        <f>H389*0.469208211143695</f>
        <v>0</v>
      </c>
      <c r="AP389" s="37">
        <f>H389*(1-0.469208211143695)</f>
        <v>0</v>
      </c>
      <c r="AQ389" s="38" t="s">
        <v>80</v>
      </c>
      <c r="AV389" s="37">
        <f>AW389+AX389</f>
        <v>0</v>
      </c>
      <c r="AW389" s="37">
        <f>G389*AO389</f>
        <v>0</v>
      </c>
      <c r="AX389" s="37">
        <f>G389*AP389</f>
        <v>0</v>
      </c>
      <c r="AY389" s="38" t="s">
        <v>734</v>
      </c>
      <c r="AZ389" s="38" t="s">
        <v>735</v>
      </c>
      <c r="BA389" s="31" t="s">
        <v>56</v>
      </c>
      <c r="BC389" s="37">
        <f>AW389+AX389</f>
        <v>0</v>
      </c>
      <c r="BD389" s="37">
        <f>H389/(100-BE389)*100</f>
        <v>0</v>
      </c>
      <c r="BE389" s="37">
        <v>0</v>
      </c>
      <c r="BF389" s="37">
        <f>389</f>
        <v>389</v>
      </c>
      <c r="BH389" s="37">
        <f>G389*AO389</f>
        <v>0</v>
      </c>
      <c r="BI389" s="37">
        <f>G389*AP389</f>
        <v>0</v>
      </c>
      <c r="BJ389" s="37">
        <f>G389*H389</f>
        <v>0</v>
      </c>
    </row>
    <row r="390" spans="3:7" ht="12.75">
      <c r="C390" s="39" t="s">
        <v>741</v>
      </c>
      <c r="D390" s="39"/>
      <c r="E390" s="39"/>
      <c r="G390" s="40">
        <v>7</v>
      </c>
    </row>
    <row r="391" spans="1:62" ht="12.75">
      <c r="A391" s="10" t="s">
        <v>742</v>
      </c>
      <c r="B391" s="10" t="s">
        <v>743</v>
      </c>
      <c r="C391" s="10" t="s">
        <v>744</v>
      </c>
      <c r="D391" s="10"/>
      <c r="E391" s="10"/>
      <c r="F391" s="10" t="s">
        <v>167</v>
      </c>
      <c r="G391" s="37">
        <v>26</v>
      </c>
      <c r="H391" s="37">
        <v>0</v>
      </c>
      <c r="I391" s="37">
        <f>G391*AO391</f>
        <v>0</v>
      </c>
      <c r="J391" s="37">
        <f>G391*AP391</f>
        <v>0</v>
      </c>
      <c r="K391" s="37">
        <f>G391*H391</f>
        <v>0</v>
      </c>
      <c r="L391" s="38" t="s">
        <v>54</v>
      </c>
      <c r="Z391" s="37">
        <f>IF(AQ391="5",BJ391,0)</f>
        <v>0</v>
      </c>
      <c r="AB391" s="37">
        <f>IF(AQ391="1",BH391,0)</f>
        <v>0</v>
      </c>
      <c r="AC391" s="37">
        <f>IF(AQ391="1",BI391,0)</f>
        <v>0</v>
      </c>
      <c r="AD391" s="37">
        <f>IF(AQ391="7",BH391,0)</f>
        <v>0</v>
      </c>
      <c r="AE391" s="37">
        <f>IF(AQ391="7",BI391,0)</f>
        <v>0</v>
      </c>
      <c r="AF391" s="37">
        <f>IF(AQ391="2",BH391,0)</f>
        <v>0</v>
      </c>
      <c r="AG391" s="37">
        <f>IF(AQ391="2",BI391,0)</f>
        <v>0</v>
      </c>
      <c r="AH391" s="37">
        <f>IF(AQ391="0",BJ391,0)</f>
        <v>0</v>
      </c>
      <c r="AI391" s="31"/>
      <c r="AJ391" s="37">
        <f>IF(AN391=0,K391,0)</f>
        <v>0</v>
      </c>
      <c r="AK391" s="37">
        <f>IF(AN391=15,K391,0)</f>
        <v>0</v>
      </c>
      <c r="AL391" s="37">
        <f>IF(AN391=21,K391,0)</f>
        <v>0</v>
      </c>
      <c r="AN391" s="37">
        <v>15</v>
      </c>
      <c r="AO391" s="37">
        <f>H391*0.19922480620155</f>
        <v>0</v>
      </c>
      <c r="AP391" s="37">
        <f>H391*(1-0.19922480620155)</f>
        <v>0</v>
      </c>
      <c r="AQ391" s="38" t="s">
        <v>80</v>
      </c>
      <c r="AV391" s="37">
        <f>AW391+AX391</f>
        <v>0</v>
      </c>
      <c r="AW391" s="37">
        <f>G391*AO391</f>
        <v>0</v>
      </c>
      <c r="AX391" s="37">
        <f>G391*AP391</f>
        <v>0</v>
      </c>
      <c r="AY391" s="38" t="s">
        <v>734</v>
      </c>
      <c r="AZ391" s="38" t="s">
        <v>735</v>
      </c>
      <c r="BA391" s="31" t="s">
        <v>56</v>
      </c>
      <c r="BC391" s="37">
        <f>AW391+AX391</f>
        <v>0</v>
      </c>
      <c r="BD391" s="37">
        <f>H391/(100-BE391)*100</f>
        <v>0</v>
      </c>
      <c r="BE391" s="37">
        <v>0</v>
      </c>
      <c r="BF391" s="37">
        <f>391</f>
        <v>391</v>
      </c>
      <c r="BH391" s="37">
        <f>G391*AO391</f>
        <v>0</v>
      </c>
      <c r="BI391" s="37">
        <f>G391*AP391</f>
        <v>0</v>
      </c>
      <c r="BJ391" s="37">
        <f>G391*H391</f>
        <v>0</v>
      </c>
    </row>
    <row r="392" spans="3:7" ht="12.75">
      <c r="C392" s="39" t="s">
        <v>745</v>
      </c>
      <c r="D392" s="39"/>
      <c r="E392" s="39"/>
      <c r="G392" s="40">
        <v>26</v>
      </c>
    </row>
    <row r="393" spans="1:47" ht="12.75">
      <c r="A393" s="41"/>
      <c r="B393" s="42" t="s">
        <v>483</v>
      </c>
      <c r="C393" s="42" t="s">
        <v>746</v>
      </c>
      <c r="D393" s="42"/>
      <c r="E393" s="42"/>
      <c r="F393" s="41" t="s">
        <v>4</v>
      </c>
      <c r="G393" s="41" t="s">
        <v>4</v>
      </c>
      <c r="H393" s="41" t="s">
        <v>4</v>
      </c>
      <c r="I393" s="36">
        <f>SUM(I394:I394)</f>
        <v>0</v>
      </c>
      <c r="J393" s="36">
        <f>SUM(J394:J394)</f>
        <v>0</v>
      </c>
      <c r="K393" s="36">
        <f>SUM(K394:K394)</f>
        <v>0</v>
      </c>
      <c r="L393" s="31"/>
      <c r="AI393" s="31"/>
      <c r="AS393" s="36">
        <f>SUM(AJ394:AJ394)</f>
        <v>0</v>
      </c>
      <c r="AT393" s="36">
        <f>SUM(AK394:AK394)</f>
        <v>0</v>
      </c>
      <c r="AU393" s="36">
        <f>SUM(AL394:AL394)</f>
        <v>0</v>
      </c>
    </row>
    <row r="394" spans="1:62" ht="12.75">
      <c r="A394" s="10" t="s">
        <v>747</v>
      </c>
      <c r="B394" s="10" t="s">
        <v>748</v>
      </c>
      <c r="C394" s="10" t="s">
        <v>749</v>
      </c>
      <c r="D394" s="10"/>
      <c r="E394" s="10"/>
      <c r="F394" s="10" t="s">
        <v>474</v>
      </c>
      <c r="G394" s="37">
        <v>80</v>
      </c>
      <c r="H394" s="37">
        <v>0</v>
      </c>
      <c r="I394" s="37">
        <f>G394*AO394</f>
        <v>0</v>
      </c>
      <c r="J394" s="37">
        <f>G394*AP394</f>
        <v>0</v>
      </c>
      <c r="K394" s="37">
        <f>G394*H394</f>
        <v>0</v>
      </c>
      <c r="L394" s="38" t="s">
        <v>54</v>
      </c>
      <c r="Z394" s="37">
        <f>IF(AQ394="5",BJ394,0)</f>
        <v>0</v>
      </c>
      <c r="AB394" s="37">
        <f>IF(AQ394="1",BH394,0)</f>
        <v>0</v>
      </c>
      <c r="AC394" s="37">
        <f>IF(AQ394="1",BI394,0)</f>
        <v>0</v>
      </c>
      <c r="AD394" s="37">
        <f>IF(AQ394="7",BH394,0)</f>
        <v>0</v>
      </c>
      <c r="AE394" s="37">
        <f>IF(AQ394="7",BI394,0)</f>
        <v>0</v>
      </c>
      <c r="AF394" s="37">
        <f>IF(AQ394="2",BH394,0)</f>
        <v>0</v>
      </c>
      <c r="AG394" s="37">
        <f>IF(AQ394="2",BI394,0)</f>
        <v>0</v>
      </c>
      <c r="AH394" s="37">
        <f>IF(AQ394="0",BJ394,0)</f>
        <v>0</v>
      </c>
      <c r="AI394" s="31"/>
      <c r="AJ394" s="37">
        <f>IF(AN394=0,K394,0)</f>
        <v>0</v>
      </c>
      <c r="AK394" s="37">
        <f>IF(AN394=15,K394,0)</f>
        <v>0</v>
      </c>
      <c r="AL394" s="37">
        <f>IF(AN394=21,K394,0)</f>
        <v>0</v>
      </c>
      <c r="AN394" s="37">
        <v>15</v>
      </c>
      <c r="AO394" s="37">
        <f>H394*0</f>
        <v>0</v>
      </c>
      <c r="AP394" s="37">
        <f>H394*(1-0)</f>
        <v>0</v>
      </c>
      <c r="AQ394" s="38" t="s">
        <v>50</v>
      </c>
      <c r="AV394" s="37">
        <f>AW394+AX394</f>
        <v>0</v>
      </c>
      <c r="AW394" s="37">
        <f>G394*AO394</f>
        <v>0</v>
      </c>
      <c r="AX394" s="37">
        <f>G394*AP394</f>
        <v>0</v>
      </c>
      <c r="AY394" s="38" t="s">
        <v>750</v>
      </c>
      <c r="AZ394" s="38" t="s">
        <v>751</v>
      </c>
      <c r="BA394" s="31" t="s">
        <v>56</v>
      </c>
      <c r="BC394" s="37">
        <f>AW394+AX394</f>
        <v>0</v>
      </c>
      <c r="BD394" s="37">
        <f>H394/(100-BE394)*100</f>
        <v>0</v>
      </c>
      <c r="BE394" s="37">
        <v>0</v>
      </c>
      <c r="BF394" s="37">
        <f>394</f>
        <v>394</v>
      </c>
      <c r="BH394" s="37">
        <f>G394*AO394</f>
        <v>0</v>
      </c>
      <c r="BI394" s="37">
        <f>G394*AP394</f>
        <v>0</v>
      </c>
      <c r="BJ394" s="37">
        <f>G394*H394</f>
        <v>0</v>
      </c>
    </row>
    <row r="395" spans="3:7" ht="12.75">
      <c r="C395" s="39" t="s">
        <v>752</v>
      </c>
      <c r="D395" s="39"/>
      <c r="E395" s="39"/>
      <c r="G395" s="40">
        <v>80</v>
      </c>
    </row>
    <row r="396" spans="1:47" ht="12.75">
      <c r="A396" s="41"/>
      <c r="B396" s="42" t="s">
        <v>494</v>
      </c>
      <c r="C396" s="42" t="s">
        <v>753</v>
      </c>
      <c r="D396" s="42"/>
      <c r="E396" s="42"/>
      <c r="F396" s="41" t="s">
        <v>4</v>
      </c>
      <c r="G396" s="41" t="s">
        <v>4</v>
      </c>
      <c r="H396" s="41" t="s">
        <v>4</v>
      </c>
      <c r="I396" s="36">
        <f>SUM(I397:I412)</f>
        <v>0</v>
      </c>
      <c r="J396" s="36">
        <f>SUM(J397:J412)</f>
        <v>0</v>
      </c>
      <c r="K396" s="36">
        <f>SUM(K397:K412)</f>
        <v>0</v>
      </c>
      <c r="L396" s="31"/>
      <c r="AI396" s="31"/>
      <c r="AS396" s="36">
        <f>SUM(AJ397:AJ412)</f>
        <v>0</v>
      </c>
      <c r="AT396" s="36">
        <f>SUM(AK397:AK412)</f>
        <v>0</v>
      </c>
      <c r="AU396" s="36">
        <f>SUM(AL397:AL412)</f>
        <v>0</v>
      </c>
    </row>
    <row r="397" spans="1:62" ht="12.75">
      <c r="A397" s="10" t="s">
        <v>754</v>
      </c>
      <c r="B397" s="10" t="s">
        <v>755</v>
      </c>
      <c r="C397" s="10" t="s">
        <v>756</v>
      </c>
      <c r="D397" s="10"/>
      <c r="E397" s="10"/>
      <c r="F397" s="10" t="s">
        <v>117</v>
      </c>
      <c r="G397" s="37">
        <v>3456</v>
      </c>
      <c r="H397" s="37">
        <v>0</v>
      </c>
      <c r="I397" s="37">
        <f>G397*AO397</f>
        <v>0</v>
      </c>
      <c r="J397" s="37">
        <f>G397*AP397</f>
        <v>0</v>
      </c>
      <c r="K397" s="37">
        <f>G397*H397</f>
        <v>0</v>
      </c>
      <c r="L397" s="38" t="s">
        <v>54</v>
      </c>
      <c r="Z397" s="37">
        <f>IF(AQ397="5",BJ397,0)</f>
        <v>0</v>
      </c>
      <c r="AB397" s="37">
        <f>IF(AQ397="1",BH397,0)</f>
        <v>0</v>
      </c>
      <c r="AC397" s="37">
        <f>IF(AQ397="1",BI397,0)</f>
        <v>0</v>
      </c>
      <c r="AD397" s="37">
        <f>IF(AQ397="7",BH397,0)</f>
        <v>0</v>
      </c>
      <c r="AE397" s="37">
        <f>IF(AQ397="7",BI397,0)</f>
        <v>0</v>
      </c>
      <c r="AF397" s="37">
        <f>IF(AQ397="2",BH397,0)</f>
        <v>0</v>
      </c>
      <c r="AG397" s="37">
        <f>IF(AQ397="2",BI397,0)</f>
        <v>0</v>
      </c>
      <c r="AH397" s="37">
        <f>IF(AQ397="0",BJ397,0)</f>
        <v>0</v>
      </c>
      <c r="AI397" s="31"/>
      <c r="AJ397" s="37">
        <f>IF(AN397=0,K397,0)</f>
        <v>0</v>
      </c>
      <c r="AK397" s="37">
        <f>IF(AN397=15,K397,0)</f>
        <v>0</v>
      </c>
      <c r="AL397" s="37">
        <f>IF(AN397=21,K397,0)</f>
        <v>0</v>
      </c>
      <c r="AN397" s="37">
        <v>15</v>
      </c>
      <c r="AO397" s="37">
        <f>H397*0.000137193030594046</f>
        <v>0</v>
      </c>
      <c r="AP397" s="37">
        <f>H397*(1-0.000137193030594046)</f>
        <v>0</v>
      </c>
      <c r="AQ397" s="38" t="s">
        <v>50</v>
      </c>
      <c r="AV397" s="37">
        <f>AW397+AX397</f>
        <v>0</v>
      </c>
      <c r="AW397" s="37">
        <f>G397*AO397</f>
        <v>0</v>
      </c>
      <c r="AX397" s="37">
        <f>G397*AP397</f>
        <v>0</v>
      </c>
      <c r="AY397" s="38" t="s">
        <v>757</v>
      </c>
      <c r="AZ397" s="38" t="s">
        <v>751</v>
      </c>
      <c r="BA397" s="31" t="s">
        <v>56</v>
      </c>
      <c r="BC397" s="37">
        <f>AW397+AX397</f>
        <v>0</v>
      </c>
      <c r="BD397" s="37">
        <f>H397/(100-BE397)*100</f>
        <v>0</v>
      </c>
      <c r="BE397" s="37">
        <v>0</v>
      </c>
      <c r="BF397" s="37">
        <f>397</f>
        <v>397</v>
      </c>
      <c r="BH397" s="37">
        <f>G397*AO397</f>
        <v>0</v>
      </c>
      <c r="BI397" s="37">
        <f>G397*AP397</f>
        <v>0</v>
      </c>
      <c r="BJ397" s="37">
        <f>G397*H397</f>
        <v>0</v>
      </c>
    </row>
    <row r="398" spans="3:7" ht="12.75">
      <c r="C398" s="39" t="s">
        <v>758</v>
      </c>
      <c r="D398" s="39"/>
      <c r="E398" s="39"/>
      <c r="G398" s="40">
        <v>2268</v>
      </c>
    </row>
    <row r="399" spans="3:7" ht="12.75">
      <c r="C399" s="39" t="s">
        <v>759</v>
      </c>
      <c r="D399" s="39"/>
      <c r="E399" s="39"/>
      <c r="G399" s="40">
        <v>1188</v>
      </c>
    </row>
    <row r="400" spans="1:62" ht="12.75">
      <c r="A400" s="10" t="s">
        <v>760</v>
      </c>
      <c r="B400" s="10" t="s">
        <v>761</v>
      </c>
      <c r="C400" s="10" t="s">
        <v>762</v>
      </c>
      <c r="D400" s="10"/>
      <c r="E400" s="10"/>
      <c r="F400" s="10" t="s">
        <v>117</v>
      </c>
      <c r="G400" s="37">
        <v>17280</v>
      </c>
      <c r="H400" s="37">
        <v>0</v>
      </c>
      <c r="I400" s="37">
        <f>G400*AO400</f>
        <v>0</v>
      </c>
      <c r="J400" s="37">
        <f>G400*AP400</f>
        <v>0</v>
      </c>
      <c r="K400" s="37">
        <f>G400*H400</f>
        <v>0</v>
      </c>
      <c r="L400" s="38" t="s">
        <v>54</v>
      </c>
      <c r="Z400" s="37">
        <f>IF(AQ400="5",BJ400,0)</f>
        <v>0</v>
      </c>
      <c r="AB400" s="37">
        <f>IF(AQ400="1",BH400,0)</f>
        <v>0</v>
      </c>
      <c r="AC400" s="37">
        <f>IF(AQ400="1",BI400,0)</f>
        <v>0</v>
      </c>
      <c r="AD400" s="37">
        <f>IF(AQ400="7",BH400,0)</f>
        <v>0</v>
      </c>
      <c r="AE400" s="37">
        <f>IF(AQ400="7",BI400,0)</f>
        <v>0</v>
      </c>
      <c r="AF400" s="37">
        <f>IF(AQ400="2",BH400,0)</f>
        <v>0</v>
      </c>
      <c r="AG400" s="37">
        <f>IF(AQ400="2",BI400,0)</f>
        <v>0</v>
      </c>
      <c r="AH400" s="37">
        <f>IF(AQ400="0",BJ400,0)</f>
        <v>0</v>
      </c>
      <c r="AI400" s="31"/>
      <c r="AJ400" s="37">
        <f>IF(AN400=0,K400,0)</f>
        <v>0</v>
      </c>
      <c r="AK400" s="37">
        <f>IF(AN400=15,K400,0)</f>
        <v>0</v>
      </c>
      <c r="AL400" s="37">
        <f>IF(AN400=21,K400,0)</f>
        <v>0</v>
      </c>
      <c r="AN400" s="37">
        <v>15</v>
      </c>
      <c r="AO400" s="37">
        <f>H400*0.902830188679245</f>
        <v>0</v>
      </c>
      <c r="AP400" s="37">
        <f>H400*(1-0.902830188679245)</f>
        <v>0</v>
      </c>
      <c r="AQ400" s="38" t="s">
        <v>50</v>
      </c>
      <c r="AV400" s="37">
        <f>AW400+AX400</f>
        <v>0</v>
      </c>
      <c r="AW400" s="37">
        <f>G400*AO400</f>
        <v>0</v>
      </c>
      <c r="AX400" s="37">
        <f>G400*AP400</f>
        <v>0</v>
      </c>
      <c r="AY400" s="38" t="s">
        <v>757</v>
      </c>
      <c r="AZ400" s="38" t="s">
        <v>751</v>
      </c>
      <c r="BA400" s="31" t="s">
        <v>56</v>
      </c>
      <c r="BC400" s="37">
        <f>AW400+AX400</f>
        <v>0</v>
      </c>
      <c r="BD400" s="37">
        <f>H400/(100-BE400)*100</f>
        <v>0</v>
      </c>
      <c r="BE400" s="37">
        <v>0</v>
      </c>
      <c r="BF400" s="37">
        <f>400</f>
        <v>400</v>
      </c>
      <c r="BH400" s="37">
        <f>G400*AO400</f>
        <v>0</v>
      </c>
      <c r="BI400" s="37">
        <f>G400*AP400</f>
        <v>0</v>
      </c>
      <c r="BJ400" s="37">
        <f>G400*H400</f>
        <v>0</v>
      </c>
    </row>
    <row r="401" spans="3:7" ht="12.75">
      <c r="C401" s="39" t="s">
        <v>763</v>
      </c>
      <c r="D401" s="39"/>
      <c r="E401" s="39"/>
      <c r="G401" s="40">
        <v>17280</v>
      </c>
    </row>
    <row r="402" spans="1:62" ht="12.75">
      <c r="A402" s="10" t="s">
        <v>764</v>
      </c>
      <c r="B402" s="10" t="s">
        <v>765</v>
      </c>
      <c r="C402" s="10" t="s">
        <v>766</v>
      </c>
      <c r="D402" s="10"/>
      <c r="E402" s="10"/>
      <c r="F402" s="10" t="s">
        <v>117</v>
      </c>
      <c r="G402" s="37">
        <v>3456</v>
      </c>
      <c r="H402" s="37">
        <v>0</v>
      </c>
      <c r="I402" s="37">
        <f>G402*AO402</f>
        <v>0</v>
      </c>
      <c r="J402" s="37">
        <f>G402*AP402</f>
        <v>0</v>
      </c>
      <c r="K402" s="37">
        <f>G402*H402</f>
        <v>0</v>
      </c>
      <c r="L402" s="38" t="s">
        <v>54</v>
      </c>
      <c r="Z402" s="37">
        <f>IF(AQ402="5",BJ402,0)</f>
        <v>0</v>
      </c>
      <c r="AB402" s="37">
        <f>IF(AQ402="1",BH402,0)</f>
        <v>0</v>
      </c>
      <c r="AC402" s="37">
        <f>IF(AQ402="1",BI402,0)</f>
        <v>0</v>
      </c>
      <c r="AD402" s="37">
        <f>IF(AQ402="7",BH402,0)</f>
        <v>0</v>
      </c>
      <c r="AE402" s="37">
        <f>IF(AQ402="7",BI402,0)</f>
        <v>0</v>
      </c>
      <c r="AF402" s="37">
        <f>IF(AQ402="2",BH402,0)</f>
        <v>0</v>
      </c>
      <c r="AG402" s="37">
        <f>IF(AQ402="2",BI402,0)</f>
        <v>0</v>
      </c>
      <c r="AH402" s="37">
        <f>IF(AQ402="0",BJ402,0)</f>
        <v>0</v>
      </c>
      <c r="AI402" s="31"/>
      <c r="AJ402" s="37">
        <f>IF(AN402=0,K402,0)</f>
        <v>0</v>
      </c>
      <c r="AK402" s="37">
        <f>IF(AN402=15,K402,0)</f>
        <v>0</v>
      </c>
      <c r="AL402" s="37">
        <f>IF(AN402=21,K402,0)</f>
        <v>0</v>
      </c>
      <c r="AN402" s="37">
        <v>15</v>
      </c>
      <c r="AO402" s="37">
        <f>H402*0</f>
        <v>0</v>
      </c>
      <c r="AP402" s="37">
        <f>H402*(1-0)</f>
        <v>0</v>
      </c>
      <c r="AQ402" s="38" t="s">
        <v>50</v>
      </c>
      <c r="AV402" s="37">
        <f>AW402+AX402</f>
        <v>0</v>
      </c>
      <c r="AW402" s="37">
        <f>G402*AO402</f>
        <v>0</v>
      </c>
      <c r="AX402" s="37">
        <f>G402*AP402</f>
        <v>0</v>
      </c>
      <c r="AY402" s="38" t="s">
        <v>757</v>
      </c>
      <c r="AZ402" s="38" t="s">
        <v>751</v>
      </c>
      <c r="BA402" s="31" t="s">
        <v>56</v>
      </c>
      <c r="BC402" s="37">
        <f>AW402+AX402</f>
        <v>0</v>
      </c>
      <c r="BD402" s="37">
        <f>H402/(100-BE402)*100</f>
        <v>0</v>
      </c>
      <c r="BE402" s="37">
        <v>0</v>
      </c>
      <c r="BF402" s="37">
        <f>402</f>
        <v>402</v>
      </c>
      <c r="BH402" s="37">
        <f>G402*AO402</f>
        <v>0</v>
      </c>
      <c r="BI402" s="37">
        <f>G402*AP402</f>
        <v>0</v>
      </c>
      <c r="BJ402" s="37">
        <f>G402*H402</f>
        <v>0</v>
      </c>
    </row>
    <row r="403" spans="3:7" ht="12.75">
      <c r="C403" s="39" t="s">
        <v>767</v>
      </c>
      <c r="D403" s="39"/>
      <c r="E403" s="39"/>
      <c r="G403" s="40">
        <v>3456</v>
      </c>
    </row>
    <row r="404" spans="1:62" ht="12.75">
      <c r="A404" s="10" t="s">
        <v>768</v>
      </c>
      <c r="B404" s="10" t="s">
        <v>769</v>
      </c>
      <c r="C404" s="10" t="s">
        <v>770</v>
      </c>
      <c r="D404" s="10"/>
      <c r="E404" s="10"/>
      <c r="F404" s="10" t="s">
        <v>117</v>
      </c>
      <c r="G404" s="37">
        <v>3456</v>
      </c>
      <c r="H404" s="37">
        <v>0</v>
      </c>
      <c r="I404" s="37">
        <f>G404*AO404</f>
        <v>0</v>
      </c>
      <c r="J404" s="37">
        <f>G404*AP404</f>
        <v>0</v>
      </c>
      <c r="K404" s="37">
        <f>G404*H404</f>
        <v>0</v>
      </c>
      <c r="L404" s="38" t="s">
        <v>54</v>
      </c>
      <c r="Z404" s="37">
        <f>IF(AQ404="5",BJ404,0)</f>
        <v>0</v>
      </c>
      <c r="AB404" s="37">
        <f>IF(AQ404="1",BH404,0)</f>
        <v>0</v>
      </c>
      <c r="AC404" s="37">
        <f>IF(AQ404="1",BI404,0)</f>
        <v>0</v>
      </c>
      <c r="AD404" s="37">
        <f>IF(AQ404="7",BH404,0)</f>
        <v>0</v>
      </c>
      <c r="AE404" s="37">
        <f>IF(AQ404="7",BI404,0)</f>
        <v>0</v>
      </c>
      <c r="AF404" s="37">
        <f>IF(AQ404="2",BH404,0)</f>
        <v>0</v>
      </c>
      <c r="AG404" s="37">
        <f>IF(AQ404="2",BI404,0)</f>
        <v>0</v>
      </c>
      <c r="AH404" s="37">
        <f>IF(AQ404="0",BJ404,0)</f>
        <v>0</v>
      </c>
      <c r="AI404" s="31"/>
      <c r="AJ404" s="37">
        <f>IF(AN404=0,K404,0)</f>
        <v>0</v>
      </c>
      <c r="AK404" s="37">
        <f>IF(AN404=15,K404,0)</f>
        <v>0</v>
      </c>
      <c r="AL404" s="37">
        <f>IF(AN404=21,K404,0)</f>
        <v>0</v>
      </c>
      <c r="AN404" s="37">
        <v>15</v>
      </c>
      <c r="AO404" s="37">
        <f>H404*0</f>
        <v>0</v>
      </c>
      <c r="AP404" s="37">
        <f>H404*(1-0)</f>
        <v>0</v>
      </c>
      <c r="AQ404" s="38" t="s">
        <v>50</v>
      </c>
      <c r="AV404" s="37">
        <f>AW404+AX404</f>
        <v>0</v>
      </c>
      <c r="AW404" s="37">
        <f>G404*AO404</f>
        <v>0</v>
      </c>
      <c r="AX404" s="37">
        <f>G404*AP404</f>
        <v>0</v>
      </c>
      <c r="AY404" s="38" t="s">
        <v>757</v>
      </c>
      <c r="AZ404" s="38" t="s">
        <v>751</v>
      </c>
      <c r="BA404" s="31" t="s">
        <v>56</v>
      </c>
      <c r="BC404" s="37">
        <f>AW404+AX404</f>
        <v>0</v>
      </c>
      <c r="BD404" s="37">
        <f>H404/(100-BE404)*100</f>
        <v>0</v>
      </c>
      <c r="BE404" s="37">
        <v>0</v>
      </c>
      <c r="BF404" s="37">
        <f>404</f>
        <v>404</v>
      </c>
      <c r="BH404" s="37">
        <f>G404*AO404</f>
        <v>0</v>
      </c>
      <c r="BI404" s="37">
        <f>G404*AP404</f>
        <v>0</v>
      </c>
      <c r="BJ404" s="37">
        <f>G404*H404</f>
        <v>0</v>
      </c>
    </row>
    <row r="405" spans="3:7" ht="12.75">
      <c r="C405" s="39" t="s">
        <v>767</v>
      </c>
      <c r="D405" s="39"/>
      <c r="E405" s="39"/>
      <c r="G405" s="40">
        <v>3456</v>
      </c>
    </row>
    <row r="406" spans="1:62" ht="12.75">
      <c r="A406" s="10" t="s">
        <v>771</v>
      </c>
      <c r="B406" s="10" t="s">
        <v>772</v>
      </c>
      <c r="C406" s="10" t="s">
        <v>773</v>
      </c>
      <c r="D406" s="10"/>
      <c r="E406" s="10"/>
      <c r="F406" s="10" t="s">
        <v>117</v>
      </c>
      <c r="G406" s="37">
        <v>3456</v>
      </c>
      <c r="H406" s="37">
        <v>0</v>
      </c>
      <c r="I406" s="37">
        <f>G406*AO406</f>
        <v>0</v>
      </c>
      <c r="J406" s="37">
        <f>G406*AP406</f>
        <v>0</v>
      </c>
      <c r="K406" s="37">
        <f>G406*H406</f>
        <v>0</v>
      </c>
      <c r="L406" s="38" t="s">
        <v>54</v>
      </c>
      <c r="Z406" s="37">
        <f>IF(AQ406="5",BJ406,0)</f>
        <v>0</v>
      </c>
      <c r="AB406" s="37">
        <f>IF(AQ406="1",BH406,0)</f>
        <v>0</v>
      </c>
      <c r="AC406" s="37">
        <f>IF(AQ406="1",BI406,0)</f>
        <v>0</v>
      </c>
      <c r="AD406" s="37">
        <f>IF(AQ406="7",BH406,0)</f>
        <v>0</v>
      </c>
      <c r="AE406" s="37">
        <f>IF(AQ406="7",BI406,0)</f>
        <v>0</v>
      </c>
      <c r="AF406" s="37">
        <f>IF(AQ406="2",BH406,0)</f>
        <v>0</v>
      </c>
      <c r="AG406" s="37">
        <f>IF(AQ406="2",BI406,0)</f>
        <v>0</v>
      </c>
      <c r="AH406" s="37">
        <f>IF(AQ406="0",BJ406,0)</f>
        <v>0</v>
      </c>
      <c r="AI406" s="31"/>
      <c r="AJ406" s="37">
        <f>IF(AN406=0,K406,0)</f>
        <v>0</v>
      </c>
      <c r="AK406" s="37">
        <f>IF(AN406=15,K406,0)</f>
        <v>0</v>
      </c>
      <c r="AL406" s="37">
        <f>IF(AN406=21,K406,0)</f>
        <v>0</v>
      </c>
      <c r="AN406" s="37">
        <v>15</v>
      </c>
      <c r="AO406" s="37">
        <f>H406*1</f>
        <v>0</v>
      </c>
      <c r="AP406" s="37">
        <f>H406*(1-1)</f>
        <v>0</v>
      </c>
      <c r="AQ406" s="38" t="s">
        <v>50</v>
      </c>
      <c r="AV406" s="37">
        <f>AW406+AX406</f>
        <v>0</v>
      </c>
      <c r="AW406" s="37">
        <f>G406*AO406</f>
        <v>0</v>
      </c>
      <c r="AX406" s="37">
        <f>G406*AP406</f>
        <v>0</v>
      </c>
      <c r="AY406" s="38" t="s">
        <v>757</v>
      </c>
      <c r="AZ406" s="38" t="s">
        <v>751</v>
      </c>
      <c r="BA406" s="31" t="s">
        <v>56</v>
      </c>
      <c r="BC406" s="37">
        <f>AW406+AX406</f>
        <v>0</v>
      </c>
      <c r="BD406" s="37">
        <f>H406/(100-BE406)*100</f>
        <v>0</v>
      </c>
      <c r="BE406" s="37">
        <v>0</v>
      </c>
      <c r="BF406" s="37">
        <f>406</f>
        <v>406</v>
      </c>
      <c r="BH406" s="37">
        <f>G406*AO406</f>
        <v>0</v>
      </c>
      <c r="BI406" s="37">
        <f>G406*AP406</f>
        <v>0</v>
      </c>
      <c r="BJ406" s="37">
        <f>G406*H406</f>
        <v>0</v>
      </c>
    </row>
    <row r="407" spans="3:7" ht="12.75">
      <c r="C407" s="39" t="s">
        <v>767</v>
      </c>
      <c r="D407" s="39"/>
      <c r="E407" s="39"/>
      <c r="G407" s="40">
        <v>3456</v>
      </c>
    </row>
    <row r="408" spans="1:62" ht="12.75">
      <c r="A408" s="10" t="s">
        <v>774</v>
      </c>
      <c r="B408" s="10" t="s">
        <v>775</v>
      </c>
      <c r="C408" s="10" t="s">
        <v>776</v>
      </c>
      <c r="D408" s="10"/>
      <c r="E408" s="10"/>
      <c r="F408" s="10" t="s">
        <v>167</v>
      </c>
      <c r="G408" s="37">
        <v>8</v>
      </c>
      <c r="H408" s="37">
        <v>0</v>
      </c>
      <c r="I408" s="37">
        <f>G408*AO408</f>
        <v>0</v>
      </c>
      <c r="J408" s="37">
        <f>G408*AP408</f>
        <v>0</v>
      </c>
      <c r="K408" s="37">
        <f>G408*H408</f>
        <v>0</v>
      </c>
      <c r="L408" s="38" t="s">
        <v>54</v>
      </c>
      <c r="Z408" s="37">
        <f>IF(AQ408="5",BJ408,0)</f>
        <v>0</v>
      </c>
      <c r="AB408" s="37">
        <f>IF(AQ408="1",BH408,0)</f>
        <v>0</v>
      </c>
      <c r="AC408" s="37">
        <f>IF(AQ408="1",BI408,0)</f>
        <v>0</v>
      </c>
      <c r="AD408" s="37">
        <f>IF(AQ408="7",BH408,0)</f>
        <v>0</v>
      </c>
      <c r="AE408" s="37">
        <f>IF(AQ408="7",BI408,0)</f>
        <v>0</v>
      </c>
      <c r="AF408" s="37">
        <f>IF(AQ408="2",BH408,0)</f>
        <v>0</v>
      </c>
      <c r="AG408" s="37">
        <f>IF(AQ408="2",BI408,0)</f>
        <v>0</v>
      </c>
      <c r="AH408" s="37">
        <f>IF(AQ408="0",BJ408,0)</f>
        <v>0</v>
      </c>
      <c r="AI408" s="31"/>
      <c r="AJ408" s="37">
        <f>IF(AN408=0,K408,0)</f>
        <v>0</v>
      </c>
      <c r="AK408" s="37">
        <f>IF(AN408=15,K408,0)</f>
        <v>0</v>
      </c>
      <c r="AL408" s="37">
        <f>IF(AN408=21,K408,0)</f>
        <v>0</v>
      </c>
      <c r="AN408" s="37">
        <v>15</v>
      </c>
      <c r="AO408" s="37">
        <f>H408*0.358333333333333</f>
        <v>0</v>
      </c>
      <c r="AP408" s="37">
        <f>H408*(1-0.358333333333333)</f>
        <v>0</v>
      </c>
      <c r="AQ408" s="38" t="s">
        <v>50</v>
      </c>
      <c r="AV408" s="37">
        <f>AW408+AX408</f>
        <v>0</v>
      </c>
      <c r="AW408" s="37">
        <f>G408*AO408</f>
        <v>0</v>
      </c>
      <c r="AX408" s="37">
        <f>G408*AP408</f>
        <v>0</v>
      </c>
      <c r="AY408" s="38" t="s">
        <v>757</v>
      </c>
      <c r="AZ408" s="38" t="s">
        <v>751</v>
      </c>
      <c r="BA408" s="31" t="s">
        <v>56</v>
      </c>
      <c r="BC408" s="37">
        <f>AW408+AX408</f>
        <v>0</v>
      </c>
      <c r="BD408" s="37">
        <f>H408/(100-BE408)*100</f>
        <v>0</v>
      </c>
      <c r="BE408" s="37">
        <v>0</v>
      </c>
      <c r="BF408" s="37">
        <f>408</f>
        <v>408</v>
      </c>
      <c r="BH408" s="37">
        <f>G408*AO408</f>
        <v>0</v>
      </c>
      <c r="BI408" s="37">
        <f>G408*AP408</f>
        <v>0</v>
      </c>
      <c r="BJ408" s="37">
        <f>G408*H408</f>
        <v>0</v>
      </c>
    </row>
    <row r="409" spans="3:7" ht="12.75">
      <c r="C409" s="39" t="s">
        <v>777</v>
      </c>
      <c r="D409" s="39"/>
      <c r="E409" s="39"/>
      <c r="G409" s="40">
        <v>8</v>
      </c>
    </row>
    <row r="410" spans="1:62" ht="12.75">
      <c r="A410" s="10" t="s">
        <v>778</v>
      </c>
      <c r="B410" s="10" t="s">
        <v>779</v>
      </c>
      <c r="C410" s="10" t="s">
        <v>780</v>
      </c>
      <c r="D410" s="10"/>
      <c r="E410" s="10"/>
      <c r="F410" s="10" t="s">
        <v>167</v>
      </c>
      <c r="G410" s="37">
        <v>8</v>
      </c>
      <c r="H410" s="37">
        <v>0</v>
      </c>
      <c r="I410" s="37">
        <f>G410*AO410</f>
        <v>0</v>
      </c>
      <c r="J410" s="37">
        <f>G410*AP410</f>
        <v>0</v>
      </c>
      <c r="K410" s="37">
        <f>G410*H410</f>
        <v>0</v>
      </c>
      <c r="L410" s="38" t="s">
        <v>54</v>
      </c>
      <c r="Z410" s="37">
        <f>IF(AQ410="5",BJ410,0)</f>
        <v>0</v>
      </c>
      <c r="AB410" s="37">
        <f>IF(AQ410="1",BH410,0)</f>
        <v>0</v>
      </c>
      <c r="AC410" s="37">
        <f>IF(AQ410="1",BI410,0)</f>
        <v>0</v>
      </c>
      <c r="AD410" s="37">
        <f>IF(AQ410="7",BH410,0)</f>
        <v>0</v>
      </c>
      <c r="AE410" s="37">
        <f>IF(AQ410="7",BI410,0)</f>
        <v>0</v>
      </c>
      <c r="AF410" s="37">
        <f>IF(AQ410="2",BH410,0)</f>
        <v>0</v>
      </c>
      <c r="AG410" s="37">
        <f>IF(AQ410="2",BI410,0)</f>
        <v>0</v>
      </c>
      <c r="AH410" s="37">
        <f>IF(AQ410="0",BJ410,0)</f>
        <v>0</v>
      </c>
      <c r="AI410" s="31"/>
      <c r="AJ410" s="37">
        <f>IF(AN410=0,K410,0)</f>
        <v>0</v>
      </c>
      <c r="AK410" s="37">
        <f>IF(AN410=15,K410,0)</f>
        <v>0</v>
      </c>
      <c r="AL410" s="37">
        <f>IF(AN410=21,K410,0)</f>
        <v>0</v>
      </c>
      <c r="AN410" s="37">
        <v>15</v>
      </c>
      <c r="AO410" s="37">
        <f>H410*0</f>
        <v>0</v>
      </c>
      <c r="AP410" s="37">
        <f>H410*(1-0)</f>
        <v>0</v>
      </c>
      <c r="AQ410" s="38" t="s">
        <v>50</v>
      </c>
      <c r="AV410" s="37">
        <f>AW410+AX410</f>
        <v>0</v>
      </c>
      <c r="AW410" s="37">
        <f>G410*AO410</f>
        <v>0</v>
      </c>
      <c r="AX410" s="37">
        <f>G410*AP410</f>
        <v>0</v>
      </c>
      <c r="AY410" s="38" t="s">
        <v>757</v>
      </c>
      <c r="AZ410" s="38" t="s">
        <v>751</v>
      </c>
      <c r="BA410" s="31" t="s">
        <v>56</v>
      </c>
      <c r="BC410" s="37">
        <f>AW410+AX410</f>
        <v>0</v>
      </c>
      <c r="BD410" s="37">
        <f>H410/(100-BE410)*100</f>
        <v>0</v>
      </c>
      <c r="BE410" s="37">
        <v>0</v>
      </c>
      <c r="BF410" s="37">
        <f>410</f>
        <v>410</v>
      </c>
      <c r="BH410" s="37">
        <f>G410*AO410</f>
        <v>0</v>
      </c>
      <c r="BI410" s="37">
        <f>G410*AP410</f>
        <v>0</v>
      </c>
      <c r="BJ410" s="37">
        <f>G410*H410</f>
        <v>0</v>
      </c>
    </row>
    <row r="411" spans="3:7" ht="12.75">
      <c r="C411" s="39" t="s">
        <v>777</v>
      </c>
      <c r="D411" s="39"/>
      <c r="E411" s="39"/>
      <c r="G411" s="40">
        <v>8</v>
      </c>
    </row>
    <row r="412" spans="1:62" ht="12.75">
      <c r="A412" s="10" t="s">
        <v>781</v>
      </c>
      <c r="B412" s="10" t="s">
        <v>782</v>
      </c>
      <c r="C412" s="10" t="s">
        <v>783</v>
      </c>
      <c r="D412" s="10"/>
      <c r="E412" s="10"/>
      <c r="F412" s="10" t="s">
        <v>145</v>
      </c>
      <c r="G412" s="37">
        <v>80.576</v>
      </c>
      <c r="H412" s="37">
        <v>0</v>
      </c>
      <c r="I412" s="37">
        <f>G412*AO412</f>
        <v>0</v>
      </c>
      <c r="J412" s="37">
        <f>G412*AP412</f>
        <v>0</v>
      </c>
      <c r="K412" s="37">
        <f>G412*H412</f>
        <v>0</v>
      </c>
      <c r="L412" s="38" t="s">
        <v>54</v>
      </c>
      <c r="Z412" s="37">
        <f>IF(AQ412="5",BJ412,0)</f>
        <v>0</v>
      </c>
      <c r="AB412" s="37">
        <f>IF(AQ412="1",BH412,0)</f>
        <v>0</v>
      </c>
      <c r="AC412" s="37">
        <f>IF(AQ412="1",BI412,0)</f>
        <v>0</v>
      </c>
      <c r="AD412" s="37">
        <f>IF(AQ412="7",BH412,0)</f>
        <v>0</v>
      </c>
      <c r="AE412" s="37">
        <f>IF(AQ412="7",BI412,0)</f>
        <v>0</v>
      </c>
      <c r="AF412" s="37">
        <f>IF(AQ412="2",BH412,0)</f>
        <v>0</v>
      </c>
      <c r="AG412" s="37">
        <f>IF(AQ412="2",BI412,0)</f>
        <v>0</v>
      </c>
      <c r="AH412" s="37">
        <f>IF(AQ412="0",BJ412,0)</f>
        <v>0</v>
      </c>
      <c r="AI412" s="31"/>
      <c r="AJ412" s="37">
        <f>IF(AN412=0,K412,0)</f>
        <v>0</v>
      </c>
      <c r="AK412" s="37">
        <f>IF(AN412=15,K412,0)</f>
        <v>0</v>
      </c>
      <c r="AL412" s="37">
        <f>IF(AN412=21,K412,0)</f>
        <v>0</v>
      </c>
      <c r="AN412" s="37">
        <v>15</v>
      </c>
      <c r="AO412" s="37">
        <f>H412*0</f>
        <v>0</v>
      </c>
      <c r="AP412" s="37">
        <f>H412*(1-0)</f>
        <v>0</v>
      </c>
      <c r="AQ412" s="38" t="s">
        <v>68</v>
      </c>
      <c r="AV412" s="37">
        <f>AW412+AX412</f>
        <v>0</v>
      </c>
      <c r="AW412" s="37">
        <f>G412*AO412</f>
        <v>0</v>
      </c>
      <c r="AX412" s="37">
        <f>G412*AP412</f>
        <v>0</v>
      </c>
      <c r="AY412" s="38" t="s">
        <v>757</v>
      </c>
      <c r="AZ412" s="38" t="s">
        <v>751</v>
      </c>
      <c r="BA412" s="31" t="s">
        <v>56</v>
      </c>
      <c r="BC412" s="37">
        <f>AW412+AX412</f>
        <v>0</v>
      </c>
      <c r="BD412" s="37">
        <f>H412/(100-BE412)*100</f>
        <v>0</v>
      </c>
      <c r="BE412" s="37">
        <v>0</v>
      </c>
      <c r="BF412" s="37">
        <f>412</f>
        <v>412</v>
      </c>
      <c r="BH412" s="37">
        <f>G412*AO412</f>
        <v>0</v>
      </c>
      <c r="BI412" s="37">
        <f>G412*AP412</f>
        <v>0</v>
      </c>
      <c r="BJ412" s="37">
        <f>G412*H412</f>
        <v>0</v>
      </c>
    </row>
    <row r="413" spans="3:7" ht="12.75">
      <c r="C413" s="39" t="s">
        <v>784</v>
      </c>
      <c r="D413" s="39"/>
      <c r="E413" s="39"/>
      <c r="G413" s="40">
        <v>80.576</v>
      </c>
    </row>
    <row r="414" spans="1:47" ht="12.75">
      <c r="A414" s="41"/>
      <c r="B414" s="42" t="s">
        <v>500</v>
      </c>
      <c r="C414" s="42" t="s">
        <v>785</v>
      </c>
      <c r="D414" s="42"/>
      <c r="E414" s="42"/>
      <c r="F414" s="41" t="s">
        <v>4</v>
      </c>
      <c r="G414" s="41" t="s">
        <v>4</v>
      </c>
      <c r="H414" s="41" t="s">
        <v>4</v>
      </c>
      <c r="I414" s="36">
        <f>SUM(I415:I430)</f>
        <v>0</v>
      </c>
      <c r="J414" s="36">
        <f>SUM(J415:J430)</f>
        <v>0</v>
      </c>
      <c r="K414" s="36">
        <f>SUM(K415:K430)</f>
        <v>0</v>
      </c>
      <c r="L414" s="31"/>
      <c r="AI414" s="31"/>
      <c r="AS414" s="36">
        <f>SUM(AJ415:AJ430)</f>
        <v>0</v>
      </c>
      <c r="AT414" s="36">
        <f>SUM(AK415:AK430)</f>
        <v>0</v>
      </c>
      <c r="AU414" s="36">
        <f>SUM(AL415:AL430)</f>
        <v>0</v>
      </c>
    </row>
    <row r="415" spans="1:62" ht="12.75">
      <c r="A415" s="10" t="s">
        <v>786</v>
      </c>
      <c r="B415" s="10" t="s">
        <v>787</v>
      </c>
      <c r="C415" s="10" t="s">
        <v>788</v>
      </c>
      <c r="D415" s="10"/>
      <c r="E415" s="10"/>
      <c r="F415" s="10" t="s">
        <v>347</v>
      </c>
      <c r="G415" s="37">
        <v>48</v>
      </c>
      <c r="H415" s="37">
        <v>0</v>
      </c>
      <c r="I415" s="37">
        <f>G415*AO415</f>
        <v>0</v>
      </c>
      <c r="J415" s="37">
        <f>G415*AP415</f>
        <v>0</v>
      </c>
      <c r="K415" s="37">
        <f>G415*H415</f>
        <v>0</v>
      </c>
      <c r="L415" s="38" t="s">
        <v>54</v>
      </c>
      <c r="Z415" s="37">
        <f>IF(AQ415="5",BJ415,0)</f>
        <v>0</v>
      </c>
      <c r="AB415" s="37">
        <f>IF(AQ415="1",BH415,0)</f>
        <v>0</v>
      </c>
      <c r="AC415" s="37">
        <f>IF(AQ415="1",BI415,0)</f>
        <v>0</v>
      </c>
      <c r="AD415" s="37">
        <f>IF(AQ415="7",BH415,0)</f>
        <v>0</v>
      </c>
      <c r="AE415" s="37">
        <f>IF(AQ415="7",BI415,0)</f>
        <v>0</v>
      </c>
      <c r="AF415" s="37">
        <f>IF(AQ415="2",BH415,0)</f>
        <v>0</v>
      </c>
      <c r="AG415" s="37">
        <f>IF(AQ415="2",BI415,0)</f>
        <v>0</v>
      </c>
      <c r="AH415" s="37">
        <f>IF(AQ415="0",BJ415,0)</f>
        <v>0</v>
      </c>
      <c r="AI415" s="31"/>
      <c r="AJ415" s="37">
        <f>IF(AN415=0,K415,0)</f>
        <v>0</v>
      </c>
      <c r="AK415" s="37">
        <f>IF(AN415=15,K415,0)</f>
        <v>0</v>
      </c>
      <c r="AL415" s="37">
        <f>IF(AN415=21,K415,0)</f>
        <v>0</v>
      </c>
      <c r="AN415" s="37">
        <v>15</v>
      </c>
      <c r="AO415" s="37">
        <f>H415*0.05174</f>
        <v>0</v>
      </c>
      <c r="AP415" s="37">
        <f>H415*(1-0.05174)</f>
        <v>0</v>
      </c>
      <c r="AQ415" s="38" t="s">
        <v>50</v>
      </c>
      <c r="AV415" s="37">
        <f>AW415+AX415</f>
        <v>0</v>
      </c>
      <c r="AW415" s="37">
        <f>G415*AO415</f>
        <v>0</v>
      </c>
      <c r="AX415" s="37">
        <f>G415*AP415</f>
        <v>0</v>
      </c>
      <c r="AY415" s="38" t="s">
        <v>789</v>
      </c>
      <c r="AZ415" s="38" t="s">
        <v>751</v>
      </c>
      <c r="BA415" s="31" t="s">
        <v>56</v>
      </c>
      <c r="BC415" s="37">
        <f>AW415+AX415</f>
        <v>0</v>
      </c>
      <c r="BD415" s="37">
        <f>H415/(100-BE415)*100</f>
        <v>0</v>
      </c>
      <c r="BE415" s="37">
        <v>0</v>
      </c>
      <c r="BF415" s="37">
        <f>415</f>
        <v>415</v>
      </c>
      <c r="BH415" s="37">
        <f>G415*AO415</f>
        <v>0</v>
      </c>
      <c r="BI415" s="37">
        <f>G415*AP415</f>
        <v>0</v>
      </c>
      <c r="BJ415" s="37">
        <f>G415*H415</f>
        <v>0</v>
      </c>
    </row>
    <row r="416" spans="3:7" ht="12.75">
      <c r="C416" s="39" t="s">
        <v>790</v>
      </c>
      <c r="D416" s="39"/>
      <c r="E416" s="39"/>
      <c r="G416" s="40">
        <v>48</v>
      </c>
    </row>
    <row r="417" spans="3:7" ht="12.75">
      <c r="C417" s="39" t="s">
        <v>791</v>
      </c>
      <c r="D417" s="39"/>
      <c r="E417" s="39"/>
      <c r="G417" s="40">
        <v>0</v>
      </c>
    </row>
    <row r="418" spans="1:62" ht="12.75">
      <c r="A418" s="10" t="s">
        <v>792</v>
      </c>
      <c r="B418" s="10" t="s">
        <v>793</v>
      </c>
      <c r="C418" s="10" t="s">
        <v>794</v>
      </c>
      <c r="D418" s="10"/>
      <c r="E418" s="10"/>
      <c r="F418" s="10" t="s">
        <v>347</v>
      </c>
      <c r="G418" s="37">
        <v>2</v>
      </c>
      <c r="H418" s="37">
        <v>0</v>
      </c>
      <c r="I418" s="37">
        <f>G418*AO418</f>
        <v>0</v>
      </c>
      <c r="J418" s="37">
        <f>G418*AP418</f>
        <v>0</v>
      </c>
      <c r="K418" s="37">
        <f>G418*H418</f>
        <v>0</v>
      </c>
      <c r="L418" s="38" t="s">
        <v>54</v>
      </c>
      <c r="Z418" s="37">
        <f>IF(AQ418="5",BJ418,0)</f>
        <v>0</v>
      </c>
      <c r="AB418" s="37">
        <f>IF(AQ418="1",BH418,0)</f>
        <v>0</v>
      </c>
      <c r="AC418" s="37">
        <f>IF(AQ418="1",BI418,0)</f>
        <v>0</v>
      </c>
      <c r="AD418" s="37">
        <f>IF(AQ418="7",BH418,0)</f>
        <v>0</v>
      </c>
      <c r="AE418" s="37">
        <f>IF(AQ418="7",BI418,0)</f>
        <v>0</v>
      </c>
      <c r="AF418" s="37">
        <f>IF(AQ418="2",BH418,0)</f>
        <v>0</v>
      </c>
      <c r="AG418" s="37">
        <f>IF(AQ418="2",BI418,0)</f>
        <v>0</v>
      </c>
      <c r="AH418" s="37">
        <f>IF(AQ418="0",BJ418,0)</f>
        <v>0</v>
      </c>
      <c r="AI418" s="31"/>
      <c r="AJ418" s="37">
        <f>IF(AN418=0,K418,0)</f>
        <v>0</v>
      </c>
      <c r="AK418" s="37">
        <f>IF(AN418=15,K418,0)</f>
        <v>0</v>
      </c>
      <c r="AL418" s="37">
        <f>IF(AN418=21,K418,0)</f>
        <v>0</v>
      </c>
      <c r="AN418" s="37">
        <v>15</v>
      </c>
      <c r="AO418" s="37">
        <f>H418*0.751786363636364</f>
        <v>0</v>
      </c>
      <c r="AP418" s="37">
        <f>H418*(1-0.751786363636364)</f>
        <v>0</v>
      </c>
      <c r="AQ418" s="38" t="s">
        <v>50</v>
      </c>
      <c r="AV418" s="37">
        <f>AW418+AX418</f>
        <v>0</v>
      </c>
      <c r="AW418" s="37">
        <f>G418*AO418</f>
        <v>0</v>
      </c>
      <c r="AX418" s="37">
        <f>G418*AP418</f>
        <v>0</v>
      </c>
      <c r="AY418" s="38" t="s">
        <v>789</v>
      </c>
      <c r="AZ418" s="38" t="s">
        <v>751</v>
      </c>
      <c r="BA418" s="31" t="s">
        <v>56</v>
      </c>
      <c r="BC418" s="37">
        <f>AW418+AX418</f>
        <v>0</v>
      </c>
      <c r="BD418" s="37">
        <f>H418/(100-BE418)*100</f>
        <v>0</v>
      </c>
      <c r="BE418" s="37">
        <v>0</v>
      </c>
      <c r="BF418" s="37">
        <f>418</f>
        <v>418</v>
      </c>
      <c r="BH418" s="37">
        <f>G418*AO418</f>
        <v>0</v>
      </c>
      <c r="BI418" s="37">
        <f>G418*AP418</f>
        <v>0</v>
      </c>
      <c r="BJ418" s="37">
        <f>G418*H418</f>
        <v>0</v>
      </c>
    </row>
    <row r="419" spans="3:7" ht="12.75">
      <c r="C419" s="39" t="s">
        <v>403</v>
      </c>
      <c r="D419" s="39"/>
      <c r="E419" s="39"/>
      <c r="G419" s="40">
        <v>2</v>
      </c>
    </row>
    <row r="420" spans="1:62" ht="12.75">
      <c r="A420" s="10" t="s">
        <v>795</v>
      </c>
      <c r="B420" s="10" t="s">
        <v>796</v>
      </c>
      <c r="C420" s="10" t="s">
        <v>797</v>
      </c>
      <c r="D420" s="10"/>
      <c r="E420" s="10"/>
      <c r="F420" s="10" t="s">
        <v>347</v>
      </c>
      <c r="G420" s="37">
        <v>110</v>
      </c>
      <c r="H420" s="37">
        <v>0</v>
      </c>
      <c r="I420" s="37">
        <f>G420*AO420</f>
        <v>0</v>
      </c>
      <c r="J420" s="37">
        <f>G420*AP420</f>
        <v>0</v>
      </c>
      <c r="K420" s="37">
        <f>G420*H420</f>
        <v>0</v>
      </c>
      <c r="L420" s="38" t="s">
        <v>54</v>
      </c>
      <c r="Z420" s="37">
        <f>IF(AQ420="5",BJ420,0)</f>
        <v>0</v>
      </c>
      <c r="AB420" s="37">
        <f>IF(AQ420="1",BH420,0)</f>
        <v>0</v>
      </c>
      <c r="AC420" s="37">
        <f>IF(AQ420="1",BI420,0)</f>
        <v>0</v>
      </c>
      <c r="AD420" s="37">
        <f>IF(AQ420="7",BH420,0)</f>
        <v>0</v>
      </c>
      <c r="AE420" s="37">
        <f>IF(AQ420="7",BI420,0)</f>
        <v>0</v>
      </c>
      <c r="AF420" s="37">
        <f>IF(AQ420="2",BH420,0)</f>
        <v>0</v>
      </c>
      <c r="AG420" s="37">
        <f>IF(AQ420="2",BI420,0)</f>
        <v>0</v>
      </c>
      <c r="AH420" s="37">
        <f>IF(AQ420="0",BJ420,0)</f>
        <v>0</v>
      </c>
      <c r="AI420" s="31"/>
      <c r="AJ420" s="37">
        <f>IF(AN420=0,K420,0)</f>
        <v>0</v>
      </c>
      <c r="AK420" s="37">
        <f>IF(AN420=15,K420,0)</f>
        <v>0</v>
      </c>
      <c r="AL420" s="37">
        <f>IF(AN420=21,K420,0)</f>
        <v>0</v>
      </c>
      <c r="AN420" s="37">
        <v>15</v>
      </c>
      <c r="AO420" s="37">
        <f>H420*1</f>
        <v>0</v>
      </c>
      <c r="AP420" s="37">
        <f>H420*(1-1)</f>
        <v>0</v>
      </c>
      <c r="AQ420" s="38" t="s">
        <v>50</v>
      </c>
      <c r="AV420" s="37">
        <f>AW420+AX420</f>
        <v>0</v>
      </c>
      <c r="AW420" s="37">
        <f>G420*AO420</f>
        <v>0</v>
      </c>
      <c r="AX420" s="37">
        <f>G420*AP420</f>
        <v>0</v>
      </c>
      <c r="AY420" s="38" t="s">
        <v>789</v>
      </c>
      <c r="AZ420" s="38" t="s">
        <v>751</v>
      </c>
      <c r="BA420" s="31" t="s">
        <v>56</v>
      </c>
      <c r="BC420" s="37">
        <f>AW420+AX420</f>
        <v>0</v>
      </c>
      <c r="BD420" s="37">
        <f>H420/(100-BE420)*100</f>
        <v>0</v>
      </c>
      <c r="BE420" s="37">
        <v>0</v>
      </c>
      <c r="BF420" s="37">
        <f>420</f>
        <v>420</v>
      </c>
      <c r="BH420" s="37">
        <f>G420*AO420</f>
        <v>0</v>
      </c>
      <c r="BI420" s="37">
        <f>G420*AP420</f>
        <v>0</v>
      </c>
      <c r="BJ420" s="37">
        <f>G420*H420</f>
        <v>0</v>
      </c>
    </row>
    <row r="421" spans="3:7" ht="12.75">
      <c r="C421" s="39" t="s">
        <v>798</v>
      </c>
      <c r="D421" s="39"/>
      <c r="E421" s="39"/>
      <c r="G421" s="40">
        <v>110</v>
      </c>
    </row>
    <row r="422" spans="1:62" ht="12.75">
      <c r="A422" s="10" t="s">
        <v>799</v>
      </c>
      <c r="B422" s="10" t="s">
        <v>800</v>
      </c>
      <c r="C422" s="10" t="s">
        <v>801</v>
      </c>
      <c r="D422" s="10"/>
      <c r="E422" s="10"/>
      <c r="F422" s="10" t="s">
        <v>347</v>
      </c>
      <c r="G422" s="37">
        <v>1</v>
      </c>
      <c r="H422" s="37">
        <v>0</v>
      </c>
      <c r="I422" s="37">
        <f>G422*AO422</f>
        <v>0</v>
      </c>
      <c r="J422" s="37">
        <f>G422*AP422</f>
        <v>0</v>
      </c>
      <c r="K422" s="37">
        <f>G422*H422</f>
        <v>0</v>
      </c>
      <c r="L422" s="38" t="s">
        <v>54</v>
      </c>
      <c r="Z422" s="37">
        <f>IF(AQ422="5",BJ422,0)</f>
        <v>0</v>
      </c>
      <c r="AB422" s="37">
        <f>IF(AQ422="1",BH422,0)</f>
        <v>0</v>
      </c>
      <c r="AC422" s="37">
        <f>IF(AQ422="1",BI422,0)</f>
        <v>0</v>
      </c>
      <c r="AD422" s="37">
        <f>IF(AQ422="7",BH422,0)</f>
        <v>0</v>
      </c>
      <c r="AE422" s="37">
        <f>IF(AQ422="7",BI422,0)</f>
        <v>0</v>
      </c>
      <c r="AF422" s="37">
        <f>IF(AQ422="2",BH422,0)</f>
        <v>0</v>
      </c>
      <c r="AG422" s="37">
        <f>IF(AQ422="2",BI422,0)</f>
        <v>0</v>
      </c>
      <c r="AH422" s="37">
        <f>IF(AQ422="0",BJ422,0)</f>
        <v>0</v>
      </c>
      <c r="AI422" s="31"/>
      <c r="AJ422" s="37">
        <f>IF(AN422=0,K422,0)</f>
        <v>0</v>
      </c>
      <c r="AK422" s="37">
        <f>IF(AN422=15,K422,0)</f>
        <v>0</v>
      </c>
      <c r="AL422" s="37">
        <f>IF(AN422=21,K422,0)</f>
        <v>0</v>
      </c>
      <c r="AN422" s="37">
        <v>15</v>
      </c>
      <c r="AO422" s="37">
        <f>H422*1</f>
        <v>0</v>
      </c>
      <c r="AP422" s="37">
        <f>H422*(1-1)</f>
        <v>0</v>
      </c>
      <c r="AQ422" s="38" t="s">
        <v>50</v>
      </c>
      <c r="AV422" s="37">
        <f>AW422+AX422</f>
        <v>0</v>
      </c>
      <c r="AW422" s="37">
        <f>G422*AO422</f>
        <v>0</v>
      </c>
      <c r="AX422" s="37">
        <f>G422*AP422</f>
        <v>0</v>
      </c>
      <c r="AY422" s="38" t="s">
        <v>789</v>
      </c>
      <c r="AZ422" s="38" t="s">
        <v>751</v>
      </c>
      <c r="BA422" s="31" t="s">
        <v>56</v>
      </c>
      <c r="BC422" s="37">
        <f>AW422+AX422</f>
        <v>0</v>
      </c>
      <c r="BD422" s="37">
        <f>H422/(100-BE422)*100</f>
        <v>0</v>
      </c>
      <c r="BE422" s="37">
        <v>0</v>
      </c>
      <c r="BF422" s="37">
        <f>422</f>
        <v>422</v>
      </c>
      <c r="BH422" s="37">
        <f>G422*AO422</f>
        <v>0</v>
      </c>
      <c r="BI422" s="37">
        <f>G422*AP422</f>
        <v>0</v>
      </c>
      <c r="BJ422" s="37">
        <f>G422*H422</f>
        <v>0</v>
      </c>
    </row>
    <row r="423" spans="3:7" ht="12.75">
      <c r="C423" s="39" t="s">
        <v>802</v>
      </c>
      <c r="D423" s="39"/>
      <c r="E423" s="39"/>
      <c r="G423" s="40">
        <v>1</v>
      </c>
    </row>
    <row r="424" spans="1:62" ht="12.75">
      <c r="A424" s="10" t="s">
        <v>803</v>
      </c>
      <c r="B424" s="10" t="s">
        <v>804</v>
      </c>
      <c r="C424" s="10" t="s">
        <v>805</v>
      </c>
      <c r="D424" s="10"/>
      <c r="E424" s="10"/>
      <c r="F424" s="10" t="s">
        <v>167</v>
      </c>
      <c r="G424" s="37">
        <v>20</v>
      </c>
      <c r="H424" s="37">
        <v>0</v>
      </c>
      <c r="I424" s="37">
        <f>G424*AO424</f>
        <v>0</v>
      </c>
      <c r="J424" s="37">
        <f>G424*AP424</f>
        <v>0</v>
      </c>
      <c r="K424" s="37">
        <f>G424*H424</f>
        <v>0</v>
      </c>
      <c r="L424" s="38" t="s">
        <v>54</v>
      </c>
      <c r="Z424" s="37">
        <f>IF(AQ424="5",BJ424,0)</f>
        <v>0</v>
      </c>
      <c r="AB424" s="37">
        <f>IF(AQ424="1",BH424,0)</f>
        <v>0</v>
      </c>
      <c r="AC424" s="37">
        <f>IF(AQ424="1",BI424,0)</f>
        <v>0</v>
      </c>
      <c r="AD424" s="37">
        <f>IF(AQ424="7",BH424,0)</f>
        <v>0</v>
      </c>
      <c r="AE424" s="37">
        <f>IF(AQ424="7",BI424,0)</f>
        <v>0</v>
      </c>
      <c r="AF424" s="37">
        <f>IF(AQ424="2",BH424,0)</f>
        <v>0</v>
      </c>
      <c r="AG424" s="37">
        <f>IF(AQ424="2",BI424,0)</f>
        <v>0</v>
      </c>
      <c r="AH424" s="37">
        <f>IF(AQ424="0",BJ424,0)</f>
        <v>0</v>
      </c>
      <c r="AI424" s="31"/>
      <c r="AJ424" s="37">
        <f>IF(AN424=0,K424,0)</f>
        <v>0</v>
      </c>
      <c r="AK424" s="37">
        <f>IF(AN424=15,K424,0)</f>
        <v>0</v>
      </c>
      <c r="AL424" s="37">
        <f>IF(AN424=21,K424,0)</f>
        <v>0</v>
      </c>
      <c r="AN424" s="37">
        <v>15</v>
      </c>
      <c r="AO424" s="37">
        <f>H424*1</f>
        <v>0</v>
      </c>
      <c r="AP424" s="37">
        <f>H424*(1-1)</f>
        <v>0</v>
      </c>
      <c r="AQ424" s="38" t="s">
        <v>50</v>
      </c>
      <c r="AV424" s="37">
        <f>AW424+AX424</f>
        <v>0</v>
      </c>
      <c r="AW424" s="37">
        <f>G424*AO424</f>
        <v>0</v>
      </c>
      <c r="AX424" s="37">
        <f>G424*AP424</f>
        <v>0</v>
      </c>
      <c r="AY424" s="38" t="s">
        <v>789</v>
      </c>
      <c r="AZ424" s="38" t="s">
        <v>751</v>
      </c>
      <c r="BA424" s="31" t="s">
        <v>56</v>
      </c>
      <c r="BC424" s="37">
        <f>AW424+AX424</f>
        <v>0</v>
      </c>
      <c r="BD424" s="37">
        <f>H424/(100-BE424)*100</f>
        <v>0</v>
      </c>
      <c r="BE424" s="37">
        <v>0</v>
      </c>
      <c r="BF424" s="37">
        <f>424</f>
        <v>424</v>
      </c>
      <c r="BH424" s="37">
        <f>G424*AO424</f>
        <v>0</v>
      </c>
      <c r="BI424" s="37">
        <f>G424*AP424</f>
        <v>0</v>
      </c>
      <c r="BJ424" s="37">
        <f>G424*H424</f>
        <v>0</v>
      </c>
    </row>
    <row r="425" spans="3:7" ht="12.75">
      <c r="C425" s="39" t="s">
        <v>806</v>
      </c>
      <c r="D425" s="39"/>
      <c r="E425" s="39"/>
      <c r="G425" s="40">
        <v>20</v>
      </c>
    </row>
    <row r="426" spans="1:62" ht="12.75">
      <c r="A426" s="10" t="s">
        <v>807</v>
      </c>
      <c r="B426" s="10" t="s">
        <v>808</v>
      </c>
      <c r="C426" s="10" t="s">
        <v>809</v>
      </c>
      <c r="D426" s="10"/>
      <c r="E426" s="10"/>
      <c r="F426" s="10" t="s">
        <v>167</v>
      </c>
      <c r="G426" s="37">
        <v>11.25</v>
      </c>
      <c r="H426" s="37">
        <v>0</v>
      </c>
      <c r="I426" s="37">
        <f>G426*AO426</f>
        <v>0</v>
      </c>
      <c r="J426" s="37">
        <f>G426*AP426</f>
        <v>0</v>
      </c>
      <c r="K426" s="37">
        <f>G426*H426</f>
        <v>0</v>
      </c>
      <c r="L426" s="38" t="s">
        <v>54</v>
      </c>
      <c r="Z426" s="37">
        <f>IF(AQ426="5",BJ426,0)</f>
        <v>0</v>
      </c>
      <c r="AB426" s="37">
        <f>IF(AQ426="1",BH426,0)</f>
        <v>0</v>
      </c>
      <c r="AC426" s="37">
        <f>IF(AQ426="1",BI426,0)</f>
        <v>0</v>
      </c>
      <c r="AD426" s="37">
        <f>IF(AQ426="7",BH426,0)</f>
        <v>0</v>
      </c>
      <c r="AE426" s="37">
        <f>IF(AQ426="7",BI426,0)</f>
        <v>0</v>
      </c>
      <c r="AF426" s="37">
        <f>IF(AQ426="2",BH426,0)</f>
        <v>0</v>
      </c>
      <c r="AG426" s="37">
        <f>IF(AQ426="2",BI426,0)</f>
        <v>0</v>
      </c>
      <c r="AH426" s="37">
        <f>IF(AQ426="0",BJ426,0)</f>
        <v>0</v>
      </c>
      <c r="AI426" s="31"/>
      <c r="AJ426" s="37">
        <f>IF(AN426=0,K426,0)</f>
        <v>0</v>
      </c>
      <c r="AK426" s="37">
        <f>IF(AN426=15,K426,0)</f>
        <v>0</v>
      </c>
      <c r="AL426" s="37">
        <f>IF(AN426=21,K426,0)</f>
        <v>0</v>
      </c>
      <c r="AN426" s="37">
        <v>15</v>
      </c>
      <c r="AO426" s="37">
        <f>H426*0.733604838709677</f>
        <v>0</v>
      </c>
      <c r="AP426" s="37">
        <f>H426*(1-0.733604838709677)</f>
        <v>0</v>
      </c>
      <c r="AQ426" s="38" t="s">
        <v>50</v>
      </c>
      <c r="AV426" s="37">
        <f>AW426+AX426</f>
        <v>0</v>
      </c>
      <c r="AW426" s="37">
        <f>G426*AO426</f>
        <v>0</v>
      </c>
      <c r="AX426" s="37">
        <f>G426*AP426</f>
        <v>0</v>
      </c>
      <c r="AY426" s="38" t="s">
        <v>789</v>
      </c>
      <c r="AZ426" s="38" t="s">
        <v>751</v>
      </c>
      <c r="BA426" s="31" t="s">
        <v>56</v>
      </c>
      <c r="BC426" s="37">
        <f>AW426+AX426</f>
        <v>0</v>
      </c>
      <c r="BD426" s="37">
        <f>H426/(100-BE426)*100</f>
        <v>0</v>
      </c>
      <c r="BE426" s="37">
        <v>0</v>
      </c>
      <c r="BF426" s="37">
        <f>426</f>
        <v>426</v>
      </c>
      <c r="BH426" s="37">
        <f>G426*AO426</f>
        <v>0</v>
      </c>
      <c r="BI426" s="37">
        <f>G426*AP426</f>
        <v>0</v>
      </c>
      <c r="BJ426" s="37">
        <f>G426*H426</f>
        <v>0</v>
      </c>
    </row>
    <row r="427" spans="3:7" ht="12.75">
      <c r="C427" s="39" t="s">
        <v>810</v>
      </c>
      <c r="D427" s="39"/>
      <c r="E427" s="39"/>
      <c r="G427" s="40">
        <v>11.25</v>
      </c>
    </row>
    <row r="428" spans="1:62" ht="12.75">
      <c r="A428" s="10" t="s">
        <v>811</v>
      </c>
      <c r="B428" s="10" t="s">
        <v>812</v>
      </c>
      <c r="C428" s="10" t="s">
        <v>813</v>
      </c>
      <c r="D428" s="10"/>
      <c r="E428" s="10"/>
      <c r="F428" s="10" t="s">
        <v>117</v>
      </c>
      <c r="G428" s="37">
        <v>386</v>
      </c>
      <c r="H428" s="37">
        <v>0</v>
      </c>
      <c r="I428" s="37">
        <f>G428*AO428</f>
        <v>0</v>
      </c>
      <c r="J428" s="37">
        <f>G428*AP428</f>
        <v>0</v>
      </c>
      <c r="K428" s="37">
        <f>G428*H428</f>
        <v>0</v>
      </c>
      <c r="L428" s="38" t="s">
        <v>54</v>
      </c>
      <c r="Z428" s="37">
        <f>IF(AQ428="5",BJ428,0)</f>
        <v>0</v>
      </c>
      <c r="AB428" s="37">
        <f>IF(AQ428="1",BH428,0)</f>
        <v>0</v>
      </c>
      <c r="AC428" s="37">
        <f>IF(AQ428="1",BI428,0)</f>
        <v>0</v>
      </c>
      <c r="AD428" s="37">
        <f>IF(AQ428="7",BH428,0)</f>
        <v>0</v>
      </c>
      <c r="AE428" s="37">
        <f>IF(AQ428="7",BI428,0)</f>
        <v>0</v>
      </c>
      <c r="AF428" s="37">
        <f>IF(AQ428="2",BH428,0)</f>
        <v>0</v>
      </c>
      <c r="AG428" s="37">
        <f>IF(AQ428="2",BI428,0)</f>
        <v>0</v>
      </c>
      <c r="AH428" s="37">
        <f>IF(AQ428="0",BJ428,0)</f>
        <v>0</v>
      </c>
      <c r="AI428" s="31"/>
      <c r="AJ428" s="37">
        <f>IF(AN428=0,K428,0)</f>
        <v>0</v>
      </c>
      <c r="AK428" s="37">
        <f>IF(AN428=15,K428,0)</f>
        <v>0</v>
      </c>
      <c r="AL428" s="37">
        <f>IF(AN428=21,K428,0)</f>
        <v>0</v>
      </c>
      <c r="AN428" s="37">
        <v>15</v>
      </c>
      <c r="AO428" s="37">
        <f>H428*0.0107924528301887</f>
        <v>0</v>
      </c>
      <c r="AP428" s="37">
        <f>H428*(1-0.0107924528301887)</f>
        <v>0</v>
      </c>
      <c r="AQ428" s="38" t="s">
        <v>50</v>
      </c>
      <c r="AV428" s="37">
        <f>AW428+AX428</f>
        <v>0</v>
      </c>
      <c r="AW428" s="37">
        <f>G428*AO428</f>
        <v>0</v>
      </c>
      <c r="AX428" s="37">
        <f>G428*AP428</f>
        <v>0</v>
      </c>
      <c r="AY428" s="38" t="s">
        <v>789</v>
      </c>
      <c r="AZ428" s="38" t="s">
        <v>751</v>
      </c>
      <c r="BA428" s="31" t="s">
        <v>56</v>
      </c>
      <c r="BC428" s="37">
        <f>AW428+AX428</f>
        <v>0</v>
      </c>
      <c r="BD428" s="37">
        <f>H428/(100-BE428)*100</f>
        <v>0</v>
      </c>
      <c r="BE428" s="37">
        <v>0</v>
      </c>
      <c r="BF428" s="37">
        <f>428</f>
        <v>428</v>
      </c>
      <c r="BH428" s="37">
        <f>G428*AO428</f>
        <v>0</v>
      </c>
      <c r="BI428" s="37">
        <f>G428*AP428</f>
        <v>0</v>
      </c>
      <c r="BJ428" s="37">
        <f>G428*H428</f>
        <v>0</v>
      </c>
    </row>
    <row r="429" spans="3:7" ht="12.75">
      <c r="C429" s="39" t="s">
        <v>814</v>
      </c>
      <c r="D429" s="39"/>
      <c r="E429" s="39"/>
      <c r="G429" s="40">
        <v>386</v>
      </c>
    </row>
    <row r="430" spans="1:62" ht="12.75">
      <c r="A430" s="10" t="s">
        <v>815</v>
      </c>
      <c r="B430" s="10" t="s">
        <v>816</v>
      </c>
      <c r="C430" s="10" t="s">
        <v>817</v>
      </c>
      <c r="D430" s="10"/>
      <c r="E430" s="10"/>
      <c r="F430" s="10" t="s">
        <v>145</v>
      </c>
      <c r="G430" s="37">
        <v>0.643</v>
      </c>
      <c r="H430" s="37">
        <v>0</v>
      </c>
      <c r="I430" s="37">
        <f>G430*AO430</f>
        <v>0</v>
      </c>
      <c r="J430" s="37">
        <f>G430*AP430</f>
        <v>0</v>
      </c>
      <c r="K430" s="37">
        <f>G430*H430</f>
        <v>0</v>
      </c>
      <c r="L430" s="38" t="s">
        <v>54</v>
      </c>
      <c r="Z430" s="37">
        <f>IF(AQ430="5",BJ430,0)</f>
        <v>0</v>
      </c>
      <c r="AB430" s="37">
        <f>IF(AQ430="1",BH430,0)</f>
        <v>0</v>
      </c>
      <c r="AC430" s="37">
        <f>IF(AQ430="1",BI430,0)</f>
        <v>0</v>
      </c>
      <c r="AD430" s="37">
        <f>IF(AQ430="7",BH430,0)</f>
        <v>0</v>
      </c>
      <c r="AE430" s="37">
        <f>IF(AQ430="7",BI430,0)</f>
        <v>0</v>
      </c>
      <c r="AF430" s="37">
        <f>IF(AQ430="2",BH430,0)</f>
        <v>0</v>
      </c>
      <c r="AG430" s="37">
        <f>IF(AQ430="2",BI430,0)</f>
        <v>0</v>
      </c>
      <c r="AH430" s="37">
        <f>IF(AQ430="0",BJ430,0)</f>
        <v>0</v>
      </c>
      <c r="AI430" s="31"/>
      <c r="AJ430" s="37">
        <f>IF(AN430=0,K430,0)</f>
        <v>0</v>
      </c>
      <c r="AK430" s="37">
        <f>IF(AN430=15,K430,0)</f>
        <v>0</v>
      </c>
      <c r="AL430" s="37">
        <f>IF(AN430=21,K430,0)</f>
        <v>0</v>
      </c>
      <c r="AN430" s="37">
        <v>15</v>
      </c>
      <c r="AO430" s="37">
        <f>H430*0</f>
        <v>0</v>
      </c>
      <c r="AP430" s="37">
        <f>H430*(1-0)</f>
        <v>0</v>
      </c>
      <c r="AQ430" s="38" t="s">
        <v>68</v>
      </c>
      <c r="AV430" s="37">
        <f>AW430+AX430</f>
        <v>0</v>
      </c>
      <c r="AW430" s="37">
        <f>G430*AO430</f>
        <v>0</v>
      </c>
      <c r="AX430" s="37">
        <f>G430*AP430</f>
        <v>0</v>
      </c>
      <c r="AY430" s="38" t="s">
        <v>789</v>
      </c>
      <c r="AZ430" s="38" t="s">
        <v>751</v>
      </c>
      <c r="BA430" s="31" t="s">
        <v>56</v>
      </c>
      <c r="BC430" s="37">
        <f>AW430+AX430</f>
        <v>0</v>
      </c>
      <c r="BD430" s="37">
        <f>H430/(100-BE430)*100</f>
        <v>0</v>
      </c>
      <c r="BE430" s="37">
        <v>0</v>
      </c>
      <c r="BF430" s="37">
        <f>430</f>
        <v>430</v>
      </c>
      <c r="BH430" s="37">
        <f>G430*AO430</f>
        <v>0</v>
      </c>
      <c r="BI430" s="37">
        <f>G430*AP430</f>
        <v>0</v>
      </c>
      <c r="BJ430" s="37">
        <f>G430*H430</f>
        <v>0</v>
      </c>
    </row>
    <row r="431" spans="3:7" ht="12.75">
      <c r="C431" s="39" t="s">
        <v>818</v>
      </c>
      <c r="D431" s="39"/>
      <c r="E431" s="39"/>
      <c r="G431" s="40">
        <v>0.643</v>
      </c>
    </row>
    <row r="432" spans="1:47" ht="12.75">
      <c r="A432" s="41"/>
      <c r="B432" s="42" t="s">
        <v>509</v>
      </c>
      <c r="C432" s="42" t="s">
        <v>819</v>
      </c>
      <c r="D432" s="42"/>
      <c r="E432" s="42"/>
      <c r="F432" s="41" t="s">
        <v>4</v>
      </c>
      <c r="G432" s="41" t="s">
        <v>4</v>
      </c>
      <c r="H432" s="41" t="s">
        <v>4</v>
      </c>
      <c r="I432" s="36">
        <f>SUM(I433:I433)</f>
        <v>0</v>
      </c>
      <c r="J432" s="36">
        <f>SUM(J433:J433)</f>
        <v>0</v>
      </c>
      <c r="K432" s="36">
        <f>SUM(K433:K433)</f>
        <v>0</v>
      </c>
      <c r="L432" s="31"/>
      <c r="AI432" s="31"/>
      <c r="AS432" s="36">
        <f>SUM(AJ433:AJ433)</f>
        <v>0</v>
      </c>
      <c r="AT432" s="36">
        <f>SUM(AK433:AK433)</f>
        <v>0</v>
      </c>
      <c r="AU432" s="36">
        <f>SUM(AL433:AL433)</f>
        <v>0</v>
      </c>
    </row>
    <row r="433" spans="1:62" ht="12.75">
      <c r="A433" s="10" t="s">
        <v>820</v>
      </c>
      <c r="B433" s="10" t="s">
        <v>821</v>
      </c>
      <c r="C433" s="10" t="s">
        <v>822</v>
      </c>
      <c r="D433" s="10"/>
      <c r="E433" s="10"/>
      <c r="F433" s="10" t="s">
        <v>167</v>
      </c>
      <c r="G433" s="37">
        <v>3.36</v>
      </c>
      <c r="H433" s="37">
        <v>0</v>
      </c>
      <c r="I433" s="37">
        <f>G433*AO433</f>
        <v>0</v>
      </c>
      <c r="J433" s="37">
        <f>G433*AP433</f>
        <v>0</v>
      </c>
      <c r="K433" s="37">
        <f>G433*H433</f>
        <v>0</v>
      </c>
      <c r="L433" s="38" t="s">
        <v>54</v>
      </c>
      <c r="Z433" s="37">
        <f>IF(AQ433="5",BJ433,0)</f>
        <v>0</v>
      </c>
      <c r="AB433" s="37">
        <f>IF(AQ433="1",BH433,0)</f>
        <v>0</v>
      </c>
      <c r="AC433" s="37">
        <f>IF(AQ433="1",BI433,0)</f>
        <v>0</v>
      </c>
      <c r="AD433" s="37">
        <f>IF(AQ433="7",BH433,0)</f>
        <v>0</v>
      </c>
      <c r="AE433" s="37">
        <f>IF(AQ433="7",BI433,0)</f>
        <v>0</v>
      </c>
      <c r="AF433" s="37">
        <f>IF(AQ433="2",BH433,0)</f>
        <v>0</v>
      </c>
      <c r="AG433" s="37">
        <f>IF(AQ433="2",BI433,0)</f>
        <v>0</v>
      </c>
      <c r="AH433" s="37">
        <f>IF(AQ433="0",BJ433,0)</f>
        <v>0</v>
      </c>
      <c r="AI433" s="31"/>
      <c r="AJ433" s="37">
        <f>IF(AN433=0,K433,0)</f>
        <v>0</v>
      </c>
      <c r="AK433" s="37">
        <f>IF(AN433=15,K433,0)</f>
        <v>0</v>
      </c>
      <c r="AL433" s="37">
        <f>IF(AN433=21,K433,0)</f>
        <v>0</v>
      </c>
      <c r="AN433" s="37">
        <v>15</v>
      </c>
      <c r="AO433" s="37">
        <f>H433*0.344011097828074</f>
        <v>0</v>
      </c>
      <c r="AP433" s="37">
        <f>H433*(1-0.344011097828074)</f>
        <v>0</v>
      </c>
      <c r="AQ433" s="38" t="s">
        <v>50</v>
      </c>
      <c r="AV433" s="37">
        <f>AW433+AX433</f>
        <v>0</v>
      </c>
      <c r="AW433" s="37">
        <f>G433*AO433</f>
        <v>0</v>
      </c>
      <c r="AX433" s="37">
        <f>G433*AP433</f>
        <v>0</v>
      </c>
      <c r="AY433" s="38" t="s">
        <v>823</v>
      </c>
      <c r="AZ433" s="38" t="s">
        <v>751</v>
      </c>
      <c r="BA433" s="31" t="s">
        <v>56</v>
      </c>
      <c r="BC433" s="37">
        <f>AW433+AX433</f>
        <v>0</v>
      </c>
      <c r="BD433" s="37">
        <f>H433/(100-BE433)*100</f>
        <v>0</v>
      </c>
      <c r="BE433" s="37">
        <v>0</v>
      </c>
      <c r="BF433" s="37">
        <f>433</f>
        <v>433</v>
      </c>
      <c r="BH433" s="37">
        <f>G433*AO433</f>
        <v>0</v>
      </c>
      <c r="BI433" s="37">
        <f>G433*AP433</f>
        <v>0</v>
      </c>
      <c r="BJ433" s="37">
        <f>G433*H433</f>
        <v>0</v>
      </c>
    </row>
    <row r="434" spans="3:7" ht="12.75">
      <c r="C434" s="39" t="s">
        <v>824</v>
      </c>
      <c r="D434" s="39"/>
      <c r="E434" s="39"/>
      <c r="G434" s="40">
        <v>3.36</v>
      </c>
    </row>
    <row r="435" spans="1:47" ht="12.75">
      <c r="A435" s="41"/>
      <c r="B435" s="42" t="s">
        <v>825</v>
      </c>
      <c r="C435" s="42" t="s">
        <v>826</v>
      </c>
      <c r="D435" s="42"/>
      <c r="E435" s="42"/>
      <c r="F435" s="41" t="s">
        <v>4</v>
      </c>
      <c r="G435" s="41" t="s">
        <v>4</v>
      </c>
      <c r="H435" s="41" t="s">
        <v>4</v>
      </c>
      <c r="I435" s="36">
        <f>SUM(I436:I536)</f>
        <v>0</v>
      </c>
      <c r="J435" s="36">
        <f>SUM(J436:J536)</f>
        <v>0</v>
      </c>
      <c r="K435" s="36">
        <f>SUM(K436:K536)</f>
        <v>0</v>
      </c>
      <c r="L435" s="31"/>
      <c r="AI435" s="31"/>
      <c r="AS435" s="36">
        <f>SUM(AJ436:AJ536)</f>
        <v>0</v>
      </c>
      <c r="AT435" s="36">
        <f>SUM(AK436:AK536)</f>
        <v>0</v>
      </c>
      <c r="AU435" s="36">
        <f>SUM(AL436:AL536)</f>
        <v>0</v>
      </c>
    </row>
    <row r="436" spans="1:62" ht="12.75">
      <c r="A436" s="10" t="s">
        <v>827</v>
      </c>
      <c r="B436" s="10" t="s">
        <v>828</v>
      </c>
      <c r="C436" s="10" t="s">
        <v>829</v>
      </c>
      <c r="D436" s="10"/>
      <c r="E436" s="10"/>
      <c r="F436" s="10" t="s">
        <v>830</v>
      </c>
      <c r="G436" s="37">
        <v>16</v>
      </c>
      <c r="H436" s="37">
        <v>0</v>
      </c>
      <c r="I436" s="37">
        <f>G436*AO436</f>
        <v>0</v>
      </c>
      <c r="J436" s="37">
        <f>G436*AP436</f>
        <v>0</v>
      </c>
      <c r="K436" s="37">
        <f>G436*H436</f>
        <v>0</v>
      </c>
      <c r="L436" s="38" t="s">
        <v>54</v>
      </c>
      <c r="Z436" s="37">
        <f>IF(AQ436="5",BJ436,0)</f>
        <v>0</v>
      </c>
      <c r="AB436" s="37">
        <f>IF(AQ436="1",BH436,0)</f>
        <v>0</v>
      </c>
      <c r="AC436" s="37">
        <f>IF(AQ436="1",BI436,0)</f>
        <v>0</v>
      </c>
      <c r="AD436" s="37">
        <f>IF(AQ436="7",BH436,0)</f>
        <v>0</v>
      </c>
      <c r="AE436" s="37">
        <f>IF(AQ436="7",BI436,0)</f>
        <v>0</v>
      </c>
      <c r="AF436" s="37">
        <f>IF(AQ436="2",BH436,0)</f>
        <v>0</v>
      </c>
      <c r="AG436" s="37">
        <f>IF(AQ436="2",BI436,0)</f>
        <v>0</v>
      </c>
      <c r="AH436" s="37">
        <f>IF(AQ436="0",BJ436,0)</f>
        <v>0</v>
      </c>
      <c r="AI436" s="31"/>
      <c r="AJ436" s="37">
        <f>IF(AN436=0,K436,0)</f>
        <v>0</v>
      </c>
      <c r="AK436" s="37">
        <f>IF(AN436=15,K436,0)</f>
        <v>0</v>
      </c>
      <c r="AL436" s="37">
        <f>IF(AN436=21,K436,0)</f>
        <v>0</v>
      </c>
      <c r="AN436" s="37">
        <v>15</v>
      </c>
      <c r="AO436" s="37">
        <f>H436*0</f>
        <v>0</v>
      </c>
      <c r="AP436" s="37">
        <f>H436*(1-0)</f>
        <v>0</v>
      </c>
      <c r="AQ436" s="38" t="s">
        <v>58</v>
      </c>
      <c r="AV436" s="37">
        <f>AW436+AX436</f>
        <v>0</v>
      </c>
      <c r="AW436" s="37">
        <f>G436*AO436</f>
        <v>0</v>
      </c>
      <c r="AX436" s="37">
        <f>G436*AP436</f>
        <v>0</v>
      </c>
      <c r="AY436" s="38" t="s">
        <v>831</v>
      </c>
      <c r="AZ436" s="38" t="s">
        <v>751</v>
      </c>
      <c r="BA436" s="31" t="s">
        <v>56</v>
      </c>
      <c r="BC436" s="37">
        <f>AW436+AX436</f>
        <v>0</v>
      </c>
      <c r="BD436" s="37">
        <f>H436/(100-BE436)*100</f>
        <v>0</v>
      </c>
      <c r="BE436" s="37">
        <v>0</v>
      </c>
      <c r="BF436" s="37">
        <f>436</f>
        <v>436</v>
      </c>
      <c r="BH436" s="37">
        <f>G436*AO436</f>
        <v>0</v>
      </c>
      <c r="BI436" s="37">
        <f>G436*AP436</f>
        <v>0</v>
      </c>
      <c r="BJ436" s="37">
        <f>G436*H436</f>
        <v>0</v>
      </c>
    </row>
    <row r="437" spans="3:7" ht="12.75">
      <c r="C437" s="39" t="s">
        <v>832</v>
      </c>
      <c r="D437" s="39"/>
      <c r="E437" s="39"/>
      <c r="G437" s="40">
        <v>16</v>
      </c>
    </row>
    <row r="438" spans="1:62" ht="12.75">
      <c r="A438" s="10" t="s">
        <v>833</v>
      </c>
      <c r="B438" s="10" t="s">
        <v>834</v>
      </c>
      <c r="C438" s="10" t="s">
        <v>835</v>
      </c>
      <c r="D438" s="10"/>
      <c r="E438" s="10"/>
      <c r="F438" s="10" t="s">
        <v>347</v>
      </c>
      <c r="G438" s="37">
        <v>1</v>
      </c>
      <c r="H438" s="37">
        <v>0</v>
      </c>
      <c r="I438" s="37">
        <f>G438*AO438</f>
        <v>0</v>
      </c>
      <c r="J438" s="37">
        <f>G438*AP438</f>
        <v>0</v>
      </c>
      <c r="K438" s="37">
        <f>G438*H438</f>
        <v>0</v>
      </c>
      <c r="L438" s="38" t="s">
        <v>54</v>
      </c>
      <c r="Z438" s="37">
        <f>IF(AQ438="5",BJ438,0)</f>
        <v>0</v>
      </c>
      <c r="AB438" s="37">
        <f>IF(AQ438="1",BH438,0)</f>
        <v>0</v>
      </c>
      <c r="AC438" s="37">
        <f>IF(AQ438="1",BI438,0)</f>
        <v>0</v>
      </c>
      <c r="AD438" s="37">
        <f>IF(AQ438="7",BH438,0)</f>
        <v>0</v>
      </c>
      <c r="AE438" s="37">
        <f>IF(AQ438="7",BI438,0)</f>
        <v>0</v>
      </c>
      <c r="AF438" s="37">
        <f>IF(AQ438="2",BH438,0)</f>
        <v>0</v>
      </c>
      <c r="AG438" s="37">
        <f>IF(AQ438="2",BI438,0)</f>
        <v>0</v>
      </c>
      <c r="AH438" s="37">
        <f>IF(AQ438="0",BJ438,0)</f>
        <v>0</v>
      </c>
      <c r="AI438" s="31"/>
      <c r="AJ438" s="37">
        <f>IF(AN438=0,K438,0)</f>
        <v>0</v>
      </c>
      <c r="AK438" s="37">
        <f>IF(AN438=15,K438,0)</f>
        <v>0</v>
      </c>
      <c r="AL438" s="37">
        <f>IF(AN438=21,K438,0)</f>
        <v>0</v>
      </c>
      <c r="AN438" s="37">
        <v>15</v>
      </c>
      <c r="AO438" s="37">
        <f>H438*0.765855604307938</f>
        <v>0</v>
      </c>
      <c r="AP438" s="37">
        <f>H438*(1-0.765855604307938)</f>
        <v>0</v>
      </c>
      <c r="AQ438" s="38" t="s">
        <v>58</v>
      </c>
      <c r="AV438" s="37">
        <f>AW438+AX438</f>
        <v>0</v>
      </c>
      <c r="AW438" s="37">
        <f>G438*AO438</f>
        <v>0</v>
      </c>
      <c r="AX438" s="37">
        <f>G438*AP438</f>
        <v>0</v>
      </c>
      <c r="AY438" s="38" t="s">
        <v>831</v>
      </c>
      <c r="AZ438" s="38" t="s">
        <v>751</v>
      </c>
      <c r="BA438" s="31" t="s">
        <v>56</v>
      </c>
      <c r="BC438" s="37">
        <f>AW438+AX438</f>
        <v>0</v>
      </c>
      <c r="BD438" s="37">
        <f>H438/(100-BE438)*100</f>
        <v>0</v>
      </c>
      <c r="BE438" s="37">
        <v>0</v>
      </c>
      <c r="BF438" s="37">
        <f>438</f>
        <v>438</v>
      </c>
      <c r="BH438" s="37">
        <f>G438*AO438</f>
        <v>0</v>
      </c>
      <c r="BI438" s="37">
        <f>G438*AP438</f>
        <v>0</v>
      </c>
      <c r="BJ438" s="37">
        <f>G438*H438</f>
        <v>0</v>
      </c>
    </row>
    <row r="439" spans="3:7" ht="12.75">
      <c r="C439" s="39" t="s">
        <v>836</v>
      </c>
      <c r="D439" s="39"/>
      <c r="E439" s="39"/>
      <c r="G439" s="40">
        <v>1</v>
      </c>
    </row>
    <row r="440" spans="1:62" ht="12.75">
      <c r="A440" s="10" t="s">
        <v>837</v>
      </c>
      <c r="B440" s="10" t="s">
        <v>838</v>
      </c>
      <c r="C440" s="10" t="s">
        <v>839</v>
      </c>
      <c r="D440" s="10"/>
      <c r="E440" s="10"/>
      <c r="F440" s="10" t="s">
        <v>167</v>
      </c>
      <c r="G440" s="37">
        <v>320</v>
      </c>
      <c r="H440" s="37">
        <v>0</v>
      </c>
      <c r="I440" s="37">
        <f>G440*AO440</f>
        <v>0</v>
      </c>
      <c r="J440" s="37">
        <f>G440*AP440</f>
        <v>0</v>
      </c>
      <c r="K440" s="37">
        <f>G440*H440</f>
        <v>0</v>
      </c>
      <c r="L440" s="38" t="s">
        <v>54</v>
      </c>
      <c r="Z440" s="37">
        <f>IF(AQ440="5",BJ440,0)</f>
        <v>0</v>
      </c>
      <c r="AB440" s="37">
        <f>IF(AQ440="1",BH440,0)</f>
        <v>0</v>
      </c>
      <c r="AC440" s="37">
        <f>IF(AQ440="1",BI440,0)</f>
        <v>0</v>
      </c>
      <c r="AD440" s="37">
        <f>IF(AQ440="7",BH440,0)</f>
        <v>0</v>
      </c>
      <c r="AE440" s="37">
        <f>IF(AQ440="7",BI440,0)</f>
        <v>0</v>
      </c>
      <c r="AF440" s="37">
        <f>IF(AQ440="2",BH440,0)</f>
        <v>0</v>
      </c>
      <c r="AG440" s="37">
        <f>IF(AQ440="2",BI440,0)</f>
        <v>0</v>
      </c>
      <c r="AH440" s="37">
        <f>IF(AQ440="0",BJ440,0)</f>
        <v>0</v>
      </c>
      <c r="AI440" s="31"/>
      <c r="AJ440" s="37">
        <f>IF(AN440=0,K440,0)</f>
        <v>0</v>
      </c>
      <c r="AK440" s="37">
        <f>IF(AN440=15,K440,0)</f>
        <v>0</v>
      </c>
      <c r="AL440" s="37">
        <f>IF(AN440=21,K440,0)</f>
        <v>0</v>
      </c>
      <c r="AN440" s="37">
        <v>15</v>
      </c>
      <c r="AO440" s="37">
        <f>H440*0.146017699115044</f>
        <v>0</v>
      </c>
      <c r="AP440" s="37">
        <f>H440*(1-0.146017699115044)</f>
        <v>0</v>
      </c>
      <c r="AQ440" s="38" t="s">
        <v>58</v>
      </c>
      <c r="AV440" s="37">
        <f>AW440+AX440</f>
        <v>0</v>
      </c>
      <c r="AW440" s="37">
        <f>G440*AO440</f>
        <v>0</v>
      </c>
      <c r="AX440" s="37">
        <f>G440*AP440</f>
        <v>0</v>
      </c>
      <c r="AY440" s="38" t="s">
        <v>831</v>
      </c>
      <c r="AZ440" s="38" t="s">
        <v>751</v>
      </c>
      <c r="BA440" s="31" t="s">
        <v>56</v>
      </c>
      <c r="BC440" s="37">
        <f>AW440+AX440</f>
        <v>0</v>
      </c>
      <c r="BD440" s="37">
        <f>H440/(100-BE440)*100</f>
        <v>0</v>
      </c>
      <c r="BE440" s="37">
        <v>0</v>
      </c>
      <c r="BF440" s="37">
        <f>440</f>
        <v>440</v>
      </c>
      <c r="BH440" s="37">
        <f>G440*AO440</f>
        <v>0</v>
      </c>
      <c r="BI440" s="37">
        <f>G440*AP440</f>
        <v>0</v>
      </c>
      <c r="BJ440" s="37">
        <f>G440*H440</f>
        <v>0</v>
      </c>
    </row>
    <row r="441" spans="3:7" ht="12.75">
      <c r="C441" s="39" t="s">
        <v>840</v>
      </c>
      <c r="D441" s="39"/>
      <c r="E441" s="39"/>
      <c r="G441" s="40">
        <v>320</v>
      </c>
    </row>
    <row r="442" spans="1:62" ht="12.75">
      <c r="A442" s="10" t="s">
        <v>841</v>
      </c>
      <c r="B442" s="10" t="s">
        <v>842</v>
      </c>
      <c r="C442" s="10" t="s">
        <v>843</v>
      </c>
      <c r="D442" s="10"/>
      <c r="E442" s="10"/>
      <c r="F442" s="10" t="s">
        <v>167</v>
      </c>
      <c r="G442" s="37">
        <v>40</v>
      </c>
      <c r="H442" s="37">
        <v>0</v>
      </c>
      <c r="I442" s="37">
        <f>G442*AO442</f>
        <v>0</v>
      </c>
      <c r="J442" s="37">
        <f>G442*AP442</f>
        <v>0</v>
      </c>
      <c r="K442" s="37">
        <f>G442*H442</f>
        <v>0</v>
      </c>
      <c r="L442" s="38" t="s">
        <v>54</v>
      </c>
      <c r="Z442" s="37">
        <f>IF(AQ442="5",BJ442,0)</f>
        <v>0</v>
      </c>
      <c r="AB442" s="37">
        <f>IF(AQ442="1",BH442,0)</f>
        <v>0</v>
      </c>
      <c r="AC442" s="37">
        <f>IF(AQ442="1",BI442,0)</f>
        <v>0</v>
      </c>
      <c r="AD442" s="37">
        <f>IF(AQ442="7",BH442,0)</f>
        <v>0</v>
      </c>
      <c r="AE442" s="37">
        <f>IF(AQ442="7",BI442,0)</f>
        <v>0</v>
      </c>
      <c r="AF442" s="37">
        <f>IF(AQ442="2",BH442,0)</f>
        <v>0</v>
      </c>
      <c r="AG442" s="37">
        <f>IF(AQ442="2",BI442,0)</f>
        <v>0</v>
      </c>
      <c r="AH442" s="37">
        <f>IF(AQ442="0",BJ442,0)</f>
        <v>0</v>
      </c>
      <c r="AI442" s="31"/>
      <c r="AJ442" s="37">
        <f>IF(AN442=0,K442,0)</f>
        <v>0</v>
      </c>
      <c r="AK442" s="37">
        <f>IF(AN442=15,K442,0)</f>
        <v>0</v>
      </c>
      <c r="AL442" s="37">
        <f>IF(AN442=21,K442,0)</f>
        <v>0</v>
      </c>
      <c r="AN442" s="37">
        <v>15</v>
      </c>
      <c r="AO442" s="37">
        <f>H442*0.201611318530163</f>
        <v>0</v>
      </c>
      <c r="AP442" s="37">
        <f>H442*(1-0.201611318530163)</f>
        <v>0</v>
      </c>
      <c r="AQ442" s="38" t="s">
        <v>58</v>
      </c>
      <c r="AV442" s="37">
        <f>AW442+AX442</f>
        <v>0</v>
      </c>
      <c r="AW442" s="37">
        <f>G442*AO442</f>
        <v>0</v>
      </c>
      <c r="AX442" s="37">
        <f>G442*AP442</f>
        <v>0</v>
      </c>
      <c r="AY442" s="38" t="s">
        <v>831</v>
      </c>
      <c r="AZ442" s="38" t="s">
        <v>751</v>
      </c>
      <c r="BA442" s="31" t="s">
        <v>56</v>
      </c>
      <c r="BC442" s="37">
        <f>AW442+AX442</f>
        <v>0</v>
      </c>
      <c r="BD442" s="37">
        <f>H442/(100-BE442)*100</f>
        <v>0</v>
      </c>
      <c r="BE442" s="37">
        <v>0</v>
      </c>
      <c r="BF442" s="37">
        <f>442</f>
        <v>442</v>
      </c>
      <c r="BH442" s="37">
        <f>G442*AO442</f>
        <v>0</v>
      </c>
      <c r="BI442" s="37">
        <f>G442*AP442</f>
        <v>0</v>
      </c>
      <c r="BJ442" s="37">
        <f>G442*H442</f>
        <v>0</v>
      </c>
    </row>
    <row r="443" spans="3:7" ht="12.75">
      <c r="C443" s="39" t="s">
        <v>844</v>
      </c>
      <c r="D443" s="39"/>
      <c r="E443" s="39"/>
      <c r="G443" s="40">
        <v>40</v>
      </c>
    </row>
    <row r="444" spans="1:62" ht="12.75">
      <c r="A444" s="10" t="s">
        <v>845</v>
      </c>
      <c r="B444" s="10" t="s">
        <v>846</v>
      </c>
      <c r="C444" s="10" t="s">
        <v>847</v>
      </c>
      <c r="D444" s="10"/>
      <c r="E444" s="10"/>
      <c r="F444" s="10" t="s">
        <v>167</v>
      </c>
      <c r="G444" s="37">
        <v>280</v>
      </c>
      <c r="H444" s="37">
        <v>0</v>
      </c>
      <c r="I444" s="37">
        <f>G444*AO444</f>
        <v>0</v>
      </c>
      <c r="J444" s="37">
        <f>G444*AP444</f>
        <v>0</v>
      </c>
      <c r="K444" s="37">
        <f>G444*H444</f>
        <v>0</v>
      </c>
      <c r="L444" s="38" t="s">
        <v>54</v>
      </c>
      <c r="Z444" s="37">
        <f>IF(AQ444="5",BJ444,0)</f>
        <v>0</v>
      </c>
      <c r="AB444" s="37">
        <f>IF(AQ444="1",BH444,0)</f>
        <v>0</v>
      </c>
      <c r="AC444" s="37">
        <f>IF(AQ444="1",BI444,0)</f>
        <v>0</v>
      </c>
      <c r="AD444" s="37">
        <f>IF(AQ444="7",BH444,0)</f>
        <v>0</v>
      </c>
      <c r="AE444" s="37">
        <f>IF(AQ444="7",BI444,0)</f>
        <v>0</v>
      </c>
      <c r="AF444" s="37">
        <f>IF(AQ444="2",BH444,0)</f>
        <v>0</v>
      </c>
      <c r="AG444" s="37">
        <f>IF(AQ444="2",BI444,0)</f>
        <v>0</v>
      </c>
      <c r="AH444" s="37">
        <f>IF(AQ444="0",BJ444,0)</f>
        <v>0</v>
      </c>
      <c r="AI444" s="31"/>
      <c r="AJ444" s="37">
        <f>IF(AN444=0,K444,0)</f>
        <v>0</v>
      </c>
      <c r="AK444" s="37">
        <f>IF(AN444=15,K444,0)</f>
        <v>0</v>
      </c>
      <c r="AL444" s="37">
        <f>IF(AN444=21,K444,0)</f>
        <v>0</v>
      </c>
      <c r="AN444" s="37">
        <v>15</v>
      </c>
      <c r="AO444" s="37">
        <f>H444*0.603199289046878</f>
        <v>0</v>
      </c>
      <c r="AP444" s="37">
        <f>H444*(1-0.603199289046878)</f>
        <v>0</v>
      </c>
      <c r="AQ444" s="38" t="s">
        <v>58</v>
      </c>
      <c r="AV444" s="37">
        <f>AW444+AX444</f>
        <v>0</v>
      </c>
      <c r="AW444" s="37">
        <f>G444*AO444</f>
        <v>0</v>
      </c>
      <c r="AX444" s="37">
        <f>G444*AP444</f>
        <v>0</v>
      </c>
      <c r="AY444" s="38" t="s">
        <v>831</v>
      </c>
      <c r="AZ444" s="38" t="s">
        <v>751</v>
      </c>
      <c r="BA444" s="31" t="s">
        <v>56</v>
      </c>
      <c r="BC444" s="37">
        <f>AW444+AX444</f>
        <v>0</v>
      </c>
      <c r="BD444" s="37">
        <f>H444/(100-BE444)*100</f>
        <v>0</v>
      </c>
      <c r="BE444" s="37">
        <v>0</v>
      </c>
      <c r="BF444" s="37">
        <f>444</f>
        <v>444</v>
      </c>
      <c r="BH444" s="37">
        <f>G444*AO444</f>
        <v>0</v>
      </c>
      <c r="BI444" s="37">
        <f>G444*AP444</f>
        <v>0</v>
      </c>
      <c r="BJ444" s="37">
        <f>G444*H444</f>
        <v>0</v>
      </c>
    </row>
    <row r="445" spans="3:7" ht="12.75">
      <c r="C445" s="39" t="s">
        <v>848</v>
      </c>
      <c r="D445" s="39"/>
      <c r="E445" s="39"/>
      <c r="G445" s="40">
        <v>280</v>
      </c>
    </row>
    <row r="446" spans="1:62" ht="12.75">
      <c r="A446" s="10" t="s">
        <v>849</v>
      </c>
      <c r="B446" s="10" t="s">
        <v>850</v>
      </c>
      <c r="C446" s="10" t="s">
        <v>851</v>
      </c>
      <c r="D446" s="10"/>
      <c r="E446" s="10"/>
      <c r="F446" s="10" t="s">
        <v>347</v>
      </c>
      <c r="G446" s="37">
        <v>70</v>
      </c>
      <c r="H446" s="37">
        <v>0</v>
      </c>
      <c r="I446" s="37">
        <f>G446*AO446</f>
        <v>0</v>
      </c>
      <c r="J446" s="37">
        <f>G446*AP446</f>
        <v>0</v>
      </c>
      <c r="K446" s="37">
        <f>G446*H446</f>
        <v>0</v>
      </c>
      <c r="L446" s="38" t="s">
        <v>54</v>
      </c>
      <c r="Z446" s="37">
        <f>IF(AQ446="5",BJ446,0)</f>
        <v>0</v>
      </c>
      <c r="AB446" s="37">
        <f>IF(AQ446="1",BH446,0)</f>
        <v>0</v>
      </c>
      <c r="AC446" s="37">
        <f>IF(AQ446="1",BI446,0)</f>
        <v>0</v>
      </c>
      <c r="AD446" s="37">
        <f>IF(AQ446="7",BH446,0)</f>
        <v>0</v>
      </c>
      <c r="AE446" s="37">
        <f>IF(AQ446="7",BI446,0)</f>
        <v>0</v>
      </c>
      <c r="AF446" s="37">
        <f>IF(AQ446="2",BH446,0)</f>
        <v>0</v>
      </c>
      <c r="AG446" s="37">
        <f>IF(AQ446="2",BI446,0)</f>
        <v>0</v>
      </c>
      <c r="AH446" s="37">
        <f>IF(AQ446="0",BJ446,0)</f>
        <v>0</v>
      </c>
      <c r="AI446" s="31"/>
      <c r="AJ446" s="37">
        <f>IF(AN446=0,K446,0)</f>
        <v>0</v>
      </c>
      <c r="AK446" s="37">
        <f>IF(AN446=15,K446,0)</f>
        <v>0</v>
      </c>
      <c r="AL446" s="37">
        <f>IF(AN446=21,K446,0)</f>
        <v>0</v>
      </c>
      <c r="AN446" s="37">
        <v>15</v>
      </c>
      <c r="AO446" s="37">
        <f>H446*0.279087288774082</f>
        <v>0</v>
      </c>
      <c r="AP446" s="37">
        <f>H446*(1-0.279087288774082)</f>
        <v>0</v>
      </c>
      <c r="AQ446" s="38" t="s">
        <v>58</v>
      </c>
      <c r="AV446" s="37">
        <f>AW446+AX446</f>
        <v>0</v>
      </c>
      <c r="AW446" s="37">
        <f>G446*AO446</f>
        <v>0</v>
      </c>
      <c r="AX446" s="37">
        <f>G446*AP446</f>
        <v>0</v>
      </c>
      <c r="AY446" s="38" t="s">
        <v>831</v>
      </c>
      <c r="AZ446" s="38" t="s">
        <v>751</v>
      </c>
      <c r="BA446" s="31" t="s">
        <v>56</v>
      </c>
      <c r="BC446" s="37">
        <f>AW446+AX446</f>
        <v>0</v>
      </c>
      <c r="BD446" s="37">
        <f>H446/(100-BE446)*100</f>
        <v>0</v>
      </c>
      <c r="BE446" s="37">
        <v>0</v>
      </c>
      <c r="BF446" s="37">
        <f>446</f>
        <v>446</v>
      </c>
      <c r="BH446" s="37">
        <f>G446*AO446</f>
        <v>0</v>
      </c>
      <c r="BI446" s="37">
        <f>G446*AP446</f>
        <v>0</v>
      </c>
      <c r="BJ446" s="37">
        <f>G446*H446</f>
        <v>0</v>
      </c>
    </row>
    <row r="447" spans="3:7" ht="12.75">
      <c r="C447" s="39" t="s">
        <v>852</v>
      </c>
      <c r="D447" s="39"/>
      <c r="E447" s="39"/>
      <c r="G447" s="40">
        <v>70</v>
      </c>
    </row>
    <row r="448" spans="1:62" ht="12.75">
      <c r="A448" s="10" t="s">
        <v>853</v>
      </c>
      <c r="B448" s="10" t="s">
        <v>854</v>
      </c>
      <c r="C448" s="10" t="s">
        <v>855</v>
      </c>
      <c r="D448" s="10"/>
      <c r="E448" s="10"/>
      <c r="F448" s="10" t="s">
        <v>347</v>
      </c>
      <c r="G448" s="37">
        <v>70</v>
      </c>
      <c r="H448" s="37">
        <v>0</v>
      </c>
      <c r="I448" s="37">
        <f>G448*AO448</f>
        <v>0</v>
      </c>
      <c r="J448" s="37">
        <f>G448*AP448</f>
        <v>0</v>
      </c>
      <c r="K448" s="37">
        <f>G448*H448</f>
        <v>0</v>
      </c>
      <c r="L448" s="38" t="s">
        <v>54</v>
      </c>
      <c r="Z448" s="37">
        <f>IF(AQ448="5",BJ448,0)</f>
        <v>0</v>
      </c>
      <c r="AB448" s="37">
        <f>IF(AQ448="1",BH448,0)</f>
        <v>0</v>
      </c>
      <c r="AC448" s="37">
        <f>IF(AQ448="1",BI448,0)</f>
        <v>0</v>
      </c>
      <c r="AD448" s="37">
        <f>IF(AQ448="7",BH448,0)</f>
        <v>0</v>
      </c>
      <c r="AE448" s="37">
        <f>IF(AQ448="7",BI448,0)</f>
        <v>0</v>
      </c>
      <c r="AF448" s="37">
        <f>IF(AQ448="2",BH448,0)</f>
        <v>0</v>
      </c>
      <c r="AG448" s="37">
        <f>IF(AQ448="2",BI448,0)</f>
        <v>0</v>
      </c>
      <c r="AH448" s="37">
        <f>IF(AQ448="0",BJ448,0)</f>
        <v>0</v>
      </c>
      <c r="AI448" s="31"/>
      <c r="AJ448" s="37">
        <f>IF(AN448=0,K448,0)</f>
        <v>0</v>
      </c>
      <c r="AK448" s="37">
        <f>IF(AN448=15,K448,0)</f>
        <v>0</v>
      </c>
      <c r="AL448" s="37">
        <f>IF(AN448=21,K448,0)</f>
        <v>0</v>
      </c>
      <c r="AN448" s="37">
        <v>15</v>
      </c>
      <c r="AO448" s="37">
        <f>H448*0.119667013527575</f>
        <v>0</v>
      </c>
      <c r="AP448" s="37">
        <f>H448*(1-0.119667013527575)</f>
        <v>0</v>
      </c>
      <c r="AQ448" s="38" t="s">
        <v>58</v>
      </c>
      <c r="AV448" s="37">
        <f>AW448+AX448</f>
        <v>0</v>
      </c>
      <c r="AW448" s="37">
        <f>G448*AO448</f>
        <v>0</v>
      </c>
      <c r="AX448" s="37">
        <f>G448*AP448</f>
        <v>0</v>
      </c>
      <c r="AY448" s="38" t="s">
        <v>831</v>
      </c>
      <c r="AZ448" s="38" t="s">
        <v>751</v>
      </c>
      <c r="BA448" s="31" t="s">
        <v>56</v>
      </c>
      <c r="BC448" s="37">
        <f>AW448+AX448</f>
        <v>0</v>
      </c>
      <c r="BD448" s="37">
        <f>H448/(100-BE448)*100</f>
        <v>0</v>
      </c>
      <c r="BE448" s="37">
        <v>0</v>
      </c>
      <c r="BF448" s="37">
        <f>448</f>
        <v>448</v>
      </c>
      <c r="BH448" s="37">
        <f>G448*AO448</f>
        <v>0</v>
      </c>
      <c r="BI448" s="37">
        <f>G448*AP448</f>
        <v>0</v>
      </c>
      <c r="BJ448" s="37">
        <f>G448*H448</f>
        <v>0</v>
      </c>
    </row>
    <row r="449" spans="3:7" ht="12.75">
      <c r="C449" s="39" t="s">
        <v>852</v>
      </c>
      <c r="D449" s="39"/>
      <c r="E449" s="39"/>
      <c r="G449" s="40">
        <v>70</v>
      </c>
    </row>
    <row r="450" spans="1:62" ht="12.75">
      <c r="A450" s="10" t="s">
        <v>856</v>
      </c>
      <c r="B450" s="10" t="s">
        <v>857</v>
      </c>
      <c r="C450" s="10" t="s">
        <v>858</v>
      </c>
      <c r="D450" s="10"/>
      <c r="E450" s="10"/>
      <c r="F450" s="10" t="s">
        <v>347</v>
      </c>
      <c r="G450" s="37">
        <v>36</v>
      </c>
      <c r="H450" s="37">
        <v>0</v>
      </c>
      <c r="I450" s="37">
        <f>G450*AO450</f>
        <v>0</v>
      </c>
      <c r="J450" s="37">
        <f>G450*AP450</f>
        <v>0</v>
      </c>
      <c r="K450" s="37">
        <f>G450*H450</f>
        <v>0</v>
      </c>
      <c r="L450" s="38" t="s">
        <v>54</v>
      </c>
      <c r="Z450" s="37">
        <f>IF(AQ450="5",BJ450,0)</f>
        <v>0</v>
      </c>
      <c r="AB450" s="37">
        <f>IF(AQ450="1",BH450,0)</f>
        <v>0</v>
      </c>
      <c r="AC450" s="37">
        <f>IF(AQ450="1",BI450,0)</f>
        <v>0</v>
      </c>
      <c r="AD450" s="37">
        <f>IF(AQ450="7",BH450,0)</f>
        <v>0</v>
      </c>
      <c r="AE450" s="37">
        <f>IF(AQ450="7",BI450,0)</f>
        <v>0</v>
      </c>
      <c r="AF450" s="37">
        <f>IF(AQ450="2",BH450,0)</f>
        <v>0</v>
      </c>
      <c r="AG450" s="37">
        <f>IF(AQ450="2",BI450,0)</f>
        <v>0</v>
      </c>
      <c r="AH450" s="37">
        <f>IF(AQ450="0",BJ450,0)</f>
        <v>0</v>
      </c>
      <c r="AI450" s="31"/>
      <c r="AJ450" s="37">
        <f>IF(AN450=0,K450,0)</f>
        <v>0</v>
      </c>
      <c r="AK450" s="37">
        <f>IF(AN450=15,K450,0)</f>
        <v>0</v>
      </c>
      <c r="AL450" s="37">
        <f>IF(AN450=21,K450,0)</f>
        <v>0</v>
      </c>
      <c r="AN450" s="37">
        <v>15</v>
      </c>
      <c r="AO450" s="37">
        <f>H450*0.342459546925566</f>
        <v>0</v>
      </c>
      <c r="AP450" s="37">
        <f>H450*(1-0.342459546925566)</f>
        <v>0</v>
      </c>
      <c r="AQ450" s="38" t="s">
        <v>58</v>
      </c>
      <c r="AV450" s="37">
        <f>AW450+AX450</f>
        <v>0</v>
      </c>
      <c r="AW450" s="37">
        <f>G450*AO450</f>
        <v>0</v>
      </c>
      <c r="AX450" s="37">
        <f>G450*AP450</f>
        <v>0</v>
      </c>
      <c r="AY450" s="38" t="s">
        <v>831</v>
      </c>
      <c r="AZ450" s="38" t="s">
        <v>751</v>
      </c>
      <c r="BA450" s="31" t="s">
        <v>56</v>
      </c>
      <c r="BC450" s="37">
        <f>AW450+AX450</f>
        <v>0</v>
      </c>
      <c r="BD450" s="37">
        <f>H450/(100-BE450)*100</f>
        <v>0</v>
      </c>
      <c r="BE450" s="37">
        <v>0</v>
      </c>
      <c r="BF450" s="37">
        <f>450</f>
        <v>450</v>
      </c>
      <c r="BH450" s="37">
        <f>G450*AO450</f>
        <v>0</v>
      </c>
      <c r="BI450" s="37">
        <f>G450*AP450</f>
        <v>0</v>
      </c>
      <c r="BJ450" s="37">
        <f>G450*H450</f>
        <v>0</v>
      </c>
    </row>
    <row r="451" spans="3:7" ht="12.75">
      <c r="C451" s="39" t="s">
        <v>859</v>
      </c>
      <c r="D451" s="39"/>
      <c r="E451" s="39"/>
      <c r="G451" s="40">
        <v>36</v>
      </c>
    </row>
    <row r="452" spans="1:62" ht="12.75">
      <c r="A452" s="10" t="s">
        <v>860</v>
      </c>
      <c r="B452" s="10" t="s">
        <v>861</v>
      </c>
      <c r="C452" s="10" t="s">
        <v>858</v>
      </c>
      <c r="D452" s="10"/>
      <c r="E452" s="10"/>
      <c r="F452" s="10" t="s">
        <v>347</v>
      </c>
      <c r="G452" s="37">
        <v>5</v>
      </c>
      <c r="H452" s="37">
        <v>0</v>
      </c>
      <c r="I452" s="37">
        <f>G452*AO452</f>
        <v>0</v>
      </c>
      <c r="J452" s="37">
        <f>G452*AP452</f>
        <v>0</v>
      </c>
      <c r="K452" s="37">
        <f>G452*H452</f>
        <v>0</v>
      </c>
      <c r="L452" s="38" t="s">
        <v>54</v>
      </c>
      <c r="Z452" s="37">
        <f>IF(AQ452="5",BJ452,0)</f>
        <v>0</v>
      </c>
      <c r="AB452" s="37">
        <f>IF(AQ452="1",BH452,0)</f>
        <v>0</v>
      </c>
      <c r="AC452" s="37">
        <f>IF(AQ452="1",BI452,0)</f>
        <v>0</v>
      </c>
      <c r="AD452" s="37">
        <f>IF(AQ452="7",BH452,0)</f>
        <v>0</v>
      </c>
      <c r="AE452" s="37">
        <f>IF(AQ452="7",BI452,0)</f>
        <v>0</v>
      </c>
      <c r="AF452" s="37">
        <f>IF(AQ452="2",BH452,0)</f>
        <v>0</v>
      </c>
      <c r="AG452" s="37">
        <f>IF(AQ452="2",BI452,0)</f>
        <v>0</v>
      </c>
      <c r="AH452" s="37">
        <f>IF(AQ452="0",BJ452,0)</f>
        <v>0</v>
      </c>
      <c r="AI452" s="31"/>
      <c r="AJ452" s="37">
        <f>IF(AN452=0,K452,0)</f>
        <v>0</v>
      </c>
      <c r="AK452" s="37">
        <f>IF(AN452=15,K452,0)</f>
        <v>0</v>
      </c>
      <c r="AL452" s="37">
        <f>IF(AN452=21,K452,0)</f>
        <v>0</v>
      </c>
      <c r="AN452" s="37">
        <v>15</v>
      </c>
      <c r="AO452" s="37">
        <f>H452*0.244721189591078</f>
        <v>0</v>
      </c>
      <c r="AP452" s="37">
        <f>H452*(1-0.244721189591078)</f>
        <v>0</v>
      </c>
      <c r="AQ452" s="38" t="s">
        <v>58</v>
      </c>
      <c r="AV452" s="37">
        <f>AW452+AX452</f>
        <v>0</v>
      </c>
      <c r="AW452" s="37">
        <f>G452*AO452</f>
        <v>0</v>
      </c>
      <c r="AX452" s="37">
        <f>G452*AP452</f>
        <v>0</v>
      </c>
      <c r="AY452" s="38" t="s">
        <v>831</v>
      </c>
      <c r="AZ452" s="38" t="s">
        <v>751</v>
      </c>
      <c r="BA452" s="31" t="s">
        <v>56</v>
      </c>
      <c r="BC452" s="37">
        <f>AW452+AX452</f>
        <v>0</v>
      </c>
      <c r="BD452" s="37">
        <f>H452/(100-BE452)*100</f>
        <v>0</v>
      </c>
      <c r="BE452" s="37">
        <v>0</v>
      </c>
      <c r="BF452" s="37">
        <f>452</f>
        <v>452</v>
      </c>
      <c r="BH452" s="37">
        <f>G452*AO452</f>
        <v>0</v>
      </c>
      <c r="BI452" s="37">
        <f>G452*AP452</f>
        <v>0</v>
      </c>
      <c r="BJ452" s="37">
        <f>G452*H452</f>
        <v>0</v>
      </c>
    </row>
    <row r="453" spans="3:7" ht="12.75">
      <c r="C453" s="39" t="s">
        <v>862</v>
      </c>
      <c r="D453" s="39"/>
      <c r="E453" s="39"/>
      <c r="G453" s="40">
        <v>5</v>
      </c>
    </row>
    <row r="454" spans="1:62" ht="12.75">
      <c r="A454" s="10" t="s">
        <v>863</v>
      </c>
      <c r="B454" s="10" t="s">
        <v>864</v>
      </c>
      <c r="C454" s="10" t="s">
        <v>865</v>
      </c>
      <c r="D454" s="10"/>
      <c r="E454" s="10"/>
      <c r="F454" s="10" t="s">
        <v>830</v>
      </c>
      <c r="G454" s="37">
        <v>35</v>
      </c>
      <c r="H454" s="37">
        <v>0</v>
      </c>
      <c r="I454" s="37">
        <f>G454*AO454</f>
        <v>0</v>
      </c>
      <c r="J454" s="37">
        <f>G454*AP454</f>
        <v>0</v>
      </c>
      <c r="K454" s="37">
        <f>G454*H454</f>
        <v>0</v>
      </c>
      <c r="L454" s="38" t="s">
        <v>54</v>
      </c>
      <c r="Z454" s="37">
        <f>IF(AQ454="5",BJ454,0)</f>
        <v>0</v>
      </c>
      <c r="AB454" s="37">
        <f>IF(AQ454="1",BH454,0)</f>
        <v>0</v>
      </c>
      <c r="AC454" s="37">
        <f>IF(AQ454="1",BI454,0)</f>
        <v>0</v>
      </c>
      <c r="AD454" s="37">
        <f>IF(AQ454="7",BH454,0)</f>
        <v>0</v>
      </c>
      <c r="AE454" s="37">
        <f>IF(AQ454="7",BI454,0)</f>
        <v>0</v>
      </c>
      <c r="AF454" s="37">
        <f>IF(AQ454="2",BH454,0)</f>
        <v>0</v>
      </c>
      <c r="AG454" s="37">
        <f>IF(AQ454="2",BI454,0)</f>
        <v>0</v>
      </c>
      <c r="AH454" s="37">
        <f>IF(AQ454="0",BJ454,0)</f>
        <v>0</v>
      </c>
      <c r="AI454" s="31"/>
      <c r="AJ454" s="37">
        <f>IF(AN454=0,K454,0)</f>
        <v>0</v>
      </c>
      <c r="AK454" s="37">
        <f>IF(AN454=15,K454,0)</f>
        <v>0</v>
      </c>
      <c r="AL454" s="37">
        <f>IF(AN454=21,K454,0)</f>
        <v>0</v>
      </c>
      <c r="AN454" s="37">
        <v>15</v>
      </c>
      <c r="AO454" s="37">
        <f>H454*0</f>
        <v>0</v>
      </c>
      <c r="AP454" s="37">
        <f>H454*(1-0)</f>
        <v>0</v>
      </c>
      <c r="AQ454" s="38" t="s">
        <v>58</v>
      </c>
      <c r="AV454" s="37">
        <f>AW454+AX454</f>
        <v>0</v>
      </c>
      <c r="AW454" s="37">
        <f>G454*AO454</f>
        <v>0</v>
      </c>
      <c r="AX454" s="37">
        <f>G454*AP454</f>
        <v>0</v>
      </c>
      <c r="AY454" s="38" t="s">
        <v>831</v>
      </c>
      <c r="AZ454" s="38" t="s">
        <v>751</v>
      </c>
      <c r="BA454" s="31" t="s">
        <v>56</v>
      </c>
      <c r="BC454" s="37">
        <f>AW454+AX454</f>
        <v>0</v>
      </c>
      <c r="BD454" s="37">
        <f>H454/(100-BE454)*100</f>
        <v>0</v>
      </c>
      <c r="BE454" s="37">
        <v>0</v>
      </c>
      <c r="BF454" s="37">
        <f>454</f>
        <v>454</v>
      </c>
      <c r="BH454" s="37">
        <f>G454*AO454</f>
        <v>0</v>
      </c>
      <c r="BI454" s="37">
        <f>G454*AP454</f>
        <v>0</v>
      </c>
      <c r="BJ454" s="37">
        <f>G454*H454</f>
        <v>0</v>
      </c>
    </row>
    <row r="455" spans="3:7" ht="12.75">
      <c r="C455" s="39" t="s">
        <v>866</v>
      </c>
      <c r="D455" s="39"/>
      <c r="E455" s="39"/>
      <c r="G455" s="40">
        <v>35</v>
      </c>
    </row>
    <row r="456" spans="1:62" ht="12.75">
      <c r="A456" s="10" t="s">
        <v>867</v>
      </c>
      <c r="B456" s="10" t="s">
        <v>868</v>
      </c>
      <c r="C456" s="10" t="s">
        <v>869</v>
      </c>
      <c r="D456" s="10"/>
      <c r="E456" s="10"/>
      <c r="F456" s="10" t="s">
        <v>167</v>
      </c>
      <c r="G456" s="37">
        <v>40</v>
      </c>
      <c r="H456" s="37">
        <v>0</v>
      </c>
      <c r="I456" s="37">
        <f>G456*AO456</f>
        <v>0</v>
      </c>
      <c r="J456" s="37">
        <f>G456*AP456</f>
        <v>0</v>
      </c>
      <c r="K456" s="37">
        <f>G456*H456</f>
        <v>0</v>
      </c>
      <c r="L456" s="38" t="s">
        <v>54</v>
      </c>
      <c r="Z456" s="37">
        <f>IF(AQ456="5",BJ456,0)</f>
        <v>0</v>
      </c>
      <c r="AB456" s="37">
        <f>IF(AQ456="1",BH456,0)</f>
        <v>0</v>
      </c>
      <c r="AC456" s="37">
        <f>IF(AQ456="1",BI456,0)</f>
        <v>0</v>
      </c>
      <c r="AD456" s="37">
        <f>IF(AQ456="7",BH456,0)</f>
        <v>0</v>
      </c>
      <c r="AE456" s="37">
        <f>IF(AQ456="7",BI456,0)</f>
        <v>0</v>
      </c>
      <c r="AF456" s="37">
        <f>IF(AQ456="2",BH456,0)</f>
        <v>0</v>
      </c>
      <c r="AG456" s="37">
        <f>IF(AQ456="2",BI456,0)</f>
        <v>0</v>
      </c>
      <c r="AH456" s="37">
        <f>IF(AQ456="0",BJ456,0)</f>
        <v>0</v>
      </c>
      <c r="AI456" s="31"/>
      <c r="AJ456" s="37">
        <f>IF(AN456=0,K456,0)</f>
        <v>0</v>
      </c>
      <c r="AK456" s="37">
        <f>IF(AN456=15,K456,0)</f>
        <v>0</v>
      </c>
      <c r="AL456" s="37">
        <f>IF(AN456=21,K456,0)</f>
        <v>0</v>
      </c>
      <c r="AN456" s="37">
        <v>15</v>
      </c>
      <c r="AO456" s="37">
        <f>H456*0.690322580645161</f>
        <v>0</v>
      </c>
      <c r="AP456" s="37">
        <f>H456*(1-0.690322580645161)</f>
        <v>0</v>
      </c>
      <c r="AQ456" s="38" t="s">
        <v>58</v>
      </c>
      <c r="AV456" s="37">
        <f>AW456+AX456</f>
        <v>0</v>
      </c>
      <c r="AW456" s="37">
        <f>G456*AO456</f>
        <v>0</v>
      </c>
      <c r="AX456" s="37">
        <f>G456*AP456</f>
        <v>0</v>
      </c>
      <c r="AY456" s="38" t="s">
        <v>831</v>
      </c>
      <c r="AZ456" s="38" t="s">
        <v>751</v>
      </c>
      <c r="BA456" s="31" t="s">
        <v>56</v>
      </c>
      <c r="BC456" s="37">
        <f>AW456+AX456</f>
        <v>0</v>
      </c>
      <c r="BD456" s="37">
        <f>H456/(100-BE456)*100</f>
        <v>0</v>
      </c>
      <c r="BE456" s="37">
        <v>0</v>
      </c>
      <c r="BF456" s="37">
        <f>456</f>
        <v>456</v>
      </c>
      <c r="BH456" s="37">
        <f>G456*AO456</f>
        <v>0</v>
      </c>
      <c r="BI456" s="37">
        <f>G456*AP456</f>
        <v>0</v>
      </c>
      <c r="BJ456" s="37">
        <f>G456*H456</f>
        <v>0</v>
      </c>
    </row>
    <row r="457" spans="3:7" ht="12.75">
      <c r="C457" s="39" t="s">
        <v>844</v>
      </c>
      <c r="D457" s="39"/>
      <c r="E457" s="39"/>
      <c r="G457" s="40">
        <v>40</v>
      </c>
    </row>
    <row r="458" spans="1:62" ht="12.75">
      <c r="A458" s="10" t="s">
        <v>870</v>
      </c>
      <c r="B458" s="10" t="s">
        <v>871</v>
      </c>
      <c r="C458" s="10" t="s">
        <v>872</v>
      </c>
      <c r="D458" s="10"/>
      <c r="E458" s="10"/>
      <c r="F458" s="10" t="s">
        <v>167</v>
      </c>
      <c r="G458" s="37">
        <v>540</v>
      </c>
      <c r="H458" s="37">
        <v>0</v>
      </c>
      <c r="I458" s="37">
        <f>G458*AO458</f>
        <v>0</v>
      </c>
      <c r="J458" s="37">
        <f>G458*AP458</f>
        <v>0</v>
      </c>
      <c r="K458" s="37">
        <f>G458*H458</f>
        <v>0</v>
      </c>
      <c r="L458" s="38" t="s">
        <v>54</v>
      </c>
      <c r="Z458" s="37">
        <f>IF(AQ458="5",BJ458,0)</f>
        <v>0</v>
      </c>
      <c r="AB458" s="37">
        <f>IF(AQ458="1",BH458,0)</f>
        <v>0</v>
      </c>
      <c r="AC458" s="37">
        <f>IF(AQ458="1",BI458,0)</f>
        <v>0</v>
      </c>
      <c r="AD458" s="37">
        <f>IF(AQ458="7",BH458,0)</f>
        <v>0</v>
      </c>
      <c r="AE458" s="37">
        <f>IF(AQ458="7",BI458,0)</f>
        <v>0</v>
      </c>
      <c r="AF458" s="37">
        <f>IF(AQ458="2",BH458,0)</f>
        <v>0</v>
      </c>
      <c r="AG458" s="37">
        <f>IF(AQ458="2",BI458,0)</f>
        <v>0</v>
      </c>
      <c r="AH458" s="37">
        <f>IF(AQ458="0",BJ458,0)</f>
        <v>0</v>
      </c>
      <c r="AI458" s="31"/>
      <c r="AJ458" s="37">
        <f>IF(AN458=0,K458,0)</f>
        <v>0</v>
      </c>
      <c r="AK458" s="37">
        <f>IF(AN458=15,K458,0)</f>
        <v>0</v>
      </c>
      <c r="AL458" s="37">
        <f>IF(AN458=21,K458,0)</f>
        <v>0</v>
      </c>
      <c r="AN458" s="37">
        <v>15</v>
      </c>
      <c r="AO458" s="37">
        <f>H458*0.221071428571429</f>
        <v>0</v>
      </c>
      <c r="AP458" s="37">
        <f>H458*(1-0.221071428571429)</f>
        <v>0</v>
      </c>
      <c r="AQ458" s="38" t="s">
        <v>58</v>
      </c>
      <c r="AV458" s="37">
        <f>AW458+AX458</f>
        <v>0</v>
      </c>
      <c r="AW458" s="37">
        <f>G458*AO458</f>
        <v>0</v>
      </c>
      <c r="AX458" s="37">
        <f>G458*AP458</f>
        <v>0</v>
      </c>
      <c r="AY458" s="38" t="s">
        <v>831</v>
      </c>
      <c r="AZ458" s="38" t="s">
        <v>751</v>
      </c>
      <c r="BA458" s="31" t="s">
        <v>56</v>
      </c>
      <c r="BC458" s="37">
        <f>AW458+AX458</f>
        <v>0</v>
      </c>
      <c r="BD458" s="37">
        <f>H458/(100-BE458)*100</f>
        <v>0</v>
      </c>
      <c r="BE458" s="37">
        <v>0</v>
      </c>
      <c r="BF458" s="37">
        <f>458</f>
        <v>458</v>
      </c>
      <c r="BH458" s="37">
        <f>G458*AO458</f>
        <v>0</v>
      </c>
      <c r="BI458" s="37">
        <f>G458*AP458</f>
        <v>0</v>
      </c>
      <c r="BJ458" s="37">
        <f>G458*H458</f>
        <v>0</v>
      </c>
    </row>
    <row r="459" spans="3:7" ht="12.75">
      <c r="C459" s="39" t="s">
        <v>873</v>
      </c>
      <c r="D459" s="39"/>
      <c r="E459" s="39"/>
      <c r="G459" s="40">
        <v>540</v>
      </c>
    </row>
    <row r="460" spans="1:62" ht="12.75">
      <c r="A460" s="10" t="s">
        <v>874</v>
      </c>
      <c r="B460" s="10" t="s">
        <v>875</v>
      </c>
      <c r="C460" s="10" t="s">
        <v>876</v>
      </c>
      <c r="D460" s="10"/>
      <c r="E460" s="10"/>
      <c r="F460" s="10" t="s">
        <v>167</v>
      </c>
      <c r="G460" s="37">
        <v>1090</v>
      </c>
      <c r="H460" s="37">
        <v>0</v>
      </c>
      <c r="I460" s="37">
        <f>G460*AO460</f>
        <v>0</v>
      </c>
      <c r="J460" s="37">
        <f>G460*AP460</f>
        <v>0</v>
      </c>
      <c r="K460" s="37">
        <f>G460*H460</f>
        <v>0</v>
      </c>
      <c r="L460" s="38" t="s">
        <v>54</v>
      </c>
      <c r="Z460" s="37">
        <f>IF(AQ460="5",BJ460,0)</f>
        <v>0</v>
      </c>
      <c r="AB460" s="37">
        <f>IF(AQ460="1",BH460,0)</f>
        <v>0</v>
      </c>
      <c r="AC460" s="37">
        <f>IF(AQ460="1",BI460,0)</f>
        <v>0</v>
      </c>
      <c r="AD460" s="37">
        <f>IF(AQ460="7",BH460,0)</f>
        <v>0</v>
      </c>
      <c r="AE460" s="37">
        <f>IF(AQ460="7",BI460,0)</f>
        <v>0</v>
      </c>
      <c r="AF460" s="37">
        <f>IF(AQ460="2",BH460,0)</f>
        <v>0</v>
      </c>
      <c r="AG460" s="37">
        <f>IF(AQ460="2",BI460,0)</f>
        <v>0</v>
      </c>
      <c r="AH460" s="37">
        <f>IF(AQ460="0",BJ460,0)</f>
        <v>0</v>
      </c>
      <c r="AI460" s="31"/>
      <c r="AJ460" s="37">
        <f>IF(AN460=0,K460,0)</f>
        <v>0</v>
      </c>
      <c r="AK460" s="37">
        <f>IF(AN460=15,K460,0)</f>
        <v>0</v>
      </c>
      <c r="AL460" s="37">
        <f>IF(AN460=21,K460,0)</f>
        <v>0</v>
      </c>
      <c r="AN460" s="37">
        <v>15</v>
      </c>
      <c r="AO460" s="37">
        <f>H460*0.29936170212766</f>
        <v>0</v>
      </c>
      <c r="AP460" s="37">
        <f>H460*(1-0.29936170212766)</f>
        <v>0</v>
      </c>
      <c r="AQ460" s="38" t="s">
        <v>58</v>
      </c>
      <c r="AV460" s="37">
        <f>AW460+AX460</f>
        <v>0</v>
      </c>
      <c r="AW460" s="37">
        <f>G460*AO460</f>
        <v>0</v>
      </c>
      <c r="AX460" s="37">
        <f>G460*AP460</f>
        <v>0</v>
      </c>
      <c r="AY460" s="38" t="s">
        <v>831</v>
      </c>
      <c r="AZ460" s="38" t="s">
        <v>751</v>
      </c>
      <c r="BA460" s="31" t="s">
        <v>56</v>
      </c>
      <c r="BC460" s="37">
        <f>AW460+AX460</f>
        <v>0</v>
      </c>
      <c r="BD460" s="37">
        <f>H460/(100-BE460)*100</f>
        <v>0</v>
      </c>
      <c r="BE460" s="37">
        <v>0</v>
      </c>
      <c r="BF460" s="37">
        <f>460</f>
        <v>460</v>
      </c>
      <c r="BH460" s="37">
        <f>G460*AO460</f>
        <v>0</v>
      </c>
      <c r="BI460" s="37">
        <f>G460*AP460</f>
        <v>0</v>
      </c>
      <c r="BJ460" s="37">
        <f>G460*H460</f>
        <v>0</v>
      </c>
    </row>
    <row r="461" spans="3:7" ht="12.75">
      <c r="C461" s="39" t="s">
        <v>877</v>
      </c>
      <c r="D461" s="39"/>
      <c r="E461" s="39"/>
      <c r="G461" s="40">
        <v>1090</v>
      </c>
    </row>
    <row r="462" spans="1:62" ht="12.75">
      <c r="A462" s="10" t="s">
        <v>878</v>
      </c>
      <c r="B462" s="10" t="s">
        <v>879</v>
      </c>
      <c r="C462" s="10" t="s">
        <v>880</v>
      </c>
      <c r="D462" s="10"/>
      <c r="E462" s="10"/>
      <c r="F462" s="10" t="s">
        <v>347</v>
      </c>
      <c r="G462" s="37">
        <v>422</v>
      </c>
      <c r="H462" s="37">
        <v>0</v>
      </c>
      <c r="I462" s="37">
        <f>G462*AO462</f>
        <v>0</v>
      </c>
      <c r="J462" s="37">
        <f>G462*AP462</f>
        <v>0</v>
      </c>
      <c r="K462" s="37">
        <f>G462*H462</f>
        <v>0</v>
      </c>
      <c r="L462" s="38" t="s">
        <v>54</v>
      </c>
      <c r="Z462" s="37">
        <f>IF(AQ462="5",BJ462,0)</f>
        <v>0</v>
      </c>
      <c r="AB462" s="37">
        <f>IF(AQ462="1",BH462,0)</f>
        <v>0</v>
      </c>
      <c r="AC462" s="37">
        <f>IF(AQ462="1",BI462,0)</f>
        <v>0</v>
      </c>
      <c r="AD462" s="37">
        <f>IF(AQ462="7",BH462,0)</f>
        <v>0</v>
      </c>
      <c r="AE462" s="37">
        <f>IF(AQ462="7",BI462,0)</f>
        <v>0</v>
      </c>
      <c r="AF462" s="37">
        <f>IF(AQ462="2",BH462,0)</f>
        <v>0</v>
      </c>
      <c r="AG462" s="37">
        <f>IF(AQ462="2",BI462,0)</f>
        <v>0</v>
      </c>
      <c r="AH462" s="37">
        <f>IF(AQ462="0",BJ462,0)</f>
        <v>0</v>
      </c>
      <c r="AI462" s="31"/>
      <c r="AJ462" s="37">
        <f>IF(AN462=0,K462,0)</f>
        <v>0</v>
      </c>
      <c r="AK462" s="37">
        <f>IF(AN462=15,K462,0)</f>
        <v>0</v>
      </c>
      <c r="AL462" s="37">
        <f>IF(AN462=21,K462,0)</f>
        <v>0</v>
      </c>
      <c r="AN462" s="37">
        <v>15</v>
      </c>
      <c r="AO462" s="37">
        <f>H462*0</f>
        <v>0</v>
      </c>
      <c r="AP462" s="37">
        <f>H462*(1-0)</f>
        <v>0</v>
      </c>
      <c r="AQ462" s="38" t="s">
        <v>58</v>
      </c>
      <c r="AV462" s="37">
        <f>AW462+AX462</f>
        <v>0</v>
      </c>
      <c r="AW462" s="37">
        <f>G462*AO462</f>
        <v>0</v>
      </c>
      <c r="AX462" s="37">
        <f>G462*AP462</f>
        <v>0</v>
      </c>
      <c r="AY462" s="38" t="s">
        <v>831</v>
      </c>
      <c r="AZ462" s="38" t="s">
        <v>751</v>
      </c>
      <c r="BA462" s="31" t="s">
        <v>56</v>
      </c>
      <c r="BC462" s="37">
        <f>AW462+AX462</f>
        <v>0</v>
      </c>
      <c r="BD462" s="37">
        <f>H462/(100-BE462)*100</f>
        <v>0</v>
      </c>
      <c r="BE462" s="37">
        <v>0</v>
      </c>
      <c r="BF462" s="37">
        <f>462</f>
        <v>462</v>
      </c>
      <c r="BH462" s="37">
        <f>G462*AO462</f>
        <v>0</v>
      </c>
      <c r="BI462" s="37">
        <f>G462*AP462</f>
        <v>0</v>
      </c>
      <c r="BJ462" s="37">
        <f>G462*H462</f>
        <v>0</v>
      </c>
    </row>
    <row r="463" spans="3:7" ht="12.75">
      <c r="C463" s="39" t="s">
        <v>881</v>
      </c>
      <c r="D463" s="39"/>
      <c r="E463" s="39"/>
      <c r="G463" s="40">
        <v>422</v>
      </c>
    </row>
    <row r="464" spans="1:62" ht="12.75">
      <c r="A464" s="10" t="s">
        <v>882</v>
      </c>
      <c r="B464" s="10" t="s">
        <v>883</v>
      </c>
      <c r="C464" s="10" t="s">
        <v>884</v>
      </c>
      <c r="D464" s="10"/>
      <c r="E464" s="10"/>
      <c r="F464" s="10" t="s">
        <v>347</v>
      </c>
      <c r="G464" s="37">
        <v>70</v>
      </c>
      <c r="H464" s="37">
        <v>0</v>
      </c>
      <c r="I464" s="37">
        <f>G464*AO464</f>
        <v>0</v>
      </c>
      <c r="J464" s="37">
        <f>G464*AP464</f>
        <v>0</v>
      </c>
      <c r="K464" s="37">
        <f>G464*H464</f>
        <v>0</v>
      </c>
      <c r="L464" s="38" t="s">
        <v>54</v>
      </c>
      <c r="Z464" s="37">
        <f>IF(AQ464="5",BJ464,0)</f>
        <v>0</v>
      </c>
      <c r="AB464" s="37">
        <f>IF(AQ464="1",BH464,0)</f>
        <v>0</v>
      </c>
      <c r="AC464" s="37">
        <f>IF(AQ464="1",BI464,0)</f>
        <v>0</v>
      </c>
      <c r="AD464" s="37">
        <f>IF(AQ464="7",BH464,0)</f>
        <v>0</v>
      </c>
      <c r="AE464" s="37">
        <f>IF(AQ464="7",BI464,0)</f>
        <v>0</v>
      </c>
      <c r="AF464" s="37">
        <f>IF(AQ464="2",BH464,0)</f>
        <v>0</v>
      </c>
      <c r="AG464" s="37">
        <f>IF(AQ464="2",BI464,0)</f>
        <v>0</v>
      </c>
      <c r="AH464" s="37">
        <f>IF(AQ464="0",BJ464,0)</f>
        <v>0</v>
      </c>
      <c r="AI464" s="31"/>
      <c r="AJ464" s="37">
        <f>IF(AN464=0,K464,0)</f>
        <v>0</v>
      </c>
      <c r="AK464" s="37">
        <f>IF(AN464=15,K464,0)</f>
        <v>0</v>
      </c>
      <c r="AL464" s="37">
        <f>IF(AN464=21,K464,0)</f>
        <v>0</v>
      </c>
      <c r="AN464" s="37">
        <v>15</v>
      </c>
      <c r="AO464" s="37">
        <f>H464*0</f>
        <v>0</v>
      </c>
      <c r="AP464" s="37">
        <f>H464*(1-0)</f>
        <v>0</v>
      </c>
      <c r="AQ464" s="38" t="s">
        <v>58</v>
      </c>
      <c r="AV464" s="37">
        <f>AW464+AX464</f>
        <v>0</v>
      </c>
      <c r="AW464" s="37">
        <f>G464*AO464</f>
        <v>0</v>
      </c>
      <c r="AX464" s="37">
        <f>G464*AP464</f>
        <v>0</v>
      </c>
      <c r="AY464" s="38" t="s">
        <v>831</v>
      </c>
      <c r="AZ464" s="38" t="s">
        <v>751</v>
      </c>
      <c r="BA464" s="31" t="s">
        <v>56</v>
      </c>
      <c r="BC464" s="37">
        <f>AW464+AX464</f>
        <v>0</v>
      </c>
      <c r="BD464" s="37">
        <f>H464/(100-BE464)*100</f>
        <v>0</v>
      </c>
      <c r="BE464" s="37">
        <v>0</v>
      </c>
      <c r="BF464" s="37">
        <f>464</f>
        <v>464</v>
      </c>
      <c r="BH464" s="37">
        <f>G464*AO464</f>
        <v>0</v>
      </c>
      <c r="BI464" s="37">
        <f>G464*AP464</f>
        <v>0</v>
      </c>
      <c r="BJ464" s="37">
        <f>G464*H464</f>
        <v>0</v>
      </c>
    </row>
    <row r="465" spans="3:7" ht="12.75">
      <c r="C465" s="39" t="s">
        <v>885</v>
      </c>
      <c r="D465" s="39"/>
      <c r="E465" s="39"/>
      <c r="G465" s="40">
        <v>70</v>
      </c>
    </row>
    <row r="466" spans="1:62" ht="12.75">
      <c r="A466" s="10" t="s">
        <v>886</v>
      </c>
      <c r="B466" s="10" t="s">
        <v>887</v>
      </c>
      <c r="C466" s="10" t="s">
        <v>888</v>
      </c>
      <c r="D466" s="10"/>
      <c r="E466" s="10"/>
      <c r="F466" s="10" t="s">
        <v>347</v>
      </c>
      <c r="G466" s="37">
        <v>1</v>
      </c>
      <c r="H466" s="37">
        <v>0</v>
      </c>
      <c r="I466" s="37">
        <f>G466*AO466</f>
        <v>0</v>
      </c>
      <c r="J466" s="37">
        <f>G466*AP466</f>
        <v>0</v>
      </c>
      <c r="K466" s="37">
        <f>G466*H466</f>
        <v>0</v>
      </c>
      <c r="L466" s="38" t="s">
        <v>54</v>
      </c>
      <c r="Z466" s="37">
        <f>IF(AQ466="5",BJ466,0)</f>
        <v>0</v>
      </c>
      <c r="AB466" s="37">
        <f>IF(AQ466="1",BH466,0)</f>
        <v>0</v>
      </c>
      <c r="AC466" s="37">
        <f>IF(AQ466="1",BI466,0)</f>
        <v>0</v>
      </c>
      <c r="AD466" s="37">
        <f>IF(AQ466="7",BH466,0)</f>
        <v>0</v>
      </c>
      <c r="AE466" s="37">
        <f>IF(AQ466="7",BI466,0)</f>
        <v>0</v>
      </c>
      <c r="AF466" s="37">
        <f>IF(AQ466="2",BH466,0)</f>
        <v>0</v>
      </c>
      <c r="AG466" s="37">
        <f>IF(AQ466="2",BI466,0)</f>
        <v>0</v>
      </c>
      <c r="AH466" s="37">
        <f>IF(AQ466="0",BJ466,0)</f>
        <v>0</v>
      </c>
      <c r="AI466" s="31"/>
      <c r="AJ466" s="37">
        <f>IF(AN466=0,K466,0)</f>
        <v>0</v>
      </c>
      <c r="AK466" s="37">
        <f>IF(AN466=15,K466,0)</f>
        <v>0</v>
      </c>
      <c r="AL466" s="37">
        <f>IF(AN466=21,K466,0)</f>
        <v>0</v>
      </c>
      <c r="AN466" s="37">
        <v>15</v>
      </c>
      <c r="AO466" s="37">
        <f>H466*0</f>
        <v>0</v>
      </c>
      <c r="AP466" s="37">
        <f>H466*(1-0)</f>
        <v>0</v>
      </c>
      <c r="AQ466" s="38" t="s">
        <v>58</v>
      </c>
      <c r="AV466" s="37">
        <f>AW466+AX466</f>
        <v>0</v>
      </c>
      <c r="AW466" s="37">
        <f>G466*AO466</f>
        <v>0</v>
      </c>
      <c r="AX466" s="37">
        <f>G466*AP466</f>
        <v>0</v>
      </c>
      <c r="AY466" s="38" t="s">
        <v>831</v>
      </c>
      <c r="AZ466" s="38" t="s">
        <v>751</v>
      </c>
      <c r="BA466" s="31" t="s">
        <v>56</v>
      </c>
      <c r="BC466" s="37">
        <f>AW466+AX466</f>
        <v>0</v>
      </c>
      <c r="BD466" s="37">
        <f>H466/(100-BE466)*100</f>
        <v>0</v>
      </c>
      <c r="BE466" s="37">
        <v>0</v>
      </c>
      <c r="BF466" s="37">
        <f>466</f>
        <v>466</v>
      </c>
      <c r="BH466" s="37">
        <f>G466*AO466</f>
        <v>0</v>
      </c>
      <c r="BI466" s="37">
        <f>G466*AP466</f>
        <v>0</v>
      </c>
      <c r="BJ466" s="37">
        <f>G466*H466</f>
        <v>0</v>
      </c>
    </row>
    <row r="467" spans="3:7" ht="12.75">
      <c r="C467" s="39" t="s">
        <v>57</v>
      </c>
      <c r="D467" s="39"/>
      <c r="E467" s="39"/>
      <c r="G467" s="40">
        <v>1</v>
      </c>
    </row>
    <row r="468" spans="1:62" ht="12.75">
      <c r="A468" s="10" t="s">
        <v>889</v>
      </c>
      <c r="B468" s="10" t="s">
        <v>828</v>
      </c>
      <c r="C468" s="10" t="s">
        <v>890</v>
      </c>
      <c r="D468" s="10"/>
      <c r="E468" s="10"/>
      <c r="F468" s="10" t="s">
        <v>347</v>
      </c>
      <c r="G468" s="37">
        <v>1</v>
      </c>
      <c r="H468" s="37">
        <v>0</v>
      </c>
      <c r="I468" s="37">
        <f>G468*AO468</f>
        <v>0</v>
      </c>
      <c r="J468" s="37">
        <f>G468*AP468</f>
        <v>0</v>
      </c>
      <c r="K468" s="37">
        <f>G468*H468</f>
        <v>0</v>
      </c>
      <c r="L468" s="38" t="s">
        <v>54</v>
      </c>
      <c r="Z468" s="37">
        <f>IF(AQ468="5",BJ468,0)</f>
        <v>0</v>
      </c>
      <c r="AB468" s="37">
        <f>IF(AQ468="1",BH468,0)</f>
        <v>0</v>
      </c>
      <c r="AC468" s="37">
        <f>IF(AQ468="1",BI468,0)</f>
        <v>0</v>
      </c>
      <c r="AD468" s="37">
        <f>IF(AQ468="7",BH468,0)</f>
        <v>0</v>
      </c>
      <c r="AE468" s="37">
        <f>IF(AQ468="7",BI468,0)</f>
        <v>0</v>
      </c>
      <c r="AF468" s="37">
        <f>IF(AQ468="2",BH468,0)</f>
        <v>0</v>
      </c>
      <c r="AG468" s="37">
        <f>IF(AQ468="2",BI468,0)</f>
        <v>0</v>
      </c>
      <c r="AH468" s="37">
        <f>IF(AQ468="0",BJ468,0)</f>
        <v>0</v>
      </c>
      <c r="AI468" s="31"/>
      <c r="AJ468" s="37">
        <f>IF(AN468=0,K468,0)</f>
        <v>0</v>
      </c>
      <c r="AK468" s="37">
        <f>IF(AN468=15,K468,0)</f>
        <v>0</v>
      </c>
      <c r="AL468" s="37">
        <f>IF(AN468=21,K468,0)</f>
        <v>0</v>
      </c>
      <c r="AN468" s="37">
        <v>15</v>
      </c>
      <c r="AO468" s="37">
        <f>H468*1</f>
        <v>0</v>
      </c>
      <c r="AP468" s="37">
        <f>H468*(1-1)</f>
        <v>0</v>
      </c>
      <c r="AQ468" s="38" t="s">
        <v>58</v>
      </c>
      <c r="AV468" s="37">
        <f>AW468+AX468</f>
        <v>0</v>
      </c>
      <c r="AW468" s="37">
        <f>G468*AO468</f>
        <v>0</v>
      </c>
      <c r="AX468" s="37">
        <f>G468*AP468</f>
        <v>0</v>
      </c>
      <c r="AY468" s="38" t="s">
        <v>831</v>
      </c>
      <c r="AZ468" s="38" t="s">
        <v>751</v>
      </c>
      <c r="BA468" s="31" t="s">
        <v>56</v>
      </c>
      <c r="BC468" s="37">
        <f>AW468+AX468</f>
        <v>0</v>
      </c>
      <c r="BD468" s="37">
        <f>H468/(100-BE468)*100</f>
        <v>0</v>
      </c>
      <c r="BE468" s="37">
        <v>0</v>
      </c>
      <c r="BF468" s="37">
        <f>468</f>
        <v>468</v>
      </c>
      <c r="BH468" s="37">
        <f>G468*AO468</f>
        <v>0</v>
      </c>
      <c r="BI468" s="37">
        <f>G468*AP468</f>
        <v>0</v>
      </c>
      <c r="BJ468" s="37">
        <f>G468*H468</f>
        <v>0</v>
      </c>
    </row>
    <row r="469" spans="3:7" ht="12.75">
      <c r="C469" s="39" t="s">
        <v>57</v>
      </c>
      <c r="D469" s="39"/>
      <c r="E469" s="39"/>
      <c r="G469" s="40">
        <v>1</v>
      </c>
    </row>
    <row r="470" spans="1:62" ht="12.75">
      <c r="A470" s="10" t="s">
        <v>891</v>
      </c>
      <c r="B470" s="10" t="s">
        <v>892</v>
      </c>
      <c r="C470" s="10" t="s">
        <v>893</v>
      </c>
      <c r="D470" s="10"/>
      <c r="E470" s="10"/>
      <c r="F470" s="10" t="s">
        <v>347</v>
      </c>
      <c r="G470" s="37">
        <v>23</v>
      </c>
      <c r="H470" s="37">
        <v>0</v>
      </c>
      <c r="I470" s="37">
        <f>G470*AO470</f>
        <v>0</v>
      </c>
      <c r="J470" s="37">
        <f>G470*AP470</f>
        <v>0</v>
      </c>
      <c r="K470" s="37">
        <f>G470*H470</f>
        <v>0</v>
      </c>
      <c r="L470" s="38" t="s">
        <v>54</v>
      </c>
      <c r="Z470" s="37">
        <f>IF(AQ470="5",BJ470,0)</f>
        <v>0</v>
      </c>
      <c r="AB470" s="37">
        <f>IF(AQ470="1",BH470,0)</f>
        <v>0</v>
      </c>
      <c r="AC470" s="37">
        <f>IF(AQ470="1",BI470,0)</f>
        <v>0</v>
      </c>
      <c r="AD470" s="37">
        <f>IF(AQ470="7",BH470,0)</f>
        <v>0</v>
      </c>
      <c r="AE470" s="37">
        <f>IF(AQ470="7",BI470,0)</f>
        <v>0</v>
      </c>
      <c r="AF470" s="37">
        <f>IF(AQ470="2",BH470,0)</f>
        <v>0</v>
      </c>
      <c r="AG470" s="37">
        <f>IF(AQ470="2",BI470,0)</f>
        <v>0</v>
      </c>
      <c r="AH470" s="37">
        <f>IF(AQ470="0",BJ470,0)</f>
        <v>0</v>
      </c>
      <c r="AI470" s="31"/>
      <c r="AJ470" s="37">
        <f>IF(AN470=0,K470,0)</f>
        <v>0</v>
      </c>
      <c r="AK470" s="37">
        <f>IF(AN470=15,K470,0)</f>
        <v>0</v>
      </c>
      <c r="AL470" s="37">
        <f>IF(AN470=21,K470,0)</f>
        <v>0</v>
      </c>
      <c r="AN470" s="37">
        <v>15</v>
      </c>
      <c r="AO470" s="37">
        <f>H470*0.440194931773879</f>
        <v>0</v>
      </c>
      <c r="AP470" s="37">
        <f>H470*(1-0.440194931773879)</f>
        <v>0</v>
      </c>
      <c r="AQ470" s="38" t="s">
        <v>58</v>
      </c>
      <c r="AV470" s="37">
        <f>AW470+AX470</f>
        <v>0</v>
      </c>
      <c r="AW470" s="37">
        <f>G470*AO470</f>
        <v>0</v>
      </c>
      <c r="AX470" s="37">
        <f>G470*AP470</f>
        <v>0</v>
      </c>
      <c r="AY470" s="38" t="s">
        <v>831</v>
      </c>
      <c r="AZ470" s="38" t="s">
        <v>751</v>
      </c>
      <c r="BA470" s="31" t="s">
        <v>56</v>
      </c>
      <c r="BC470" s="37">
        <f>AW470+AX470</f>
        <v>0</v>
      </c>
      <c r="BD470" s="37">
        <f>H470/(100-BE470)*100</f>
        <v>0</v>
      </c>
      <c r="BE470" s="37">
        <v>0</v>
      </c>
      <c r="BF470" s="37">
        <f>470</f>
        <v>470</v>
      </c>
      <c r="BH470" s="37">
        <f>G470*AO470</f>
        <v>0</v>
      </c>
      <c r="BI470" s="37">
        <f>G470*AP470</f>
        <v>0</v>
      </c>
      <c r="BJ470" s="37">
        <f>G470*H470</f>
        <v>0</v>
      </c>
    </row>
    <row r="471" spans="3:7" ht="12.75">
      <c r="C471" s="39" t="s">
        <v>894</v>
      </c>
      <c r="D471" s="39"/>
      <c r="E471" s="39"/>
      <c r="G471" s="40">
        <v>23</v>
      </c>
    </row>
    <row r="472" spans="1:62" ht="12.75">
      <c r="A472" s="10" t="s">
        <v>895</v>
      </c>
      <c r="B472" s="10" t="s">
        <v>896</v>
      </c>
      <c r="C472" s="10" t="s">
        <v>897</v>
      </c>
      <c r="D472" s="10"/>
      <c r="E472" s="10"/>
      <c r="F472" s="10" t="s">
        <v>347</v>
      </c>
      <c r="G472" s="37">
        <v>36</v>
      </c>
      <c r="H472" s="37">
        <v>0</v>
      </c>
      <c r="I472" s="37">
        <f>G472*AO472</f>
        <v>0</v>
      </c>
      <c r="J472" s="37">
        <f>G472*AP472</f>
        <v>0</v>
      </c>
      <c r="K472" s="37">
        <f>G472*H472</f>
        <v>0</v>
      </c>
      <c r="L472" s="38" t="s">
        <v>54</v>
      </c>
      <c r="Z472" s="37">
        <f>IF(AQ472="5",BJ472,0)</f>
        <v>0</v>
      </c>
      <c r="AB472" s="37">
        <f>IF(AQ472="1",BH472,0)</f>
        <v>0</v>
      </c>
      <c r="AC472" s="37">
        <f>IF(AQ472="1",BI472,0)</f>
        <v>0</v>
      </c>
      <c r="AD472" s="37">
        <f>IF(AQ472="7",BH472,0)</f>
        <v>0</v>
      </c>
      <c r="AE472" s="37">
        <f>IF(AQ472="7",BI472,0)</f>
        <v>0</v>
      </c>
      <c r="AF472" s="37">
        <f>IF(AQ472="2",BH472,0)</f>
        <v>0</v>
      </c>
      <c r="AG472" s="37">
        <f>IF(AQ472="2",BI472,0)</f>
        <v>0</v>
      </c>
      <c r="AH472" s="37">
        <f>IF(AQ472="0",BJ472,0)</f>
        <v>0</v>
      </c>
      <c r="AI472" s="31"/>
      <c r="AJ472" s="37">
        <f>IF(AN472=0,K472,0)</f>
        <v>0</v>
      </c>
      <c r="AK472" s="37">
        <f>IF(AN472=15,K472,0)</f>
        <v>0</v>
      </c>
      <c r="AL472" s="37">
        <f>IF(AN472=21,K472,0)</f>
        <v>0</v>
      </c>
      <c r="AN472" s="37">
        <v>15</v>
      </c>
      <c r="AO472" s="37">
        <f>H472*0.485896147403685</f>
        <v>0</v>
      </c>
      <c r="AP472" s="37">
        <f>H472*(1-0.485896147403685)</f>
        <v>0</v>
      </c>
      <c r="AQ472" s="38" t="s">
        <v>58</v>
      </c>
      <c r="AV472" s="37">
        <f>AW472+AX472</f>
        <v>0</v>
      </c>
      <c r="AW472" s="37">
        <f>G472*AO472</f>
        <v>0</v>
      </c>
      <c r="AX472" s="37">
        <f>G472*AP472</f>
        <v>0</v>
      </c>
      <c r="AY472" s="38" t="s">
        <v>831</v>
      </c>
      <c r="AZ472" s="38" t="s">
        <v>751</v>
      </c>
      <c r="BA472" s="31" t="s">
        <v>56</v>
      </c>
      <c r="BC472" s="37">
        <f>AW472+AX472</f>
        <v>0</v>
      </c>
      <c r="BD472" s="37">
        <f>H472/(100-BE472)*100</f>
        <v>0</v>
      </c>
      <c r="BE472" s="37">
        <v>0</v>
      </c>
      <c r="BF472" s="37">
        <f>472</f>
        <v>472</v>
      </c>
      <c r="BH472" s="37">
        <f>G472*AO472</f>
        <v>0</v>
      </c>
      <c r="BI472" s="37">
        <f>G472*AP472</f>
        <v>0</v>
      </c>
      <c r="BJ472" s="37">
        <f>G472*H472</f>
        <v>0</v>
      </c>
    </row>
    <row r="473" spans="3:7" ht="12.75">
      <c r="C473" s="39" t="s">
        <v>898</v>
      </c>
      <c r="D473" s="39"/>
      <c r="E473" s="39"/>
      <c r="G473" s="40">
        <v>36</v>
      </c>
    </row>
    <row r="474" spans="1:62" ht="12.75">
      <c r="A474" s="10" t="s">
        <v>899</v>
      </c>
      <c r="B474" s="10" t="s">
        <v>900</v>
      </c>
      <c r="C474" s="10" t="s">
        <v>901</v>
      </c>
      <c r="D474" s="10"/>
      <c r="E474" s="10"/>
      <c r="F474" s="10" t="s">
        <v>53</v>
      </c>
      <c r="G474" s="37">
        <v>1</v>
      </c>
      <c r="H474" s="37">
        <v>0</v>
      </c>
      <c r="I474" s="37">
        <f>G474*AO474</f>
        <v>0</v>
      </c>
      <c r="J474" s="37">
        <f>G474*AP474</f>
        <v>0</v>
      </c>
      <c r="K474" s="37">
        <f>G474*H474</f>
        <v>0</v>
      </c>
      <c r="L474" s="38" t="s">
        <v>54</v>
      </c>
      <c r="Z474" s="37">
        <f>IF(AQ474="5",BJ474,0)</f>
        <v>0</v>
      </c>
      <c r="AB474" s="37">
        <f>IF(AQ474="1",BH474,0)</f>
        <v>0</v>
      </c>
      <c r="AC474" s="37">
        <f>IF(AQ474="1",BI474,0)</f>
        <v>0</v>
      </c>
      <c r="AD474" s="37">
        <f>IF(AQ474="7",BH474,0)</f>
        <v>0</v>
      </c>
      <c r="AE474" s="37">
        <f>IF(AQ474="7",BI474,0)</f>
        <v>0</v>
      </c>
      <c r="AF474" s="37">
        <f>IF(AQ474="2",BH474,0)</f>
        <v>0</v>
      </c>
      <c r="AG474" s="37">
        <f>IF(AQ474="2",BI474,0)</f>
        <v>0</v>
      </c>
      <c r="AH474" s="37">
        <f>IF(AQ474="0",BJ474,0)</f>
        <v>0</v>
      </c>
      <c r="AI474" s="31"/>
      <c r="AJ474" s="37">
        <f>IF(AN474=0,K474,0)</f>
        <v>0</v>
      </c>
      <c r="AK474" s="37">
        <f>IF(AN474=15,K474,0)</f>
        <v>0</v>
      </c>
      <c r="AL474" s="37">
        <f>IF(AN474=21,K474,0)</f>
        <v>0</v>
      </c>
      <c r="AN474" s="37">
        <v>15</v>
      </c>
      <c r="AO474" s="37">
        <f>H474*0</f>
        <v>0</v>
      </c>
      <c r="AP474" s="37">
        <f>H474*(1-0)</f>
        <v>0</v>
      </c>
      <c r="AQ474" s="38" t="s">
        <v>58</v>
      </c>
      <c r="AV474" s="37">
        <f>AW474+AX474</f>
        <v>0</v>
      </c>
      <c r="AW474" s="37">
        <f>G474*AO474</f>
        <v>0</v>
      </c>
      <c r="AX474" s="37">
        <f>G474*AP474</f>
        <v>0</v>
      </c>
      <c r="AY474" s="38" t="s">
        <v>831</v>
      </c>
      <c r="AZ474" s="38" t="s">
        <v>751</v>
      </c>
      <c r="BA474" s="31" t="s">
        <v>56</v>
      </c>
      <c r="BC474" s="37">
        <f>AW474+AX474</f>
        <v>0</v>
      </c>
      <c r="BD474" s="37">
        <f>H474/(100-BE474)*100</f>
        <v>0</v>
      </c>
      <c r="BE474" s="37">
        <v>0</v>
      </c>
      <c r="BF474" s="37">
        <f>474</f>
        <v>474</v>
      </c>
      <c r="BH474" s="37">
        <f>G474*AO474</f>
        <v>0</v>
      </c>
      <c r="BI474" s="37">
        <f>G474*AP474</f>
        <v>0</v>
      </c>
      <c r="BJ474" s="37">
        <f>G474*H474</f>
        <v>0</v>
      </c>
    </row>
    <row r="475" spans="3:7" ht="12.75">
      <c r="C475" s="39" t="s">
        <v>57</v>
      </c>
      <c r="D475" s="39"/>
      <c r="E475" s="39"/>
      <c r="G475" s="40">
        <v>1</v>
      </c>
    </row>
    <row r="476" spans="1:62" ht="12.75">
      <c r="A476" s="10" t="s">
        <v>902</v>
      </c>
      <c r="B476" s="10" t="s">
        <v>903</v>
      </c>
      <c r="C476" s="10" t="s">
        <v>904</v>
      </c>
      <c r="D476" s="10"/>
      <c r="E476" s="10"/>
      <c r="F476" s="10" t="s">
        <v>53</v>
      </c>
      <c r="G476" s="37">
        <v>1</v>
      </c>
      <c r="H476" s="37">
        <v>0</v>
      </c>
      <c r="I476" s="37">
        <f>G476*AO476</f>
        <v>0</v>
      </c>
      <c r="J476" s="37">
        <f>G476*AP476</f>
        <v>0</v>
      </c>
      <c r="K476" s="37">
        <f>G476*H476</f>
        <v>0</v>
      </c>
      <c r="L476" s="38" t="s">
        <v>54</v>
      </c>
      <c r="Z476" s="37">
        <f>IF(AQ476="5",BJ476,0)</f>
        <v>0</v>
      </c>
      <c r="AB476" s="37">
        <f>IF(AQ476="1",BH476,0)</f>
        <v>0</v>
      </c>
      <c r="AC476" s="37">
        <f>IF(AQ476="1",BI476,0)</f>
        <v>0</v>
      </c>
      <c r="AD476" s="37">
        <f>IF(AQ476="7",BH476,0)</f>
        <v>0</v>
      </c>
      <c r="AE476" s="37">
        <f>IF(AQ476="7",BI476,0)</f>
        <v>0</v>
      </c>
      <c r="AF476" s="37">
        <f>IF(AQ476="2",BH476,0)</f>
        <v>0</v>
      </c>
      <c r="AG476" s="37">
        <f>IF(AQ476="2",BI476,0)</f>
        <v>0</v>
      </c>
      <c r="AH476" s="37">
        <f>IF(AQ476="0",BJ476,0)</f>
        <v>0</v>
      </c>
      <c r="AI476" s="31"/>
      <c r="AJ476" s="37">
        <f>IF(AN476=0,K476,0)</f>
        <v>0</v>
      </c>
      <c r="AK476" s="37">
        <f>IF(AN476=15,K476,0)</f>
        <v>0</v>
      </c>
      <c r="AL476" s="37">
        <f>IF(AN476=21,K476,0)</f>
        <v>0</v>
      </c>
      <c r="AN476" s="37">
        <v>15</v>
      </c>
      <c r="AO476" s="37">
        <f>H476*0</f>
        <v>0</v>
      </c>
      <c r="AP476" s="37">
        <f>H476*(1-0)</f>
        <v>0</v>
      </c>
      <c r="AQ476" s="38" t="s">
        <v>58</v>
      </c>
      <c r="AV476" s="37">
        <f>AW476+AX476</f>
        <v>0</v>
      </c>
      <c r="AW476" s="37">
        <f>G476*AO476</f>
        <v>0</v>
      </c>
      <c r="AX476" s="37">
        <f>G476*AP476</f>
        <v>0</v>
      </c>
      <c r="AY476" s="38" t="s">
        <v>831</v>
      </c>
      <c r="AZ476" s="38" t="s">
        <v>751</v>
      </c>
      <c r="BA476" s="31" t="s">
        <v>56</v>
      </c>
      <c r="BC476" s="37">
        <f>AW476+AX476</f>
        <v>0</v>
      </c>
      <c r="BD476" s="37">
        <f>H476/(100-BE476)*100</f>
        <v>0</v>
      </c>
      <c r="BE476" s="37">
        <v>0</v>
      </c>
      <c r="BF476" s="37">
        <f>476</f>
        <v>476</v>
      </c>
      <c r="BH476" s="37">
        <f>G476*AO476</f>
        <v>0</v>
      </c>
      <c r="BI476" s="37">
        <f>G476*AP476</f>
        <v>0</v>
      </c>
      <c r="BJ476" s="37">
        <f>G476*H476</f>
        <v>0</v>
      </c>
    </row>
    <row r="477" spans="3:7" ht="12.75">
      <c r="C477" s="39" t="s">
        <v>57</v>
      </c>
      <c r="D477" s="39"/>
      <c r="E477" s="39"/>
      <c r="G477" s="40">
        <v>1</v>
      </c>
    </row>
    <row r="478" spans="1:62" ht="12.75">
      <c r="A478" s="10" t="s">
        <v>905</v>
      </c>
      <c r="B478" s="10" t="s">
        <v>906</v>
      </c>
      <c r="C478" s="10" t="s">
        <v>907</v>
      </c>
      <c r="D478" s="10"/>
      <c r="E478" s="10"/>
      <c r="F478" s="10" t="s">
        <v>53</v>
      </c>
      <c r="G478" s="37">
        <v>1</v>
      </c>
      <c r="H478" s="37">
        <v>0</v>
      </c>
      <c r="I478" s="37">
        <f>G478*AO478</f>
        <v>0</v>
      </c>
      <c r="J478" s="37">
        <f>G478*AP478</f>
        <v>0</v>
      </c>
      <c r="K478" s="37">
        <f>G478*H478</f>
        <v>0</v>
      </c>
      <c r="L478" s="38" t="s">
        <v>54</v>
      </c>
      <c r="Z478" s="37">
        <f>IF(AQ478="5",BJ478,0)</f>
        <v>0</v>
      </c>
      <c r="AB478" s="37">
        <f>IF(AQ478="1",BH478,0)</f>
        <v>0</v>
      </c>
      <c r="AC478" s="37">
        <f>IF(AQ478="1",BI478,0)</f>
        <v>0</v>
      </c>
      <c r="AD478" s="37">
        <f>IF(AQ478="7",BH478,0)</f>
        <v>0</v>
      </c>
      <c r="AE478" s="37">
        <f>IF(AQ478="7",BI478,0)</f>
        <v>0</v>
      </c>
      <c r="AF478" s="37">
        <f>IF(AQ478="2",BH478,0)</f>
        <v>0</v>
      </c>
      <c r="AG478" s="37">
        <f>IF(AQ478="2",BI478,0)</f>
        <v>0</v>
      </c>
      <c r="AH478" s="37">
        <f>IF(AQ478="0",BJ478,0)</f>
        <v>0</v>
      </c>
      <c r="AI478" s="31"/>
      <c r="AJ478" s="37">
        <f>IF(AN478=0,K478,0)</f>
        <v>0</v>
      </c>
      <c r="AK478" s="37">
        <f>IF(AN478=15,K478,0)</f>
        <v>0</v>
      </c>
      <c r="AL478" s="37">
        <f>IF(AN478=21,K478,0)</f>
        <v>0</v>
      </c>
      <c r="AN478" s="37">
        <v>15</v>
      </c>
      <c r="AO478" s="37">
        <f>H478*0</f>
        <v>0</v>
      </c>
      <c r="AP478" s="37">
        <f>H478*(1-0)</f>
        <v>0</v>
      </c>
      <c r="AQ478" s="38" t="s">
        <v>58</v>
      </c>
      <c r="AV478" s="37">
        <f>AW478+AX478</f>
        <v>0</v>
      </c>
      <c r="AW478" s="37">
        <f>G478*AO478</f>
        <v>0</v>
      </c>
      <c r="AX478" s="37">
        <f>G478*AP478</f>
        <v>0</v>
      </c>
      <c r="AY478" s="38" t="s">
        <v>831</v>
      </c>
      <c r="AZ478" s="38" t="s">
        <v>751</v>
      </c>
      <c r="BA478" s="31" t="s">
        <v>56</v>
      </c>
      <c r="BC478" s="37">
        <f>AW478+AX478</f>
        <v>0</v>
      </c>
      <c r="BD478" s="37">
        <f>H478/(100-BE478)*100</f>
        <v>0</v>
      </c>
      <c r="BE478" s="37">
        <v>0</v>
      </c>
      <c r="BF478" s="37">
        <f>478</f>
        <v>478</v>
      </c>
      <c r="BH478" s="37">
        <f>G478*AO478</f>
        <v>0</v>
      </c>
      <c r="BI478" s="37">
        <f>G478*AP478</f>
        <v>0</v>
      </c>
      <c r="BJ478" s="37">
        <f>G478*H478</f>
        <v>0</v>
      </c>
    </row>
    <row r="479" spans="3:7" ht="12.75">
      <c r="C479" s="39" t="s">
        <v>57</v>
      </c>
      <c r="D479" s="39"/>
      <c r="E479" s="39"/>
      <c r="G479" s="40">
        <v>1</v>
      </c>
    </row>
    <row r="480" spans="1:62" ht="12.75">
      <c r="A480" s="10" t="s">
        <v>908</v>
      </c>
      <c r="B480" s="10" t="s">
        <v>909</v>
      </c>
      <c r="C480" s="10" t="s">
        <v>910</v>
      </c>
      <c r="D480" s="10"/>
      <c r="E480" s="10"/>
      <c r="F480" s="10" t="s">
        <v>53</v>
      </c>
      <c r="G480" s="37">
        <v>1</v>
      </c>
      <c r="H480" s="37">
        <v>0</v>
      </c>
      <c r="I480" s="37">
        <f>G480*AO480</f>
        <v>0</v>
      </c>
      <c r="J480" s="37">
        <f>G480*AP480</f>
        <v>0</v>
      </c>
      <c r="K480" s="37">
        <f>G480*H480</f>
        <v>0</v>
      </c>
      <c r="L480" s="38" t="s">
        <v>54</v>
      </c>
      <c r="Z480" s="37">
        <f>IF(AQ480="5",BJ480,0)</f>
        <v>0</v>
      </c>
      <c r="AB480" s="37">
        <f>IF(AQ480="1",BH480,0)</f>
        <v>0</v>
      </c>
      <c r="AC480" s="37">
        <f>IF(AQ480="1",BI480,0)</f>
        <v>0</v>
      </c>
      <c r="AD480" s="37">
        <f>IF(AQ480="7",BH480,0)</f>
        <v>0</v>
      </c>
      <c r="AE480" s="37">
        <f>IF(AQ480="7",BI480,0)</f>
        <v>0</v>
      </c>
      <c r="AF480" s="37">
        <f>IF(AQ480="2",BH480,0)</f>
        <v>0</v>
      </c>
      <c r="AG480" s="37">
        <f>IF(AQ480="2",BI480,0)</f>
        <v>0</v>
      </c>
      <c r="AH480" s="37">
        <f>IF(AQ480="0",BJ480,0)</f>
        <v>0</v>
      </c>
      <c r="AI480" s="31"/>
      <c r="AJ480" s="37">
        <f>IF(AN480=0,K480,0)</f>
        <v>0</v>
      </c>
      <c r="AK480" s="37">
        <f>IF(AN480=15,K480,0)</f>
        <v>0</v>
      </c>
      <c r="AL480" s="37">
        <f>IF(AN480=21,K480,0)</f>
        <v>0</v>
      </c>
      <c r="AN480" s="37">
        <v>15</v>
      </c>
      <c r="AO480" s="37">
        <f>H480*0</f>
        <v>0</v>
      </c>
      <c r="AP480" s="37">
        <f>H480*(1-0)</f>
        <v>0</v>
      </c>
      <c r="AQ480" s="38" t="s">
        <v>58</v>
      </c>
      <c r="AV480" s="37">
        <f>AW480+AX480</f>
        <v>0</v>
      </c>
      <c r="AW480" s="37">
        <f>G480*AO480</f>
        <v>0</v>
      </c>
      <c r="AX480" s="37">
        <f>G480*AP480</f>
        <v>0</v>
      </c>
      <c r="AY480" s="38" t="s">
        <v>831</v>
      </c>
      <c r="AZ480" s="38" t="s">
        <v>751</v>
      </c>
      <c r="BA480" s="31" t="s">
        <v>56</v>
      </c>
      <c r="BC480" s="37">
        <f>AW480+AX480</f>
        <v>0</v>
      </c>
      <c r="BD480" s="37">
        <f>H480/(100-BE480)*100</f>
        <v>0</v>
      </c>
      <c r="BE480" s="37">
        <v>0</v>
      </c>
      <c r="BF480" s="37">
        <f>480</f>
        <v>480</v>
      </c>
      <c r="BH480" s="37">
        <f>G480*AO480</f>
        <v>0</v>
      </c>
      <c r="BI480" s="37">
        <f>G480*AP480</f>
        <v>0</v>
      </c>
      <c r="BJ480" s="37">
        <f>G480*H480</f>
        <v>0</v>
      </c>
    </row>
    <row r="481" spans="3:7" ht="12.75">
      <c r="C481" s="39" t="s">
        <v>57</v>
      </c>
      <c r="D481" s="39"/>
      <c r="E481" s="39"/>
      <c r="G481" s="40">
        <v>1</v>
      </c>
    </row>
    <row r="482" spans="1:62" ht="12.75">
      <c r="A482" s="10" t="s">
        <v>911</v>
      </c>
      <c r="B482" s="10" t="s">
        <v>912</v>
      </c>
      <c r="C482" s="10" t="s">
        <v>913</v>
      </c>
      <c r="D482" s="10"/>
      <c r="E482" s="10"/>
      <c r="F482" s="10" t="s">
        <v>167</v>
      </c>
      <c r="G482" s="37">
        <v>40</v>
      </c>
      <c r="H482" s="37">
        <v>0</v>
      </c>
      <c r="I482" s="37">
        <f>G482*AO482</f>
        <v>0</v>
      </c>
      <c r="J482" s="37">
        <f>G482*AP482</f>
        <v>0</v>
      </c>
      <c r="K482" s="37">
        <f>G482*H482</f>
        <v>0</v>
      </c>
      <c r="L482" s="38" t="s">
        <v>54</v>
      </c>
      <c r="Z482" s="37">
        <f>IF(AQ482="5",BJ482,0)</f>
        <v>0</v>
      </c>
      <c r="AB482" s="37">
        <f>IF(AQ482="1",BH482,0)</f>
        <v>0</v>
      </c>
      <c r="AC482" s="37">
        <f>IF(AQ482="1",BI482,0)</f>
        <v>0</v>
      </c>
      <c r="AD482" s="37">
        <f>IF(AQ482="7",BH482,0)</f>
        <v>0</v>
      </c>
      <c r="AE482" s="37">
        <f>IF(AQ482="7",BI482,0)</f>
        <v>0</v>
      </c>
      <c r="AF482" s="37">
        <f>IF(AQ482="2",BH482,0)</f>
        <v>0</v>
      </c>
      <c r="AG482" s="37">
        <f>IF(AQ482="2",BI482,0)</f>
        <v>0</v>
      </c>
      <c r="AH482" s="37">
        <f>IF(AQ482="0",BJ482,0)</f>
        <v>0</v>
      </c>
      <c r="AI482" s="31"/>
      <c r="AJ482" s="37">
        <f>IF(AN482=0,K482,0)</f>
        <v>0</v>
      </c>
      <c r="AK482" s="37">
        <f>IF(AN482=15,K482,0)</f>
        <v>0</v>
      </c>
      <c r="AL482" s="37">
        <f>IF(AN482=21,K482,0)</f>
        <v>0</v>
      </c>
      <c r="AN482" s="37">
        <v>15</v>
      </c>
      <c r="AO482" s="37">
        <f>H482*0.318785425101215</f>
        <v>0</v>
      </c>
      <c r="AP482" s="37">
        <f>H482*(1-0.318785425101215)</f>
        <v>0</v>
      </c>
      <c r="AQ482" s="38" t="s">
        <v>58</v>
      </c>
      <c r="AV482" s="37">
        <f>AW482+AX482</f>
        <v>0</v>
      </c>
      <c r="AW482" s="37">
        <f>G482*AO482</f>
        <v>0</v>
      </c>
      <c r="AX482" s="37">
        <f>G482*AP482</f>
        <v>0</v>
      </c>
      <c r="AY482" s="38" t="s">
        <v>831</v>
      </c>
      <c r="AZ482" s="38" t="s">
        <v>751</v>
      </c>
      <c r="BA482" s="31" t="s">
        <v>56</v>
      </c>
      <c r="BC482" s="37">
        <f>AW482+AX482</f>
        <v>0</v>
      </c>
      <c r="BD482" s="37">
        <f>H482/(100-BE482)*100</f>
        <v>0</v>
      </c>
      <c r="BE482" s="37">
        <v>0</v>
      </c>
      <c r="BF482" s="37">
        <f>482</f>
        <v>482</v>
      </c>
      <c r="BH482" s="37">
        <f>G482*AO482</f>
        <v>0</v>
      </c>
      <c r="BI482" s="37">
        <f>G482*AP482</f>
        <v>0</v>
      </c>
      <c r="BJ482" s="37">
        <f>G482*H482</f>
        <v>0</v>
      </c>
    </row>
    <row r="483" spans="3:7" ht="12.75">
      <c r="C483" s="39" t="s">
        <v>844</v>
      </c>
      <c r="D483" s="39"/>
      <c r="E483" s="39"/>
      <c r="G483" s="40">
        <v>40</v>
      </c>
    </row>
    <row r="484" spans="1:62" ht="12.75">
      <c r="A484" s="10" t="s">
        <v>914</v>
      </c>
      <c r="B484" s="10" t="s">
        <v>915</v>
      </c>
      <c r="C484" s="10" t="s">
        <v>916</v>
      </c>
      <c r="D484" s="10"/>
      <c r="E484" s="10"/>
      <c r="F484" s="10" t="s">
        <v>347</v>
      </c>
      <c r="G484" s="37">
        <v>190</v>
      </c>
      <c r="H484" s="37">
        <v>0</v>
      </c>
      <c r="I484" s="37">
        <f>G484*AO484</f>
        <v>0</v>
      </c>
      <c r="J484" s="37">
        <f>G484*AP484</f>
        <v>0</v>
      </c>
      <c r="K484" s="37">
        <f>G484*H484</f>
        <v>0</v>
      </c>
      <c r="L484" s="38" t="s">
        <v>54</v>
      </c>
      <c r="Z484" s="37">
        <f>IF(AQ484="5",BJ484,0)</f>
        <v>0</v>
      </c>
      <c r="AB484" s="37">
        <f>IF(AQ484="1",BH484,0)</f>
        <v>0</v>
      </c>
      <c r="AC484" s="37">
        <f>IF(AQ484="1",BI484,0)</f>
        <v>0</v>
      </c>
      <c r="AD484" s="37">
        <f>IF(AQ484="7",BH484,0)</f>
        <v>0</v>
      </c>
      <c r="AE484" s="37">
        <f>IF(AQ484="7",BI484,0)</f>
        <v>0</v>
      </c>
      <c r="AF484" s="37">
        <f>IF(AQ484="2",BH484,0)</f>
        <v>0</v>
      </c>
      <c r="AG484" s="37">
        <f>IF(AQ484="2",BI484,0)</f>
        <v>0</v>
      </c>
      <c r="AH484" s="37">
        <f>IF(AQ484="0",BJ484,0)</f>
        <v>0</v>
      </c>
      <c r="AI484" s="31"/>
      <c r="AJ484" s="37">
        <f>IF(AN484=0,K484,0)</f>
        <v>0</v>
      </c>
      <c r="AK484" s="37">
        <f>IF(AN484=15,K484,0)</f>
        <v>0</v>
      </c>
      <c r="AL484" s="37">
        <f>IF(AN484=21,K484,0)</f>
        <v>0</v>
      </c>
      <c r="AN484" s="37">
        <v>15</v>
      </c>
      <c r="AO484" s="37">
        <f>H484*0</f>
        <v>0</v>
      </c>
      <c r="AP484" s="37">
        <f>H484*(1-0)</f>
        <v>0</v>
      </c>
      <c r="AQ484" s="38" t="s">
        <v>58</v>
      </c>
      <c r="AV484" s="37">
        <f>AW484+AX484</f>
        <v>0</v>
      </c>
      <c r="AW484" s="37">
        <f>G484*AO484</f>
        <v>0</v>
      </c>
      <c r="AX484" s="37">
        <f>G484*AP484</f>
        <v>0</v>
      </c>
      <c r="AY484" s="38" t="s">
        <v>831</v>
      </c>
      <c r="AZ484" s="38" t="s">
        <v>751</v>
      </c>
      <c r="BA484" s="31" t="s">
        <v>56</v>
      </c>
      <c r="BC484" s="37">
        <f>AW484+AX484</f>
        <v>0</v>
      </c>
      <c r="BD484" s="37">
        <f>H484/(100-BE484)*100</f>
        <v>0</v>
      </c>
      <c r="BE484" s="37">
        <v>0</v>
      </c>
      <c r="BF484" s="37">
        <f>484</f>
        <v>484</v>
      </c>
      <c r="BH484" s="37">
        <f>G484*AO484</f>
        <v>0</v>
      </c>
      <c r="BI484" s="37">
        <f>G484*AP484</f>
        <v>0</v>
      </c>
      <c r="BJ484" s="37">
        <f>G484*H484</f>
        <v>0</v>
      </c>
    </row>
    <row r="485" spans="3:7" ht="12.75">
      <c r="C485" s="39" t="s">
        <v>917</v>
      </c>
      <c r="D485" s="39"/>
      <c r="E485" s="39"/>
      <c r="G485" s="40">
        <v>175</v>
      </c>
    </row>
    <row r="486" spans="3:7" ht="12.75">
      <c r="C486" s="39" t="s">
        <v>918</v>
      </c>
      <c r="D486" s="39"/>
      <c r="E486" s="39"/>
      <c r="G486" s="40">
        <v>15</v>
      </c>
    </row>
    <row r="487" spans="1:62" ht="12.75">
      <c r="A487" s="10" t="s">
        <v>919</v>
      </c>
      <c r="B487" s="10" t="s">
        <v>883</v>
      </c>
      <c r="C487" s="10" t="s">
        <v>884</v>
      </c>
      <c r="D487" s="10"/>
      <c r="E487" s="10"/>
      <c r="F487" s="10" t="s">
        <v>347</v>
      </c>
      <c r="G487" s="37">
        <v>6</v>
      </c>
      <c r="H487" s="37">
        <v>0</v>
      </c>
      <c r="I487" s="37">
        <f>G487*AO487</f>
        <v>0</v>
      </c>
      <c r="J487" s="37">
        <f>G487*AP487</f>
        <v>0</v>
      </c>
      <c r="K487" s="37">
        <f>G487*H487</f>
        <v>0</v>
      </c>
      <c r="L487" s="38" t="s">
        <v>54</v>
      </c>
      <c r="Z487" s="37">
        <f>IF(AQ487="5",BJ487,0)</f>
        <v>0</v>
      </c>
      <c r="AB487" s="37">
        <f>IF(AQ487="1",BH487,0)</f>
        <v>0</v>
      </c>
      <c r="AC487" s="37">
        <f>IF(AQ487="1",BI487,0)</f>
        <v>0</v>
      </c>
      <c r="AD487" s="37">
        <f>IF(AQ487="7",BH487,0)</f>
        <v>0</v>
      </c>
      <c r="AE487" s="37">
        <f>IF(AQ487="7",BI487,0)</f>
        <v>0</v>
      </c>
      <c r="AF487" s="37">
        <f>IF(AQ487="2",BH487,0)</f>
        <v>0</v>
      </c>
      <c r="AG487" s="37">
        <f>IF(AQ487="2",BI487,0)</f>
        <v>0</v>
      </c>
      <c r="AH487" s="37">
        <f>IF(AQ487="0",BJ487,0)</f>
        <v>0</v>
      </c>
      <c r="AI487" s="31"/>
      <c r="AJ487" s="37">
        <f>IF(AN487=0,K487,0)</f>
        <v>0</v>
      </c>
      <c r="AK487" s="37">
        <f>IF(AN487=15,K487,0)</f>
        <v>0</v>
      </c>
      <c r="AL487" s="37">
        <f>IF(AN487=21,K487,0)</f>
        <v>0</v>
      </c>
      <c r="AN487" s="37">
        <v>15</v>
      </c>
      <c r="AO487" s="37">
        <f>H487*0</f>
        <v>0</v>
      </c>
      <c r="AP487" s="37">
        <f>H487*(1-0)</f>
        <v>0</v>
      </c>
      <c r="AQ487" s="38" t="s">
        <v>58</v>
      </c>
      <c r="AV487" s="37">
        <f>AW487+AX487</f>
        <v>0</v>
      </c>
      <c r="AW487" s="37">
        <f>G487*AO487</f>
        <v>0</v>
      </c>
      <c r="AX487" s="37">
        <f>G487*AP487</f>
        <v>0</v>
      </c>
      <c r="AY487" s="38" t="s">
        <v>831</v>
      </c>
      <c r="AZ487" s="38" t="s">
        <v>751</v>
      </c>
      <c r="BA487" s="31" t="s">
        <v>56</v>
      </c>
      <c r="BC487" s="37">
        <f>AW487+AX487</f>
        <v>0</v>
      </c>
      <c r="BD487" s="37">
        <f>H487/(100-BE487)*100</f>
        <v>0</v>
      </c>
      <c r="BE487" s="37">
        <v>0</v>
      </c>
      <c r="BF487" s="37">
        <f>487</f>
        <v>487</v>
      </c>
      <c r="BH487" s="37">
        <f>G487*AO487</f>
        <v>0</v>
      </c>
      <c r="BI487" s="37">
        <f>G487*AP487</f>
        <v>0</v>
      </c>
      <c r="BJ487" s="37">
        <f>G487*H487</f>
        <v>0</v>
      </c>
    </row>
    <row r="488" spans="3:7" ht="12.75">
      <c r="C488" s="39" t="s">
        <v>920</v>
      </c>
      <c r="D488" s="39"/>
      <c r="E488" s="39"/>
      <c r="G488" s="40">
        <v>6</v>
      </c>
    </row>
    <row r="489" spans="1:62" ht="12.75">
      <c r="A489" s="10" t="s">
        <v>921</v>
      </c>
      <c r="B489" s="10" t="s">
        <v>922</v>
      </c>
      <c r="C489" s="10" t="s">
        <v>923</v>
      </c>
      <c r="D489" s="10"/>
      <c r="E489" s="10"/>
      <c r="F489" s="10" t="s">
        <v>167</v>
      </c>
      <c r="G489" s="37">
        <v>20</v>
      </c>
      <c r="H489" s="37">
        <v>0</v>
      </c>
      <c r="I489" s="37">
        <f>G489*AO489</f>
        <v>0</v>
      </c>
      <c r="J489" s="37">
        <f>G489*AP489</f>
        <v>0</v>
      </c>
      <c r="K489" s="37">
        <f>G489*H489</f>
        <v>0</v>
      </c>
      <c r="L489" s="38" t="s">
        <v>54</v>
      </c>
      <c r="Z489" s="37">
        <f>IF(AQ489="5",BJ489,0)</f>
        <v>0</v>
      </c>
      <c r="AB489" s="37">
        <f>IF(AQ489="1",BH489,0)</f>
        <v>0</v>
      </c>
      <c r="AC489" s="37">
        <f>IF(AQ489="1",BI489,0)</f>
        <v>0</v>
      </c>
      <c r="AD489" s="37">
        <f>IF(AQ489="7",BH489,0)</f>
        <v>0</v>
      </c>
      <c r="AE489" s="37">
        <f>IF(AQ489="7",BI489,0)</f>
        <v>0</v>
      </c>
      <c r="AF489" s="37">
        <f>IF(AQ489="2",BH489,0)</f>
        <v>0</v>
      </c>
      <c r="AG489" s="37">
        <f>IF(AQ489="2",BI489,0)</f>
        <v>0</v>
      </c>
      <c r="AH489" s="37">
        <f>IF(AQ489="0",BJ489,0)</f>
        <v>0</v>
      </c>
      <c r="AI489" s="31"/>
      <c r="AJ489" s="37">
        <f>IF(AN489=0,K489,0)</f>
        <v>0</v>
      </c>
      <c r="AK489" s="37">
        <f>IF(AN489=15,K489,0)</f>
        <v>0</v>
      </c>
      <c r="AL489" s="37">
        <f>IF(AN489=21,K489,0)</f>
        <v>0</v>
      </c>
      <c r="AN489" s="37">
        <v>15</v>
      </c>
      <c r="AO489" s="37">
        <f>H489*0.190591549295775</f>
        <v>0</v>
      </c>
      <c r="AP489" s="37">
        <f>H489*(1-0.190591549295775)</f>
        <v>0</v>
      </c>
      <c r="AQ489" s="38" t="s">
        <v>58</v>
      </c>
      <c r="AV489" s="37">
        <f>AW489+AX489</f>
        <v>0</v>
      </c>
      <c r="AW489" s="37">
        <f>G489*AO489</f>
        <v>0</v>
      </c>
      <c r="AX489" s="37">
        <f>G489*AP489</f>
        <v>0</v>
      </c>
      <c r="AY489" s="38" t="s">
        <v>831</v>
      </c>
      <c r="AZ489" s="38" t="s">
        <v>751</v>
      </c>
      <c r="BA489" s="31" t="s">
        <v>56</v>
      </c>
      <c r="BC489" s="37">
        <f>AW489+AX489</f>
        <v>0</v>
      </c>
      <c r="BD489" s="37">
        <f>H489/(100-BE489)*100</f>
        <v>0</v>
      </c>
      <c r="BE489" s="37">
        <v>0</v>
      </c>
      <c r="BF489" s="37">
        <f>489</f>
        <v>489</v>
      </c>
      <c r="BH489" s="37">
        <f>G489*AO489</f>
        <v>0</v>
      </c>
      <c r="BI489" s="37">
        <f>G489*AP489</f>
        <v>0</v>
      </c>
      <c r="BJ489" s="37">
        <f>G489*H489</f>
        <v>0</v>
      </c>
    </row>
    <row r="490" spans="3:7" ht="12.75">
      <c r="C490" s="39" t="s">
        <v>924</v>
      </c>
      <c r="D490" s="39"/>
      <c r="E490" s="39"/>
      <c r="G490" s="40">
        <v>20</v>
      </c>
    </row>
    <row r="491" spans="1:62" ht="12.75">
      <c r="A491" s="10" t="s">
        <v>925</v>
      </c>
      <c r="B491" s="10" t="s">
        <v>926</v>
      </c>
      <c r="C491" s="10" t="s">
        <v>927</v>
      </c>
      <c r="D491" s="10"/>
      <c r="E491" s="10"/>
      <c r="F491" s="10" t="s">
        <v>347</v>
      </c>
      <c r="G491" s="37">
        <v>1</v>
      </c>
      <c r="H491" s="37">
        <v>0</v>
      </c>
      <c r="I491" s="37">
        <f>G491*AO491</f>
        <v>0</v>
      </c>
      <c r="J491" s="37">
        <f>G491*AP491</f>
        <v>0</v>
      </c>
      <c r="K491" s="37">
        <f>G491*H491</f>
        <v>0</v>
      </c>
      <c r="L491" s="38" t="s">
        <v>54</v>
      </c>
      <c r="Z491" s="37">
        <f>IF(AQ491="5",BJ491,0)</f>
        <v>0</v>
      </c>
      <c r="AB491" s="37">
        <f>IF(AQ491="1",BH491,0)</f>
        <v>0</v>
      </c>
      <c r="AC491" s="37">
        <f>IF(AQ491="1",BI491,0)</f>
        <v>0</v>
      </c>
      <c r="AD491" s="37">
        <f>IF(AQ491="7",BH491,0)</f>
        <v>0</v>
      </c>
      <c r="AE491" s="37">
        <f>IF(AQ491="7",BI491,0)</f>
        <v>0</v>
      </c>
      <c r="AF491" s="37">
        <f>IF(AQ491="2",BH491,0)</f>
        <v>0</v>
      </c>
      <c r="AG491" s="37">
        <f>IF(AQ491="2",BI491,0)</f>
        <v>0</v>
      </c>
      <c r="AH491" s="37">
        <f>IF(AQ491="0",BJ491,0)</f>
        <v>0</v>
      </c>
      <c r="AI491" s="31"/>
      <c r="AJ491" s="37">
        <f>IF(AN491=0,K491,0)</f>
        <v>0</v>
      </c>
      <c r="AK491" s="37">
        <f>IF(AN491=15,K491,0)</f>
        <v>0</v>
      </c>
      <c r="AL491" s="37">
        <f>IF(AN491=21,K491,0)</f>
        <v>0</v>
      </c>
      <c r="AN491" s="37">
        <v>15</v>
      </c>
      <c r="AO491" s="37">
        <f>H491*0.657142857142857</f>
        <v>0</v>
      </c>
      <c r="AP491" s="37">
        <f>H491*(1-0.657142857142857)</f>
        <v>0</v>
      </c>
      <c r="AQ491" s="38" t="s">
        <v>58</v>
      </c>
      <c r="AV491" s="37">
        <f>AW491+AX491</f>
        <v>0</v>
      </c>
      <c r="AW491" s="37">
        <f>G491*AO491</f>
        <v>0</v>
      </c>
      <c r="AX491" s="37">
        <f>G491*AP491</f>
        <v>0</v>
      </c>
      <c r="AY491" s="38" t="s">
        <v>831</v>
      </c>
      <c r="AZ491" s="38" t="s">
        <v>751</v>
      </c>
      <c r="BA491" s="31" t="s">
        <v>56</v>
      </c>
      <c r="BC491" s="37">
        <f>AW491+AX491</f>
        <v>0</v>
      </c>
      <c r="BD491" s="37">
        <f>H491/(100-BE491)*100</f>
        <v>0</v>
      </c>
      <c r="BE491" s="37">
        <v>0</v>
      </c>
      <c r="BF491" s="37">
        <f>491</f>
        <v>491</v>
      </c>
      <c r="BH491" s="37">
        <f>G491*AO491</f>
        <v>0</v>
      </c>
      <c r="BI491" s="37">
        <f>G491*AP491</f>
        <v>0</v>
      </c>
      <c r="BJ491" s="37">
        <f>G491*H491</f>
        <v>0</v>
      </c>
    </row>
    <row r="492" spans="3:7" ht="12.75">
      <c r="C492" s="39" t="s">
        <v>57</v>
      </c>
      <c r="D492" s="39"/>
      <c r="E492" s="39"/>
      <c r="G492" s="40">
        <v>1</v>
      </c>
    </row>
    <row r="493" spans="1:62" ht="12.75">
      <c r="A493" s="10" t="s">
        <v>928</v>
      </c>
      <c r="B493" s="10" t="s">
        <v>929</v>
      </c>
      <c r="C493" s="10" t="s">
        <v>930</v>
      </c>
      <c r="D493" s="10"/>
      <c r="E493" s="10"/>
      <c r="F493" s="10" t="s">
        <v>167</v>
      </c>
      <c r="G493" s="37">
        <v>620</v>
      </c>
      <c r="H493" s="37">
        <v>0</v>
      </c>
      <c r="I493" s="37">
        <f>G493*AO493</f>
        <v>0</v>
      </c>
      <c r="J493" s="37">
        <f>G493*AP493</f>
        <v>0</v>
      </c>
      <c r="K493" s="37">
        <f>G493*H493</f>
        <v>0</v>
      </c>
      <c r="L493" s="38" t="s">
        <v>54</v>
      </c>
      <c r="Z493" s="37">
        <f>IF(AQ493="5",BJ493,0)</f>
        <v>0</v>
      </c>
      <c r="AB493" s="37">
        <f>IF(AQ493="1",BH493,0)</f>
        <v>0</v>
      </c>
      <c r="AC493" s="37">
        <f>IF(AQ493="1",BI493,0)</f>
        <v>0</v>
      </c>
      <c r="AD493" s="37">
        <f>IF(AQ493="7",BH493,0)</f>
        <v>0</v>
      </c>
      <c r="AE493" s="37">
        <f>IF(AQ493="7",BI493,0)</f>
        <v>0</v>
      </c>
      <c r="AF493" s="37">
        <f>IF(AQ493="2",BH493,0)</f>
        <v>0</v>
      </c>
      <c r="AG493" s="37">
        <f>IF(AQ493="2",BI493,0)</f>
        <v>0</v>
      </c>
      <c r="AH493" s="37">
        <f>IF(AQ493="0",BJ493,0)</f>
        <v>0</v>
      </c>
      <c r="AI493" s="31"/>
      <c r="AJ493" s="37">
        <f>IF(AN493=0,K493,0)</f>
        <v>0</v>
      </c>
      <c r="AK493" s="37">
        <f>IF(AN493=15,K493,0)</f>
        <v>0</v>
      </c>
      <c r="AL493" s="37">
        <f>IF(AN493=21,K493,0)</f>
        <v>0</v>
      </c>
      <c r="AN493" s="37">
        <v>15</v>
      </c>
      <c r="AO493" s="37">
        <f>H493*0.480340063761955</f>
        <v>0</v>
      </c>
      <c r="AP493" s="37">
        <f>H493*(1-0.480340063761955)</f>
        <v>0</v>
      </c>
      <c r="AQ493" s="38" t="s">
        <v>58</v>
      </c>
      <c r="AV493" s="37">
        <f>AW493+AX493</f>
        <v>0</v>
      </c>
      <c r="AW493" s="37">
        <f>G493*AO493</f>
        <v>0</v>
      </c>
      <c r="AX493" s="37">
        <f>G493*AP493</f>
        <v>0</v>
      </c>
      <c r="AY493" s="38" t="s">
        <v>831</v>
      </c>
      <c r="AZ493" s="38" t="s">
        <v>751</v>
      </c>
      <c r="BA493" s="31" t="s">
        <v>56</v>
      </c>
      <c r="BC493" s="37">
        <f>AW493+AX493</f>
        <v>0</v>
      </c>
      <c r="BD493" s="37">
        <f>H493/(100-BE493)*100</f>
        <v>0</v>
      </c>
      <c r="BE493" s="37">
        <v>0</v>
      </c>
      <c r="BF493" s="37">
        <f>493</f>
        <v>493</v>
      </c>
      <c r="BH493" s="37">
        <f>G493*AO493</f>
        <v>0</v>
      </c>
      <c r="BI493" s="37">
        <f>G493*AP493</f>
        <v>0</v>
      </c>
      <c r="BJ493" s="37">
        <f>G493*H493</f>
        <v>0</v>
      </c>
    </row>
    <row r="494" spans="3:7" ht="12.75">
      <c r="C494" s="39" t="s">
        <v>931</v>
      </c>
      <c r="D494" s="39"/>
      <c r="E494" s="39"/>
      <c r="G494" s="40">
        <v>620</v>
      </c>
    </row>
    <row r="495" spans="1:62" ht="12.75">
      <c r="A495" s="10" t="s">
        <v>932</v>
      </c>
      <c r="B495" s="10" t="s">
        <v>933</v>
      </c>
      <c r="C495" s="10" t="s">
        <v>934</v>
      </c>
      <c r="D495" s="10"/>
      <c r="E495" s="10"/>
      <c r="F495" s="10" t="s">
        <v>347</v>
      </c>
      <c r="G495" s="37">
        <v>1</v>
      </c>
      <c r="H495" s="37">
        <v>0</v>
      </c>
      <c r="I495" s="37">
        <f>G495*AO495</f>
        <v>0</v>
      </c>
      <c r="J495" s="37">
        <f>G495*AP495</f>
        <v>0</v>
      </c>
      <c r="K495" s="37">
        <f>G495*H495</f>
        <v>0</v>
      </c>
      <c r="L495" s="38" t="s">
        <v>54</v>
      </c>
      <c r="Z495" s="37">
        <f>IF(AQ495="5",BJ495,0)</f>
        <v>0</v>
      </c>
      <c r="AB495" s="37">
        <f>IF(AQ495="1",BH495,0)</f>
        <v>0</v>
      </c>
      <c r="AC495" s="37">
        <f>IF(AQ495="1",BI495,0)</f>
        <v>0</v>
      </c>
      <c r="AD495" s="37">
        <f>IF(AQ495="7",BH495,0)</f>
        <v>0</v>
      </c>
      <c r="AE495" s="37">
        <f>IF(AQ495="7",BI495,0)</f>
        <v>0</v>
      </c>
      <c r="AF495" s="37">
        <f>IF(AQ495="2",BH495,0)</f>
        <v>0</v>
      </c>
      <c r="AG495" s="37">
        <f>IF(AQ495="2",BI495,0)</f>
        <v>0</v>
      </c>
      <c r="AH495" s="37">
        <f>IF(AQ495="0",BJ495,0)</f>
        <v>0</v>
      </c>
      <c r="AI495" s="31"/>
      <c r="AJ495" s="37">
        <f>IF(AN495=0,K495,0)</f>
        <v>0</v>
      </c>
      <c r="AK495" s="37">
        <f>IF(AN495=15,K495,0)</f>
        <v>0</v>
      </c>
      <c r="AL495" s="37">
        <f>IF(AN495=21,K495,0)</f>
        <v>0</v>
      </c>
      <c r="AN495" s="37">
        <v>15</v>
      </c>
      <c r="AO495" s="37">
        <f>H495*0</f>
        <v>0</v>
      </c>
      <c r="AP495" s="37">
        <f>H495*(1-0)</f>
        <v>0</v>
      </c>
      <c r="AQ495" s="38" t="s">
        <v>50</v>
      </c>
      <c r="AV495" s="37">
        <f>AW495+AX495</f>
        <v>0</v>
      </c>
      <c r="AW495" s="37">
        <f>G495*AO495</f>
        <v>0</v>
      </c>
      <c r="AX495" s="37">
        <f>G495*AP495</f>
        <v>0</v>
      </c>
      <c r="AY495" s="38" t="s">
        <v>831</v>
      </c>
      <c r="AZ495" s="38" t="s">
        <v>751</v>
      </c>
      <c r="BA495" s="31" t="s">
        <v>56</v>
      </c>
      <c r="BC495" s="37">
        <f>AW495+AX495</f>
        <v>0</v>
      </c>
      <c r="BD495" s="37">
        <f>H495/(100-BE495)*100</f>
        <v>0</v>
      </c>
      <c r="BE495" s="37">
        <v>0</v>
      </c>
      <c r="BF495" s="37">
        <f>495</f>
        <v>495</v>
      </c>
      <c r="BH495" s="37">
        <f>G495*AO495</f>
        <v>0</v>
      </c>
      <c r="BI495" s="37">
        <f>G495*AP495</f>
        <v>0</v>
      </c>
      <c r="BJ495" s="37">
        <f>G495*H495</f>
        <v>0</v>
      </c>
    </row>
    <row r="496" spans="3:7" ht="12.75">
      <c r="C496" s="39" t="s">
        <v>57</v>
      </c>
      <c r="D496" s="39"/>
      <c r="E496" s="39"/>
      <c r="G496" s="40">
        <v>1</v>
      </c>
    </row>
    <row r="497" spans="1:62" ht="12.75">
      <c r="A497" s="10" t="s">
        <v>935</v>
      </c>
      <c r="B497" s="10" t="s">
        <v>936</v>
      </c>
      <c r="C497" s="10" t="s">
        <v>937</v>
      </c>
      <c r="D497" s="10"/>
      <c r="E497" s="10"/>
      <c r="F497" s="10" t="s">
        <v>474</v>
      </c>
      <c r="G497" s="37">
        <v>20</v>
      </c>
      <c r="H497" s="37">
        <v>0</v>
      </c>
      <c r="I497" s="37">
        <f>G497*AO497</f>
        <v>0</v>
      </c>
      <c r="J497" s="37">
        <f>G497*AP497</f>
        <v>0</v>
      </c>
      <c r="K497" s="37">
        <f>G497*H497</f>
        <v>0</v>
      </c>
      <c r="L497" s="38" t="s">
        <v>54</v>
      </c>
      <c r="Z497" s="37">
        <f>IF(AQ497="5",BJ497,0)</f>
        <v>0</v>
      </c>
      <c r="AB497" s="37">
        <f>IF(AQ497="1",BH497,0)</f>
        <v>0</v>
      </c>
      <c r="AC497" s="37">
        <f>IF(AQ497="1",BI497,0)</f>
        <v>0</v>
      </c>
      <c r="AD497" s="37">
        <f>IF(AQ497="7",BH497,0)</f>
        <v>0</v>
      </c>
      <c r="AE497" s="37">
        <f>IF(AQ497="7",BI497,0)</f>
        <v>0</v>
      </c>
      <c r="AF497" s="37">
        <f>IF(AQ497="2",BH497,0)</f>
        <v>0</v>
      </c>
      <c r="AG497" s="37">
        <f>IF(AQ497="2",BI497,0)</f>
        <v>0</v>
      </c>
      <c r="AH497" s="37">
        <f>IF(AQ497="0",BJ497,0)</f>
        <v>0</v>
      </c>
      <c r="AI497" s="31"/>
      <c r="AJ497" s="37">
        <f>IF(AN497=0,K497,0)</f>
        <v>0</v>
      </c>
      <c r="AK497" s="37">
        <f>IF(AN497=15,K497,0)</f>
        <v>0</v>
      </c>
      <c r="AL497" s="37">
        <f>IF(AN497=21,K497,0)</f>
        <v>0</v>
      </c>
      <c r="AN497" s="37">
        <v>15</v>
      </c>
      <c r="AO497" s="37">
        <f>H497*0</f>
        <v>0</v>
      </c>
      <c r="AP497" s="37">
        <f>H497*(1-0)</f>
        <v>0</v>
      </c>
      <c r="AQ497" s="38" t="s">
        <v>50</v>
      </c>
      <c r="AV497" s="37">
        <f>AW497+AX497</f>
        <v>0</v>
      </c>
      <c r="AW497" s="37">
        <f>G497*AO497</f>
        <v>0</v>
      </c>
      <c r="AX497" s="37">
        <f>G497*AP497</f>
        <v>0</v>
      </c>
      <c r="AY497" s="38" t="s">
        <v>831</v>
      </c>
      <c r="AZ497" s="38" t="s">
        <v>751</v>
      </c>
      <c r="BA497" s="31" t="s">
        <v>56</v>
      </c>
      <c r="BC497" s="37">
        <f>AW497+AX497</f>
        <v>0</v>
      </c>
      <c r="BD497" s="37">
        <f>H497/(100-BE497)*100</f>
        <v>0</v>
      </c>
      <c r="BE497" s="37">
        <v>0</v>
      </c>
      <c r="BF497" s="37">
        <f>497</f>
        <v>497</v>
      </c>
      <c r="BH497" s="37">
        <f>G497*AO497</f>
        <v>0</v>
      </c>
      <c r="BI497" s="37">
        <f>G497*AP497</f>
        <v>0</v>
      </c>
      <c r="BJ497" s="37">
        <f>G497*H497</f>
        <v>0</v>
      </c>
    </row>
    <row r="498" spans="3:7" ht="12.75">
      <c r="C498" s="39" t="s">
        <v>806</v>
      </c>
      <c r="D498" s="39"/>
      <c r="E498" s="39"/>
      <c r="G498" s="40">
        <v>20</v>
      </c>
    </row>
    <row r="499" spans="1:62" ht="12.75">
      <c r="A499" s="10" t="s">
        <v>938</v>
      </c>
      <c r="B499" s="10" t="s">
        <v>939</v>
      </c>
      <c r="C499" s="10" t="s">
        <v>940</v>
      </c>
      <c r="D499" s="10"/>
      <c r="E499" s="10"/>
      <c r="F499" s="10" t="s">
        <v>347</v>
      </c>
      <c r="G499" s="37">
        <v>140</v>
      </c>
      <c r="H499" s="37">
        <v>0</v>
      </c>
      <c r="I499" s="37">
        <f>G499*AO499</f>
        <v>0</v>
      </c>
      <c r="J499" s="37">
        <f>G499*AP499</f>
        <v>0</v>
      </c>
      <c r="K499" s="37">
        <f>G499*H499</f>
        <v>0</v>
      </c>
      <c r="L499" s="38" t="s">
        <v>54</v>
      </c>
      <c r="Z499" s="37">
        <f>IF(AQ499="5",BJ499,0)</f>
        <v>0</v>
      </c>
      <c r="AB499" s="37">
        <f>IF(AQ499="1",BH499,0)</f>
        <v>0</v>
      </c>
      <c r="AC499" s="37">
        <f>IF(AQ499="1",BI499,0)</f>
        <v>0</v>
      </c>
      <c r="AD499" s="37">
        <f>IF(AQ499="7",BH499,0)</f>
        <v>0</v>
      </c>
      <c r="AE499" s="37">
        <f>IF(AQ499="7",BI499,0)</f>
        <v>0</v>
      </c>
      <c r="AF499" s="37">
        <f>IF(AQ499="2",BH499,0)</f>
        <v>0</v>
      </c>
      <c r="AG499" s="37">
        <f>IF(AQ499="2",BI499,0)</f>
        <v>0</v>
      </c>
      <c r="AH499" s="37">
        <f>IF(AQ499="0",BJ499,0)</f>
        <v>0</v>
      </c>
      <c r="AI499" s="31"/>
      <c r="AJ499" s="37">
        <f>IF(AN499=0,K499,0)</f>
        <v>0</v>
      </c>
      <c r="AK499" s="37">
        <f>IF(AN499=15,K499,0)</f>
        <v>0</v>
      </c>
      <c r="AL499" s="37">
        <f>IF(AN499=21,K499,0)</f>
        <v>0</v>
      </c>
      <c r="AN499" s="37">
        <v>15</v>
      </c>
      <c r="AO499" s="37">
        <f>H499*1</f>
        <v>0</v>
      </c>
      <c r="AP499" s="37">
        <f>H499*(1-1)</f>
        <v>0</v>
      </c>
      <c r="AQ499" s="38" t="s">
        <v>50</v>
      </c>
      <c r="AV499" s="37">
        <f>AW499+AX499</f>
        <v>0</v>
      </c>
      <c r="AW499" s="37">
        <f>G499*AO499</f>
        <v>0</v>
      </c>
      <c r="AX499" s="37">
        <f>G499*AP499</f>
        <v>0</v>
      </c>
      <c r="AY499" s="38" t="s">
        <v>831</v>
      </c>
      <c r="AZ499" s="38" t="s">
        <v>751</v>
      </c>
      <c r="BA499" s="31" t="s">
        <v>56</v>
      </c>
      <c r="BC499" s="37">
        <f>AW499+AX499</f>
        <v>0</v>
      </c>
      <c r="BD499" s="37">
        <f>H499/(100-BE499)*100</f>
        <v>0</v>
      </c>
      <c r="BE499" s="37">
        <v>0</v>
      </c>
      <c r="BF499" s="37">
        <f>499</f>
        <v>499</v>
      </c>
      <c r="BH499" s="37">
        <f>G499*AO499</f>
        <v>0</v>
      </c>
      <c r="BI499" s="37">
        <f>G499*AP499</f>
        <v>0</v>
      </c>
      <c r="BJ499" s="37">
        <f>G499*H499</f>
        <v>0</v>
      </c>
    </row>
    <row r="500" spans="3:7" ht="12.75">
      <c r="C500" s="39" t="s">
        <v>675</v>
      </c>
      <c r="D500" s="39"/>
      <c r="E500" s="39"/>
      <c r="G500" s="40">
        <v>140</v>
      </c>
    </row>
    <row r="501" spans="1:62" ht="12.75">
      <c r="A501" s="10" t="s">
        <v>941</v>
      </c>
      <c r="B501" s="10" t="s">
        <v>942</v>
      </c>
      <c r="C501" s="10" t="s">
        <v>943</v>
      </c>
      <c r="D501" s="10"/>
      <c r="E501" s="10"/>
      <c r="F501" s="10" t="s">
        <v>347</v>
      </c>
      <c r="G501" s="37">
        <v>72</v>
      </c>
      <c r="H501" s="37">
        <v>0</v>
      </c>
      <c r="I501" s="37">
        <f>G501*AO501</f>
        <v>0</v>
      </c>
      <c r="J501" s="37">
        <f>G501*AP501</f>
        <v>0</v>
      </c>
      <c r="K501" s="37">
        <f>G501*H501</f>
        <v>0</v>
      </c>
      <c r="L501" s="38" t="s">
        <v>54</v>
      </c>
      <c r="Z501" s="37">
        <f>IF(AQ501="5",BJ501,0)</f>
        <v>0</v>
      </c>
      <c r="AB501" s="37">
        <f>IF(AQ501="1",BH501,0)</f>
        <v>0</v>
      </c>
      <c r="AC501" s="37">
        <f>IF(AQ501="1",BI501,0)</f>
        <v>0</v>
      </c>
      <c r="AD501" s="37">
        <f>IF(AQ501="7",BH501,0)</f>
        <v>0</v>
      </c>
      <c r="AE501" s="37">
        <f>IF(AQ501="7",BI501,0)</f>
        <v>0</v>
      </c>
      <c r="AF501" s="37">
        <f>IF(AQ501="2",BH501,0)</f>
        <v>0</v>
      </c>
      <c r="AG501" s="37">
        <f>IF(AQ501="2",BI501,0)</f>
        <v>0</v>
      </c>
      <c r="AH501" s="37">
        <f>IF(AQ501="0",BJ501,0)</f>
        <v>0</v>
      </c>
      <c r="AI501" s="31"/>
      <c r="AJ501" s="37">
        <f>IF(AN501=0,K501,0)</f>
        <v>0</v>
      </c>
      <c r="AK501" s="37">
        <f>IF(AN501=15,K501,0)</f>
        <v>0</v>
      </c>
      <c r="AL501" s="37">
        <f>IF(AN501=21,K501,0)</f>
        <v>0</v>
      </c>
      <c r="AN501" s="37">
        <v>15</v>
      </c>
      <c r="AO501" s="37">
        <f>H501*1</f>
        <v>0</v>
      </c>
      <c r="AP501" s="37">
        <f>H501*(1-1)</f>
        <v>0</v>
      </c>
      <c r="AQ501" s="38" t="s">
        <v>50</v>
      </c>
      <c r="AV501" s="37">
        <f>AW501+AX501</f>
        <v>0</v>
      </c>
      <c r="AW501" s="37">
        <f>G501*AO501</f>
        <v>0</v>
      </c>
      <c r="AX501" s="37">
        <f>G501*AP501</f>
        <v>0</v>
      </c>
      <c r="AY501" s="38" t="s">
        <v>831</v>
      </c>
      <c r="AZ501" s="38" t="s">
        <v>751</v>
      </c>
      <c r="BA501" s="31" t="s">
        <v>56</v>
      </c>
      <c r="BC501" s="37">
        <f>AW501+AX501</f>
        <v>0</v>
      </c>
      <c r="BD501" s="37">
        <f>H501/(100-BE501)*100</f>
        <v>0</v>
      </c>
      <c r="BE501" s="37">
        <v>0</v>
      </c>
      <c r="BF501" s="37">
        <f>501</f>
        <v>501</v>
      </c>
      <c r="BH501" s="37">
        <f>G501*AO501</f>
        <v>0</v>
      </c>
      <c r="BI501" s="37">
        <f>G501*AP501</f>
        <v>0</v>
      </c>
      <c r="BJ501" s="37">
        <f>G501*H501</f>
        <v>0</v>
      </c>
    </row>
    <row r="502" spans="3:7" ht="12.75">
      <c r="C502" s="39" t="s">
        <v>944</v>
      </c>
      <c r="D502" s="39"/>
      <c r="E502" s="39"/>
      <c r="G502" s="40">
        <v>72</v>
      </c>
    </row>
    <row r="503" spans="1:62" ht="12.75">
      <c r="A503" s="10" t="s">
        <v>945</v>
      </c>
      <c r="B503" s="10" t="s">
        <v>946</v>
      </c>
      <c r="C503" s="10" t="s">
        <v>947</v>
      </c>
      <c r="D503" s="10"/>
      <c r="E503" s="10"/>
      <c r="F503" s="10" t="s">
        <v>948</v>
      </c>
      <c r="G503" s="37">
        <v>50</v>
      </c>
      <c r="H503" s="37">
        <v>0</v>
      </c>
      <c r="I503" s="37">
        <f>G503*AO503</f>
        <v>0</v>
      </c>
      <c r="J503" s="37">
        <f>G503*AP503</f>
        <v>0</v>
      </c>
      <c r="K503" s="37">
        <f>G503*H503</f>
        <v>0</v>
      </c>
      <c r="L503" s="38" t="s">
        <v>54</v>
      </c>
      <c r="Z503" s="37">
        <f>IF(AQ503="5",BJ503,0)</f>
        <v>0</v>
      </c>
      <c r="AB503" s="37">
        <f>IF(AQ503="1",BH503,0)</f>
        <v>0</v>
      </c>
      <c r="AC503" s="37">
        <f>IF(AQ503="1",BI503,0)</f>
        <v>0</v>
      </c>
      <c r="AD503" s="37">
        <f>IF(AQ503="7",BH503,0)</f>
        <v>0</v>
      </c>
      <c r="AE503" s="37">
        <f>IF(AQ503="7",BI503,0)</f>
        <v>0</v>
      </c>
      <c r="AF503" s="37">
        <f>IF(AQ503="2",BH503,0)</f>
        <v>0</v>
      </c>
      <c r="AG503" s="37">
        <f>IF(AQ503="2",BI503,0)</f>
        <v>0</v>
      </c>
      <c r="AH503" s="37">
        <f>IF(AQ503="0",BJ503,0)</f>
        <v>0</v>
      </c>
      <c r="AI503" s="31"/>
      <c r="AJ503" s="37">
        <f>IF(AN503=0,K503,0)</f>
        <v>0</v>
      </c>
      <c r="AK503" s="37">
        <f>IF(AN503=15,K503,0)</f>
        <v>0</v>
      </c>
      <c r="AL503" s="37">
        <f>IF(AN503=21,K503,0)</f>
        <v>0</v>
      </c>
      <c r="AN503" s="37">
        <v>15</v>
      </c>
      <c r="AO503" s="37">
        <f>H503*1</f>
        <v>0</v>
      </c>
      <c r="AP503" s="37">
        <f>H503*(1-1)</f>
        <v>0</v>
      </c>
      <c r="AQ503" s="38" t="s">
        <v>50</v>
      </c>
      <c r="AV503" s="37">
        <f>AW503+AX503</f>
        <v>0</v>
      </c>
      <c r="AW503" s="37">
        <f>G503*AO503</f>
        <v>0</v>
      </c>
      <c r="AX503" s="37">
        <f>G503*AP503</f>
        <v>0</v>
      </c>
      <c r="AY503" s="38" t="s">
        <v>831</v>
      </c>
      <c r="AZ503" s="38" t="s">
        <v>751</v>
      </c>
      <c r="BA503" s="31" t="s">
        <v>56</v>
      </c>
      <c r="BC503" s="37">
        <f>AW503+AX503</f>
        <v>0</v>
      </c>
      <c r="BD503" s="37">
        <f>H503/(100-BE503)*100</f>
        <v>0</v>
      </c>
      <c r="BE503" s="37">
        <v>0</v>
      </c>
      <c r="BF503" s="37">
        <f>503</f>
        <v>503</v>
      </c>
      <c r="BH503" s="37">
        <f>G503*AO503</f>
        <v>0</v>
      </c>
      <c r="BI503" s="37">
        <f>G503*AP503</f>
        <v>0</v>
      </c>
      <c r="BJ503" s="37">
        <f>G503*H503</f>
        <v>0</v>
      </c>
    </row>
    <row r="504" spans="3:7" ht="12.75">
      <c r="C504" s="39" t="s">
        <v>949</v>
      </c>
      <c r="D504" s="39"/>
      <c r="E504" s="39"/>
      <c r="G504" s="40">
        <v>50</v>
      </c>
    </row>
    <row r="505" spans="1:62" ht="12.75">
      <c r="A505" s="10" t="s">
        <v>950</v>
      </c>
      <c r="B505" s="10" t="s">
        <v>951</v>
      </c>
      <c r="C505" s="10" t="s">
        <v>952</v>
      </c>
      <c r="D505" s="10"/>
      <c r="E505" s="10"/>
      <c r="F505" s="10" t="s">
        <v>167</v>
      </c>
      <c r="G505" s="37">
        <v>620</v>
      </c>
      <c r="H505" s="37">
        <v>0</v>
      </c>
      <c r="I505" s="37">
        <f>G505*AO505</f>
        <v>0</v>
      </c>
      <c r="J505" s="37">
        <f>G505*AP505</f>
        <v>0</v>
      </c>
      <c r="K505" s="37">
        <f>G505*H505</f>
        <v>0</v>
      </c>
      <c r="L505" s="38" t="s">
        <v>54</v>
      </c>
      <c r="Z505" s="37">
        <f>IF(AQ505="5",BJ505,0)</f>
        <v>0</v>
      </c>
      <c r="AB505" s="37">
        <f>IF(AQ505="1",BH505,0)</f>
        <v>0</v>
      </c>
      <c r="AC505" s="37">
        <f>IF(AQ505="1",BI505,0)</f>
        <v>0</v>
      </c>
      <c r="AD505" s="37">
        <f>IF(AQ505="7",BH505,0)</f>
        <v>0</v>
      </c>
      <c r="AE505" s="37">
        <f>IF(AQ505="7",BI505,0)</f>
        <v>0</v>
      </c>
      <c r="AF505" s="37">
        <f>IF(AQ505="2",BH505,0)</f>
        <v>0</v>
      </c>
      <c r="AG505" s="37">
        <f>IF(AQ505="2",BI505,0)</f>
        <v>0</v>
      </c>
      <c r="AH505" s="37">
        <f>IF(AQ505="0",BJ505,0)</f>
        <v>0</v>
      </c>
      <c r="AI505" s="31"/>
      <c r="AJ505" s="37">
        <f>IF(AN505=0,K505,0)</f>
        <v>0</v>
      </c>
      <c r="AK505" s="37">
        <f>IF(AN505=15,K505,0)</f>
        <v>0</v>
      </c>
      <c r="AL505" s="37">
        <f>IF(AN505=21,K505,0)</f>
        <v>0</v>
      </c>
      <c r="AN505" s="37">
        <v>15</v>
      </c>
      <c r="AO505" s="37">
        <f>H505*0.253968253968254</f>
        <v>0</v>
      </c>
      <c r="AP505" s="37">
        <f>H505*(1-0.253968253968254)</f>
        <v>0</v>
      </c>
      <c r="AQ505" s="38" t="s">
        <v>58</v>
      </c>
      <c r="AV505" s="37">
        <f>AW505+AX505</f>
        <v>0</v>
      </c>
      <c r="AW505" s="37">
        <f>G505*AO505</f>
        <v>0</v>
      </c>
      <c r="AX505" s="37">
        <f>G505*AP505</f>
        <v>0</v>
      </c>
      <c r="AY505" s="38" t="s">
        <v>831</v>
      </c>
      <c r="AZ505" s="38" t="s">
        <v>751</v>
      </c>
      <c r="BA505" s="31" t="s">
        <v>56</v>
      </c>
      <c r="BC505" s="37">
        <f>AW505+AX505</f>
        <v>0</v>
      </c>
      <c r="BD505" s="37">
        <f>H505/(100-BE505)*100</f>
        <v>0</v>
      </c>
      <c r="BE505" s="37">
        <v>0</v>
      </c>
      <c r="BF505" s="37">
        <f>505</f>
        <v>505</v>
      </c>
      <c r="BH505" s="37">
        <f>G505*AO505</f>
        <v>0</v>
      </c>
      <c r="BI505" s="37">
        <f>G505*AP505</f>
        <v>0</v>
      </c>
      <c r="BJ505" s="37">
        <f>G505*H505</f>
        <v>0</v>
      </c>
    </row>
    <row r="506" spans="3:7" ht="12.75">
      <c r="C506" s="39" t="s">
        <v>953</v>
      </c>
      <c r="D506" s="39"/>
      <c r="E506" s="39"/>
      <c r="G506" s="40">
        <v>620</v>
      </c>
    </row>
    <row r="507" spans="1:62" ht="12.75">
      <c r="A507" s="10" t="s">
        <v>954</v>
      </c>
      <c r="B507" s="10" t="s">
        <v>875</v>
      </c>
      <c r="C507" s="10" t="s">
        <v>876</v>
      </c>
      <c r="D507" s="10"/>
      <c r="E507" s="10"/>
      <c r="F507" s="10" t="s">
        <v>167</v>
      </c>
      <c r="G507" s="37">
        <v>100</v>
      </c>
      <c r="H507" s="37">
        <v>0</v>
      </c>
      <c r="I507" s="37">
        <f>G507*AO507</f>
        <v>0</v>
      </c>
      <c r="J507" s="37">
        <f>G507*AP507</f>
        <v>0</v>
      </c>
      <c r="K507" s="37">
        <f>G507*H507</f>
        <v>0</v>
      </c>
      <c r="L507" s="38" t="s">
        <v>54</v>
      </c>
      <c r="Z507" s="37">
        <f>IF(AQ507="5",BJ507,0)</f>
        <v>0</v>
      </c>
      <c r="AB507" s="37">
        <f>IF(AQ507="1",BH507,0)</f>
        <v>0</v>
      </c>
      <c r="AC507" s="37">
        <f>IF(AQ507="1",BI507,0)</f>
        <v>0</v>
      </c>
      <c r="AD507" s="37">
        <f>IF(AQ507="7",BH507,0)</f>
        <v>0</v>
      </c>
      <c r="AE507" s="37">
        <f>IF(AQ507="7",BI507,0)</f>
        <v>0</v>
      </c>
      <c r="AF507" s="37">
        <f>IF(AQ507="2",BH507,0)</f>
        <v>0</v>
      </c>
      <c r="AG507" s="37">
        <f>IF(AQ507="2",BI507,0)</f>
        <v>0</v>
      </c>
      <c r="AH507" s="37">
        <f>IF(AQ507="0",BJ507,0)</f>
        <v>0</v>
      </c>
      <c r="AI507" s="31"/>
      <c r="AJ507" s="37">
        <f>IF(AN507=0,K507,0)</f>
        <v>0</v>
      </c>
      <c r="AK507" s="37">
        <f>IF(AN507=15,K507,0)</f>
        <v>0</v>
      </c>
      <c r="AL507" s="37">
        <f>IF(AN507=21,K507,0)</f>
        <v>0</v>
      </c>
      <c r="AN507" s="37">
        <v>15</v>
      </c>
      <c r="AO507" s="37">
        <f>H507*0.29936170212766</f>
        <v>0</v>
      </c>
      <c r="AP507" s="37">
        <f>H507*(1-0.29936170212766)</f>
        <v>0</v>
      </c>
      <c r="AQ507" s="38" t="s">
        <v>58</v>
      </c>
      <c r="AV507" s="37">
        <f>AW507+AX507</f>
        <v>0</v>
      </c>
      <c r="AW507" s="37">
        <f>G507*AO507</f>
        <v>0</v>
      </c>
      <c r="AX507" s="37">
        <f>G507*AP507</f>
        <v>0</v>
      </c>
      <c r="AY507" s="38" t="s">
        <v>831</v>
      </c>
      <c r="AZ507" s="38" t="s">
        <v>751</v>
      </c>
      <c r="BA507" s="31" t="s">
        <v>56</v>
      </c>
      <c r="BC507" s="37">
        <f>AW507+AX507</f>
        <v>0</v>
      </c>
      <c r="BD507" s="37">
        <f>H507/(100-BE507)*100</f>
        <v>0</v>
      </c>
      <c r="BE507" s="37">
        <v>0</v>
      </c>
      <c r="BF507" s="37">
        <f>507</f>
        <v>507</v>
      </c>
      <c r="BH507" s="37">
        <f>G507*AO507</f>
        <v>0</v>
      </c>
      <c r="BI507" s="37">
        <f>G507*AP507</f>
        <v>0</v>
      </c>
      <c r="BJ507" s="37">
        <f>G507*H507</f>
        <v>0</v>
      </c>
    </row>
    <row r="508" spans="3:7" ht="12.75">
      <c r="C508" s="39" t="s">
        <v>955</v>
      </c>
      <c r="D508" s="39"/>
      <c r="E508" s="39"/>
      <c r="G508" s="40">
        <v>100</v>
      </c>
    </row>
    <row r="509" spans="1:62" ht="12.75">
      <c r="A509" s="10" t="s">
        <v>956</v>
      </c>
      <c r="B509" s="10" t="s">
        <v>957</v>
      </c>
      <c r="C509" s="10" t="s">
        <v>958</v>
      </c>
      <c r="D509" s="10"/>
      <c r="E509" s="10"/>
      <c r="F509" s="10" t="s">
        <v>347</v>
      </c>
      <c r="G509" s="37">
        <v>18</v>
      </c>
      <c r="H509" s="37">
        <v>0</v>
      </c>
      <c r="I509" s="37">
        <f>G509*AO509</f>
        <v>0</v>
      </c>
      <c r="J509" s="37">
        <f>G509*AP509</f>
        <v>0</v>
      </c>
      <c r="K509" s="37">
        <f>G509*H509</f>
        <v>0</v>
      </c>
      <c r="L509" s="38" t="s">
        <v>54</v>
      </c>
      <c r="Z509" s="37">
        <f>IF(AQ509="5",BJ509,0)</f>
        <v>0</v>
      </c>
      <c r="AB509" s="37">
        <f>IF(AQ509="1",BH509,0)</f>
        <v>0</v>
      </c>
      <c r="AC509" s="37">
        <f>IF(AQ509="1",BI509,0)</f>
        <v>0</v>
      </c>
      <c r="AD509" s="37">
        <f>IF(AQ509="7",BH509,0)</f>
        <v>0</v>
      </c>
      <c r="AE509" s="37">
        <f>IF(AQ509="7",BI509,0)</f>
        <v>0</v>
      </c>
      <c r="AF509" s="37">
        <f>IF(AQ509="2",BH509,0)</f>
        <v>0</v>
      </c>
      <c r="AG509" s="37">
        <f>IF(AQ509="2",BI509,0)</f>
        <v>0</v>
      </c>
      <c r="AH509" s="37">
        <f>IF(AQ509="0",BJ509,0)</f>
        <v>0</v>
      </c>
      <c r="AI509" s="31"/>
      <c r="AJ509" s="37">
        <f>IF(AN509=0,K509,0)</f>
        <v>0</v>
      </c>
      <c r="AK509" s="37">
        <f>IF(AN509=15,K509,0)</f>
        <v>0</v>
      </c>
      <c r="AL509" s="37">
        <f>IF(AN509=21,K509,0)</f>
        <v>0</v>
      </c>
      <c r="AN509" s="37">
        <v>15</v>
      </c>
      <c r="AO509" s="37">
        <f>H509*0.453340909090909</f>
        <v>0</v>
      </c>
      <c r="AP509" s="37">
        <f>H509*(1-0.453340909090909)</f>
        <v>0</v>
      </c>
      <c r="AQ509" s="38" t="s">
        <v>58</v>
      </c>
      <c r="AV509" s="37">
        <f>AW509+AX509</f>
        <v>0</v>
      </c>
      <c r="AW509" s="37">
        <f>G509*AO509</f>
        <v>0</v>
      </c>
      <c r="AX509" s="37">
        <f>G509*AP509</f>
        <v>0</v>
      </c>
      <c r="AY509" s="38" t="s">
        <v>831</v>
      </c>
      <c r="AZ509" s="38" t="s">
        <v>751</v>
      </c>
      <c r="BA509" s="31" t="s">
        <v>56</v>
      </c>
      <c r="BC509" s="37">
        <f>AW509+AX509</f>
        <v>0</v>
      </c>
      <c r="BD509" s="37">
        <f>H509/(100-BE509)*100</f>
        <v>0</v>
      </c>
      <c r="BE509" s="37">
        <v>0</v>
      </c>
      <c r="BF509" s="37">
        <f>509</f>
        <v>509</v>
      </c>
      <c r="BH509" s="37">
        <f>G509*AO509</f>
        <v>0</v>
      </c>
      <c r="BI509" s="37">
        <f>G509*AP509</f>
        <v>0</v>
      </c>
      <c r="BJ509" s="37">
        <f>G509*H509</f>
        <v>0</v>
      </c>
    </row>
    <row r="510" spans="3:7" ht="12.75">
      <c r="C510" s="39" t="s">
        <v>639</v>
      </c>
      <c r="D510" s="39"/>
      <c r="E510" s="39"/>
      <c r="G510" s="40">
        <v>18</v>
      </c>
    </row>
    <row r="511" spans="1:62" ht="12.75">
      <c r="A511" s="10" t="s">
        <v>959</v>
      </c>
      <c r="B511" s="10" t="s">
        <v>960</v>
      </c>
      <c r="C511" s="10" t="s">
        <v>961</v>
      </c>
      <c r="D511" s="10"/>
      <c r="E511" s="10"/>
      <c r="F511" s="10" t="s">
        <v>347</v>
      </c>
      <c r="G511" s="37">
        <v>5</v>
      </c>
      <c r="H511" s="37">
        <v>0</v>
      </c>
      <c r="I511" s="37">
        <f>G511*AO511</f>
        <v>0</v>
      </c>
      <c r="J511" s="37">
        <f>G511*AP511</f>
        <v>0</v>
      </c>
      <c r="K511" s="37">
        <f>G511*H511</f>
        <v>0</v>
      </c>
      <c r="L511" s="38" t="s">
        <v>54</v>
      </c>
      <c r="Z511" s="37">
        <f>IF(AQ511="5",BJ511,0)</f>
        <v>0</v>
      </c>
      <c r="AB511" s="37">
        <f>IF(AQ511="1",BH511,0)</f>
        <v>0</v>
      </c>
      <c r="AC511" s="37">
        <f>IF(AQ511="1",BI511,0)</f>
        <v>0</v>
      </c>
      <c r="AD511" s="37">
        <f>IF(AQ511="7",BH511,0)</f>
        <v>0</v>
      </c>
      <c r="AE511" s="37">
        <f>IF(AQ511="7",BI511,0)</f>
        <v>0</v>
      </c>
      <c r="AF511" s="37">
        <f>IF(AQ511="2",BH511,0)</f>
        <v>0</v>
      </c>
      <c r="AG511" s="37">
        <f>IF(AQ511="2",BI511,0)</f>
        <v>0</v>
      </c>
      <c r="AH511" s="37">
        <f>IF(AQ511="0",BJ511,0)</f>
        <v>0</v>
      </c>
      <c r="AI511" s="31"/>
      <c r="AJ511" s="37">
        <f>IF(AN511=0,K511,0)</f>
        <v>0</v>
      </c>
      <c r="AK511" s="37">
        <f>IF(AN511=15,K511,0)</f>
        <v>0</v>
      </c>
      <c r="AL511" s="37">
        <f>IF(AN511=21,K511,0)</f>
        <v>0</v>
      </c>
      <c r="AN511" s="37">
        <v>15</v>
      </c>
      <c r="AO511" s="37">
        <f>H511*0.825484764542936</f>
        <v>0</v>
      </c>
      <c r="AP511" s="37">
        <f>H511*(1-0.825484764542936)</f>
        <v>0</v>
      </c>
      <c r="AQ511" s="38" t="s">
        <v>58</v>
      </c>
      <c r="AV511" s="37">
        <f>AW511+AX511</f>
        <v>0</v>
      </c>
      <c r="AW511" s="37">
        <f>G511*AO511</f>
        <v>0</v>
      </c>
      <c r="AX511" s="37">
        <f>G511*AP511</f>
        <v>0</v>
      </c>
      <c r="AY511" s="38" t="s">
        <v>831</v>
      </c>
      <c r="AZ511" s="38" t="s">
        <v>751</v>
      </c>
      <c r="BA511" s="31" t="s">
        <v>56</v>
      </c>
      <c r="BC511" s="37">
        <f>AW511+AX511</f>
        <v>0</v>
      </c>
      <c r="BD511" s="37">
        <f>H511/(100-BE511)*100</f>
        <v>0</v>
      </c>
      <c r="BE511" s="37">
        <v>0</v>
      </c>
      <c r="BF511" s="37">
        <f>511</f>
        <v>511</v>
      </c>
      <c r="BH511" s="37">
        <f>G511*AO511</f>
        <v>0</v>
      </c>
      <c r="BI511" s="37">
        <f>G511*AP511</f>
        <v>0</v>
      </c>
      <c r="BJ511" s="37">
        <f>G511*H511</f>
        <v>0</v>
      </c>
    </row>
    <row r="512" spans="3:7" ht="12.75">
      <c r="C512" s="39" t="s">
        <v>410</v>
      </c>
      <c r="D512" s="39"/>
      <c r="E512" s="39"/>
      <c r="G512" s="40">
        <v>5</v>
      </c>
    </row>
    <row r="513" spans="1:62" ht="12.75">
      <c r="A513" s="10" t="s">
        <v>962</v>
      </c>
      <c r="B513" s="10" t="s">
        <v>915</v>
      </c>
      <c r="C513" s="10" t="s">
        <v>963</v>
      </c>
      <c r="D513" s="10"/>
      <c r="E513" s="10"/>
      <c r="F513" s="10" t="s">
        <v>347</v>
      </c>
      <c r="G513" s="37">
        <v>6</v>
      </c>
      <c r="H513" s="37">
        <v>0</v>
      </c>
      <c r="I513" s="37">
        <f>G513*AO513</f>
        <v>0</v>
      </c>
      <c r="J513" s="37">
        <f>G513*AP513</f>
        <v>0</v>
      </c>
      <c r="K513" s="37">
        <f>G513*H513</f>
        <v>0</v>
      </c>
      <c r="L513" s="38" t="s">
        <v>54</v>
      </c>
      <c r="Z513" s="37">
        <f>IF(AQ513="5",BJ513,0)</f>
        <v>0</v>
      </c>
      <c r="AB513" s="37">
        <f>IF(AQ513="1",BH513,0)</f>
        <v>0</v>
      </c>
      <c r="AC513" s="37">
        <f>IF(AQ513="1",BI513,0)</f>
        <v>0</v>
      </c>
      <c r="AD513" s="37">
        <f>IF(AQ513="7",BH513,0)</f>
        <v>0</v>
      </c>
      <c r="AE513" s="37">
        <f>IF(AQ513="7",BI513,0)</f>
        <v>0</v>
      </c>
      <c r="AF513" s="37">
        <f>IF(AQ513="2",BH513,0)</f>
        <v>0</v>
      </c>
      <c r="AG513" s="37">
        <f>IF(AQ513="2",BI513,0)</f>
        <v>0</v>
      </c>
      <c r="AH513" s="37">
        <f>IF(AQ513="0",BJ513,0)</f>
        <v>0</v>
      </c>
      <c r="AI513" s="31"/>
      <c r="AJ513" s="37">
        <f>IF(AN513=0,K513,0)</f>
        <v>0</v>
      </c>
      <c r="AK513" s="37">
        <f>IF(AN513=15,K513,0)</f>
        <v>0</v>
      </c>
      <c r="AL513" s="37">
        <f>IF(AN513=21,K513,0)</f>
        <v>0</v>
      </c>
      <c r="AN513" s="37">
        <v>15</v>
      </c>
      <c r="AO513" s="37">
        <f>H513*0.541484716157205</f>
        <v>0</v>
      </c>
      <c r="AP513" s="37">
        <f>H513*(1-0.541484716157205)</f>
        <v>0</v>
      </c>
      <c r="AQ513" s="38" t="s">
        <v>58</v>
      </c>
      <c r="AV513" s="37">
        <f>AW513+AX513</f>
        <v>0</v>
      </c>
      <c r="AW513" s="37">
        <f>G513*AO513</f>
        <v>0</v>
      </c>
      <c r="AX513" s="37">
        <f>G513*AP513</f>
        <v>0</v>
      </c>
      <c r="AY513" s="38" t="s">
        <v>831</v>
      </c>
      <c r="AZ513" s="38" t="s">
        <v>751</v>
      </c>
      <c r="BA513" s="31" t="s">
        <v>56</v>
      </c>
      <c r="BC513" s="37">
        <f>AW513+AX513</f>
        <v>0</v>
      </c>
      <c r="BD513" s="37">
        <f>H513/(100-BE513)*100</f>
        <v>0</v>
      </c>
      <c r="BE513" s="37">
        <v>0</v>
      </c>
      <c r="BF513" s="37">
        <f>513</f>
        <v>513</v>
      </c>
      <c r="BH513" s="37">
        <f>G513*AO513</f>
        <v>0</v>
      </c>
      <c r="BI513" s="37">
        <f>G513*AP513</f>
        <v>0</v>
      </c>
      <c r="BJ513" s="37">
        <f>G513*H513</f>
        <v>0</v>
      </c>
    </row>
    <row r="514" spans="3:7" ht="12.75">
      <c r="C514" s="39" t="s">
        <v>475</v>
      </c>
      <c r="D514" s="39"/>
      <c r="E514" s="39"/>
      <c r="G514" s="40">
        <v>6</v>
      </c>
    </row>
    <row r="515" spans="1:62" ht="12.75">
      <c r="A515" s="10" t="s">
        <v>964</v>
      </c>
      <c r="B515" s="10" t="s">
        <v>965</v>
      </c>
      <c r="C515" s="10" t="s">
        <v>966</v>
      </c>
      <c r="D515" s="10"/>
      <c r="E515" s="10"/>
      <c r="F515" s="10" t="s">
        <v>347</v>
      </c>
      <c r="G515" s="37">
        <v>210</v>
      </c>
      <c r="H515" s="37">
        <v>0</v>
      </c>
      <c r="I515" s="37">
        <f>G515*AO515</f>
        <v>0</v>
      </c>
      <c r="J515" s="37">
        <f>G515*AP515</f>
        <v>0</v>
      </c>
      <c r="K515" s="37">
        <f>G515*H515</f>
        <v>0</v>
      </c>
      <c r="L515" s="38" t="s">
        <v>54</v>
      </c>
      <c r="Z515" s="37">
        <f>IF(AQ515="5",BJ515,0)</f>
        <v>0</v>
      </c>
      <c r="AB515" s="37">
        <f>IF(AQ515="1",BH515,0)</f>
        <v>0</v>
      </c>
      <c r="AC515" s="37">
        <f>IF(AQ515="1",BI515,0)</f>
        <v>0</v>
      </c>
      <c r="AD515" s="37">
        <f>IF(AQ515="7",BH515,0)</f>
        <v>0</v>
      </c>
      <c r="AE515" s="37">
        <f>IF(AQ515="7",BI515,0)</f>
        <v>0</v>
      </c>
      <c r="AF515" s="37">
        <f>IF(AQ515="2",BH515,0)</f>
        <v>0</v>
      </c>
      <c r="AG515" s="37">
        <f>IF(AQ515="2",BI515,0)</f>
        <v>0</v>
      </c>
      <c r="AH515" s="37">
        <f>IF(AQ515="0",BJ515,0)</f>
        <v>0</v>
      </c>
      <c r="AI515" s="31"/>
      <c r="AJ515" s="37">
        <f>IF(AN515=0,K515,0)</f>
        <v>0</v>
      </c>
      <c r="AK515" s="37">
        <f>IF(AN515=15,K515,0)</f>
        <v>0</v>
      </c>
      <c r="AL515" s="37">
        <f>IF(AN515=21,K515,0)</f>
        <v>0</v>
      </c>
      <c r="AN515" s="37">
        <v>15</v>
      </c>
      <c r="AO515" s="37">
        <f>H515*0</f>
        <v>0</v>
      </c>
      <c r="AP515" s="37">
        <f>H515*(1-0)</f>
        <v>0</v>
      </c>
      <c r="AQ515" s="38" t="s">
        <v>50</v>
      </c>
      <c r="AV515" s="37">
        <f>AW515+AX515</f>
        <v>0</v>
      </c>
      <c r="AW515" s="37">
        <f>G515*AO515</f>
        <v>0</v>
      </c>
      <c r="AX515" s="37">
        <f>G515*AP515</f>
        <v>0</v>
      </c>
      <c r="AY515" s="38" t="s">
        <v>831</v>
      </c>
      <c r="AZ515" s="38" t="s">
        <v>751</v>
      </c>
      <c r="BA515" s="31" t="s">
        <v>56</v>
      </c>
      <c r="BC515" s="37">
        <f>AW515+AX515</f>
        <v>0</v>
      </c>
      <c r="BD515" s="37">
        <f>H515/(100-BE515)*100</f>
        <v>0</v>
      </c>
      <c r="BE515" s="37">
        <v>0</v>
      </c>
      <c r="BF515" s="37">
        <f>515</f>
        <v>515</v>
      </c>
      <c r="BH515" s="37">
        <f>G515*AO515</f>
        <v>0</v>
      </c>
      <c r="BI515" s="37">
        <f>G515*AP515</f>
        <v>0</v>
      </c>
      <c r="BJ515" s="37">
        <f>G515*H515</f>
        <v>0</v>
      </c>
    </row>
    <row r="516" spans="3:7" ht="12.75">
      <c r="C516" s="39" t="s">
        <v>967</v>
      </c>
      <c r="D516" s="39"/>
      <c r="E516" s="39"/>
      <c r="G516" s="40">
        <v>210</v>
      </c>
    </row>
    <row r="517" spans="1:62" ht="12.75">
      <c r="A517" s="10" t="s">
        <v>968</v>
      </c>
      <c r="B517" s="10" t="s">
        <v>965</v>
      </c>
      <c r="C517" s="10" t="s">
        <v>966</v>
      </c>
      <c r="D517" s="10"/>
      <c r="E517" s="10"/>
      <c r="F517" s="10" t="s">
        <v>347</v>
      </c>
      <c r="G517" s="37">
        <v>12</v>
      </c>
      <c r="H517" s="37">
        <v>0</v>
      </c>
      <c r="I517" s="37">
        <f>G517*AO517</f>
        <v>0</v>
      </c>
      <c r="J517" s="37">
        <f>G517*AP517</f>
        <v>0</v>
      </c>
      <c r="K517" s="37">
        <f>G517*H517</f>
        <v>0</v>
      </c>
      <c r="L517" s="38" t="s">
        <v>54</v>
      </c>
      <c r="Z517" s="37">
        <f>IF(AQ517="5",BJ517,0)</f>
        <v>0</v>
      </c>
      <c r="AB517" s="37">
        <f>IF(AQ517="1",BH517,0)</f>
        <v>0</v>
      </c>
      <c r="AC517" s="37">
        <f>IF(AQ517="1",BI517,0)</f>
        <v>0</v>
      </c>
      <c r="AD517" s="37">
        <f>IF(AQ517="7",BH517,0)</f>
        <v>0</v>
      </c>
      <c r="AE517" s="37">
        <f>IF(AQ517="7",BI517,0)</f>
        <v>0</v>
      </c>
      <c r="AF517" s="37">
        <f>IF(AQ517="2",BH517,0)</f>
        <v>0</v>
      </c>
      <c r="AG517" s="37">
        <f>IF(AQ517="2",BI517,0)</f>
        <v>0</v>
      </c>
      <c r="AH517" s="37">
        <f>IF(AQ517="0",BJ517,0)</f>
        <v>0</v>
      </c>
      <c r="AI517" s="31"/>
      <c r="AJ517" s="37">
        <f>IF(AN517=0,K517,0)</f>
        <v>0</v>
      </c>
      <c r="AK517" s="37">
        <f>IF(AN517=15,K517,0)</f>
        <v>0</v>
      </c>
      <c r="AL517" s="37">
        <f>IF(AN517=21,K517,0)</f>
        <v>0</v>
      </c>
      <c r="AN517" s="37">
        <v>15</v>
      </c>
      <c r="AO517" s="37">
        <f>H517*0</f>
        <v>0</v>
      </c>
      <c r="AP517" s="37">
        <f>H517*(1-0)</f>
        <v>0</v>
      </c>
      <c r="AQ517" s="38" t="s">
        <v>50</v>
      </c>
      <c r="AV517" s="37">
        <f>AW517+AX517</f>
        <v>0</v>
      </c>
      <c r="AW517" s="37">
        <f>G517*AO517</f>
        <v>0</v>
      </c>
      <c r="AX517" s="37">
        <f>G517*AP517</f>
        <v>0</v>
      </c>
      <c r="AY517" s="38" t="s">
        <v>831</v>
      </c>
      <c r="AZ517" s="38" t="s">
        <v>751</v>
      </c>
      <c r="BA517" s="31" t="s">
        <v>56</v>
      </c>
      <c r="BC517" s="37">
        <f>AW517+AX517</f>
        <v>0</v>
      </c>
      <c r="BD517" s="37">
        <f>H517/(100-BE517)*100</f>
        <v>0</v>
      </c>
      <c r="BE517" s="37">
        <v>0</v>
      </c>
      <c r="BF517" s="37">
        <f>517</f>
        <v>517</v>
      </c>
      <c r="BH517" s="37">
        <f>G517*AO517</f>
        <v>0</v>
      </c>
      <c r="BI517" s="37">
        <f>G517*AP517</f>
        <v>0</v>
      </c>
      <c r="BJ517" s="37">
        <f>G517*H517</f>
        <v>0</v>
      </c>
    </row>
    <row r="518" spans="3:7" ht="12.75">
      <c r="C518" s="39" t="s">
        <v>969</v>
      </c>
      <c r="D518" s="39"/>
      <c r="E518" s="39"/>
      <c r="G518" s="40">
        <v>12</v>
      </c>
    </row>
    <row r="519" spans="1:62" ht="12.75">
      <c r="A519" s="10" t="s">
        <v>970</v>
      </c>
      <c r="B519" s="10" t="s">
        <v>971</v>
      </c>
      <c r="C519" s="10" t="s">
        <v>972</v>
      </c>
      <c r="D519" s="10"/>
      <c r="E519" s="10"/>
      <c r="F519" s="10" t="s">
        <v>347</v>
      </c>
      <c r="G519" s="37">
        <v>23</v>
      </c>
      <c r="H519" s="37">
        <v>0</v>
      </c>
      <c r="I519" s="37">
        <f>G519*AO519</f>
        <v>0</v>
      </c>
      <c r="J519" s="37">
        <f>G519*AP519</f>
        <v>0</v>
      </c>
      <c r="K519" s="37">
        <f>G519*H519</f>
        <v>0</v>
      </c>
      <c r="L519" s="38" t="s">
        <v>54</v>
      </c>
      <c r="Z519" s="37">
        <f>IF(AQ519="5",BJ519,0)</f>
        <v>0</v>
      </c>
      <c r="AB519" s="37">
        <f>IF(AQ519="1",BH519,0)</f>
        <v>0</v>
      </c>
      <c r="AC519" s="37">
        <f>IF(AQ519="1",BI519,0)</f>
        <v>0</v>
      </c>
      <c r="AD519" s="37">
        <f>IF(AQ519="7",BH519,0)</f>
        <v>0</v>
      </c>
      <c r="AE519" s="37">
        <f>IF(AQ519="7",BI519,0)</f>
        <v>0</v>
      </c>
      <c r="AF519" s="37">
        <f>IF(AQ519="2",BH519,0)</f>
        <v>0</v>
      </c>
      <c r="AG519" s="37">
        <f>IF(AQ519="2",BI519,0)</f>
        <v>0</v>
      </c>
      <c r="AH519" s="37">
        <f>IF(AQ519="0",BJ519,0)</f>
        <v>0</v>
      </c>
      <c r="AI519" s="31"/>
      <c r="AJ519" s="37">
        <f>IF(AN519=0,K519,0)</f>
        <v>0</v>
      </c>
      <c r="AK519" s="37">
        <f>IF(AN519=15,K519,0)</f>
        <v>0</v>
      </c>
      <c r="AL519" s="37">
        <f>IF(AN519=21,K519,0)</f>
        <v>0</v>
      </c>
      <c r="AN519" s="37">
        <v>15</v>
      </c>
      <c r="AO519" s="37">
        <f>H519*0.0585492227979275</f>
        <v>0</v>
      </c>
      <c r="AP519" s="37">
        <f>H519*(1-0.0585492227979275)</f>
        <v>0</v>
      </c>
      <c r="AQ519" s="38" t="s">
        <v>50</v>
      </c>
      <c r="AV519" s="37">
        <f>AW519+AX519</f>
        <v>0</v>
      </c>
      <c r="AW519" s="37">
        <f>G519*AO519</f>
        <v>0</v>
      </c>
      <c r="AX519" s="37">
        <f>G519*AP519</f>
        <v>0</v>
      </c>
      <c r="AY519" s="38" t="s">
        <v>831</v>
      </c>
      <c r="AZ519" s="38" t="s">
        <v>751</v>
      </c>
      <c r="BA519" s="31" t="s">
        <v>56</v>
      </c>
      <c r="BC519" s="37">
        <f>AW519+AX519</f>
        <v>0</v>
      </c>
      <c r="BD519" s="37">
        <f>H519/(100-BE519)*100</f>
        <v>0</v>
      </c>
      <c r="BE519" s="37">
        <v>0</v>
      </c>
      <c r="BF519" s="37">
        <f>519</f>
        <v>519</v>
      </c>
      <c r="BH519" s="37">
        <f>G519*AO519</f>
        <v>0</v>
      </c>
      <c r="BI519" s="37">
        <f>G519*AP519</f>
        <v>0</v>
      </c>
      <c r="BJ519" s="37">
        <f>G519*H519</f>
        <v>0</v>
      </c>
    </row>
    <row r="520" spans="3:7" ht="12.75">
      <c r="C520" s="39" t="s">
        <v>894</v>
      </c>
      <c r="D520" s="39"/>
      <c r="E520" s="39"/>
      <c r="G520" s="40">
        <v>23</v>
      </c>
    </row>
    <row r="521" spans="1:62" ht="12.75">
      <c r="A521" s="10" t="s">
        <v>973</v>
      </c>
      <c r="B521" s="10" t="s">
        <v>974</v>
      </c>
      <c r="C521" s="10" t="s">
        <v>975</v>
      </c>
      <c r="D521" s="10"/>
      <c r="E521" s="10"/>
      <c r="F521" s="10" t="s">
        <v>830</v>
      </c>
      <c r="G521" s="37">
        <v>280</v>
      </c>
      <c r="H521" s="37">
        <v>0</v>
      </c>
      <c r="I521" s="37">
        <f>G521*AO521</f>
        <v>0</v>
      </c>
      <c r="J521" s="37">
        <f>G521*AP521</f>
        <v>0</v>
      </c>
      <c r="K521" s="37">
        <f>G521*H521</f>
        <v>0</v>
      </c>
      <c r="L521" s="38" t="s">
        <v>54</v>
      </c>
      <c r="Z521" s="37">
        <f>IF(AQ521="5",BJ521,0)</f>
        <v>0</v>
      </c>
      <c r="AB521" s="37">
        <f>IF(AQ521="1",BH521,0)</f>
        <v>0</v>
      </c>
      <c r="AC521" s="37">
        <f>IF(AQ521="1",BI521,0)</f>
        <v>0</v>
      </c>
      <c r="AD521" s="37">
        <f>IF(AQ521="7",BH521,0)</f>
        <v>0</v>
      </c>
      <c r="AE521" s="37">
        <f>IF(AQ521="7",BI521,0)</f>
        <v>0</v>
      </c>
      <c r="AF521" s="37">
        <f>IF(AQ521="2",BH521,0)</f>
        <v>0</v>
      </c>
      <c r="AG521" s="37">
        <f>IF(AQ521="2",BI521,0)</f>
        <v>0</v>
      </c>
      <c r="AH521" s="37">
        <f>IF(AQ521="0",BJ521,0)</f>
        <v>0</v>
      </c>
      <c r="AI521" s="31"/>
      <c r="AJ521" s="37">
        <f>IF(AN521=0,K521,0)</f>
        <v>0</v>
      </c>
      <c r="AK521" s="37">
        <f>IF(AN521=15,K521,0)</f>
        <v>0</v>
      </c>
      <c r="AL521" s="37">
        <f>IF(AN521=21,K521,0)</f>
        <v>0</v>
      </c>
      <c r="AN521" s="37">
        <v>15</v>
      </c>
      <c r="AO521" s="37">
        <f>H521*0.223011363636364</f>
        <v>0</v>
      </c>
      <c r="AP521" s="37">
        <f>H521*(1-0.223011363636364)</f>
        <v>0</v>
      </c>
      <c r="AQ521" s="38" t="s">
        <v>50</v>
      </c>
      <c r="AV521" s="37">
        <f>AW521+AX521</f>
        <v>0</v>
      </c>
      <c r="AW521" s="37">
        <f>G521*AO521</f>
        <v>0</v>
      </c>
      <c r="AX521" s="37">
        <f>G521*AP521</f>
        <v>0</v>
      </c>
      <c r="AY521" s="38" t="s">
        <v>831</v>
      </c>
      <c r="AZ521" s="38" t="s">
        <v>751</v>
      </c>
      <c r="BA521" s="31" t="s">
        <v>56</v>
      </c>
      <c r="BC521" s="37">
        <f>AW521+AX521</f>
        <v>0</v>
      </c>
      <c r="BD521" s="37">
        <f>H521/(100-BE521)*100</f>
        <v>0</v>
      </c>
      <c r="BE521" s="37">
        <v>0</v>
      </c>
      <c r="BF521" s="37">
        <f>521</f>
        <v>521</v>
      </c>
      <c r="BH521" s="37">
        <f>G521*AO521</f>
        <v>0</v>
      </c>
      <c r="BI521" s="37">
        <f>G521*AP521</f>
        <v>0</v>
      </c>
      <c r="BJ521" s="37">
        <f>G521*H521</f>
        <v>0</v>
      </c>
    </row>
    <row r="522" spans="3:7" ht="12.75">
      <c r="C522" s="39" t="s">
        <v>976</v>
      </c>
      <c r="D522" s="39"/>
      <c r="E522" s="39"/>
      <c r="G522" s="40">
        <v>140</v>
      </c>
    </row>
    <row r="523" spans="3:7" ht="12.75">
      <c r="C523" s="39" t="s">
        <v>977</v>
      </c>
      <c r="D523" s="39"/>
      <c r="E523" s="39"/>
      <c r="G523" s="40">
        <v>140</v>
      </c>
    </row>
    <row r="524" spans="1:62" ht="12.75">
      <c r="A524" s="10" t="s">
        <v>978</v>
      </c>
      <c r="B524" s="10" t="s">
        <v>979</v>
      </c>
      <c r="C524" s="10" t="s">
        <v>980</v>
      </c>
      <c r="D524" s="10"/>
      <c r="E524" s="10"/>
      <c r="F524" s="10" t="s">
        <v>347</v>
      </c>
      <c r="G524" s="37">
        <v>12</v>
      </c>
      <c r="H524" s="37">
        <v>0</v>
      </c>
      <c r="I524" s="37">
        <f>G524*AO524</f>
        <v>0</v>
      </c>
      <c r="J524" s="37">
        <f>G524*AP524</f>
        <v>0</v>
      </c>
      <c r="K524" s="37">
        <f>G524*H524</f>
        <v>0</v>
      </c>
      <c r="L524" s="38" t="s">
        <v>54</v>
      </c>
      <c r="Z524" s="37">
        <f>IF(AQ524="5",BJ524,0)</f>
        <v>0</v>
      </c>
      <c r="AB524" s="37">
        <f>IF(AQ524="1",BH524,0)</f>
        <v>0</v>
      </c>
      <c r="AC524" s="37">
        <f>IF(AQ524="1",BI524,0)</f>
        <v>0</v>
      </c>
      <c r="AD524" s="37">
        <f>IF(AQ524="7",BH524,0)</f>
        <v>0</v>
      </c>
      <c r="AE524" s="37">
        <f>IF(AQ524="7",BI524,0)</f>
        <v>0</v>
      </c>
      <c r="AF524" s="37">
        <f>IF(AQ524="2",BH524,0)</f>
        <v>0</v>
      </c>
      <c r="AG524" s="37">
        <f>IF(AQ524="2",BI524,0)</f>
        <v>0</v>
      </c>
      <c r="AH524" s="37">
        <f>IF(AQ524="0",BJ524,0)</f>
        <v>0</v>
      </c>
      <c r="AI524" s="31"/>
      <c r="AJ524" s="37">
        <f>IF(AN524=0,K524,0)</f>
        <v>0</v>
      </c>
      <c r="AK524" s="37">
        <f>IF(AN524=15,K524,0)</f>
        <v>0</v>
      </c>
      <c r="AL524" s="37">
        <f>IF(AN524=21,K524,0)</f>
        <v>0</v>
      </c>
      <c r="AN524" s="37">
        <v>15</v>
      </c>
      <c r="AO524" s="37">
        <f>H524*0.551083591331269</f>
        <v>0</v>
      </c>
      <c r="AP524" s="37">
        <f>H524*(1-0.551083591331269)</f>
        <v>0</v>
      </c>
      <c r="AQ524" s="38" t="s">
        <v>50</v>
      </c>
      <c r="AV524" s="37">
        <f>AW524+AX524</f>
        <v>0</v>
      </c>
      <c r="AW524" s="37">
        <f>G524*AO524</f>
        <v>0</v>
      </c>
      <c r="AX524" s="37">
        <f>G524*AP524</f>
        <v>0</v>
      </c>
      <c r="AY524" s="38" t="s">
        <v>831</v>
      </c>
      <c r="AZ524" s="38" t="s">
        <v>751</v>
      </c>
      <c r="BA524" s="31" t="s">
        <v>56</v>
      </c>
      <c r="BC524" s="37">
        <f>AW524+AX524</f>
        <v>0</v>
      </c>
      <c r="BD524" s="37">
        <f>H524/(100-BE524)*100</f>
        <v>0</v>
      </c>
      <c r="BE524" s="37">
        <v>0</v>
      </c>
      <c r="BF524" s="37">
        <f>524</f>
        <v>524</v>
      </c>
      <c r="BH524" s="37">
        <f>G524*AO524</f>
        <v>0</v>
      </c>
      <c r="BI524" s="37">
        <f>G524*AP524</f>
        <v>0</v>
      </c>
      <c r="BJ524" s="37">
        <f>G524*H524</f>
        <v>0</v>
      </c>
    </row>
    <row r="525" spans="3:7" ht="12.75">
      <c r="C525" s="39" t="s">
        <v>969</v>
      </c>
      <c r="D525" s="39"/>
      <c r="E525" s="39"/>
      <c r="G525" s="40">
        <v>12</v>
      </c>
    </row>
    <row r="526" spans="1:62" ht="12.75">
      <c r="A526" s="10" t="s">
        <v>981</v>
      </c>
      <c r="B526" s="10" t="s">
        <v>982</v>
      </c>
      <c r="C526" s="10" t="s">
        <v>983</v>
      </c>
      <c r="D526" s="10"/>
      <c r="E526" s="10"/>
      <c r="F526" s="10" t="s">
        <v>984</v>
      </c>
      <c r="G526" s="37">
        <v>1</v>
      </c>
      <c r="H526" s="37">
        <v>0</v>
      </c>
      <c r="I526" s="37">
        <f>G526*AO526</f>
        <v>0</v>
      </c>
      <c r="J526" s="37">
        <f>G526*AP526</f>
        <v>0</v>
      </c>
      <c r="K526" s="37">
        <f>G526*H526</f>
        <v>0</v>
      </c>
      <c r="L526" s="38" t="s">
        <v>54</v>
      </c>
      <c r="Z526" s="37">
        <f>IF(AQ526="5",BJ526,0)</f>
        <v>0</v>
      </c>
      <c r="AB526" s="37">
        <f>IF(AQ526="1",BH526,0)</f>
        <v>0</v>
      </c>
      <c r="AC526" s="37">
        <f>IF(AQ526="1",BI526,0)</f>
        <v>0</v>
      </c>
      <c r="AD526" s="37">
        <f>IF(AQ526="7",BH526,0)</f>
        <v>0</v>
      </c>
      <c r="AE526" s="37">
        <f>IF(AQ526="7",BI526,0)</f>
        <v>0</v>
      </c>
      <c r="AF526" s="37">
        <f>IF(AQ526="2",BH526,0)</f>
        <v>0</v>
      </c>
      <c r="AG526" s="37">
        <f>IF(AQ526="2",BI526,0)</f>
        <v>0</v>
      </c>
      <c r="AH526" s="37">
        <f>IF(AQ526="0",BJ526,0)</f>
        <v>0</v>
      </c>
      <c r="AI526" s="31"/>
      <c r="AJ526" s="37">
        <f>IF(AN526=0,K526,0)</f>
        <v>0</v>
      </c>
      <c r="AK526" s="37">
        <f>IF(AN526=15,K526,0)</f>
        <v>0</v>
      </c>
      <c r="AL526" s="37">
        <f>IF(AN526=21,K526,0)</f>
        <v>0</v>
      </c>
      <c r="AN526" s="37">
        <v>15</v>
      </c>
      <c r="AO526" s="37">
        <f>H526*0.620689655172414</f>
        <v>0</v>
      </c>
      <c r="AP526" s="37">
        <f>H526*(1-0.620689655172414)</f>
        <v>0</v>
      </c>
      <c r="AQ526" s="38" t="s">
        <v>50</v>
      </c>
      <c r="AV526" s="37">
        <f>AW526+AX526</f>
        <v>0</v>
      </c>
      <c r="AW526" s="37">
        <f>G526*AO526</f>
        <v>0</v>
      </c>
      <c r="AX526" s="37">
        <f>G526*AP526</f>
        <v>0</v>
      </c>
      <c r="AY526" s="38" t="s">
        <v>831</v>
      </c>
      <c r="AZ526" s="38" t="s">
        <v>751</v>
      </c>
      <c r="BA526" s="31" t="s">
        <v>56</v>
      </c>
      <c r="BC526" s="37">
        <f>AW526+AX526</f>
        <v>0</v>
      </c>
      <c r="BD526" s="37">
        <f>H526/(100-BE526)*100</f>
        <v>0</v>
      </c>
      <c r="BE526" s="37">
        <v>0</v>
      </c>
      <c r="BF526" s="37">
        <f>526</f>
        <v>526</v>
      </c>
      <c r="BH526" s="37">
        <f>G526*AO526</f>
        <v>0</v>
      </c>
      <c r="BI526" s="37">
        <f>G526*AP526</f>
        <v>0</v>
      </c>
      <c r="BJ526" s="37">
        <f>G526*H526</f>
        <v>0</v>
      </c>
    </row>
    <row r="527" spans="3:7" ht="12.75">
      <c r="C527" s="39" t="s">
        <v>57</v>
      </c>
      <c r="D527" s="39"/>
      <c r="E527" s="39"/>
      <c r="G527" s="40">
        <v>1</v>
      </c>
    </row>
    <row r="528" spans="1:62" ht="12.75">
      <c r="A528" s="10" t="s">
        <v>985</v>
      </c>
      <c r="B528" s="10" t="s">
        <v>986</v>
      </c>
      <c r="C528" s="10" t="s">
        <v>987</v>
      </c>
      <c r="D528" s="10"/>
      <c r="E528" s="10"/>
      <c r="F528" s="10" t="s">
        <v>347</v>
      </c>
      <c r="G528" s="37">
        <v>96</v>
      </c>
      <c r="H528" s="37">
        <v>0</v>
      </c>
      <c r="I528" s="37">
        <f>G528*AO528</f>
        <v>0</v>
      </c>
      <c r="J528" s="37">
        <f>G528*AP528</f>
        <v>0</v>
      </c>
      <c r="K528" s="37">
        <f>G528*H528</f>
        <v>0</v>
      </c>
      <c r="L528" s="38" t="s">
        <v>54</v>
      </c>
      <c r="Z528" s="37">
        <f>IF(AQ528="5",BJ528,0)</f>
        <v>0</v>
      </c>
      <c r="AB528" s="37">
        <f>IF(AQ528="1",BH528,0)</f>
        <v>0</v>
      </c>
      <c r="AC528" s="37">
        <f>IF(AQ528="1",BI528,0)</f>
        <v>0</v>
      </c>
      <c r="AD528" s="37">
        <f>IF(AQ528="7",BH528,0)</f>
        <v>0</v>
      </c>
      <c r="AE528" s="37">
        <f>IF(AQ528="7",BI528,0)</f>
        <v>0</v>
      </c>
      <c r="AF528" s="37">
        <f>IF(AQ528="2",BH528,0)</f>
        <v>0</v>
      </c>
      <c r="AG528" s="37">
        <f>IF(AQ528="2",BI528,0)</f>
        <v>0</v>
      </c>
      <c r="AH528" s="37">
        <f>IF(AQ528="0",BJ528,0)</f>
        <v>0</v>
      </c>
      <c r="AI528" s="31"/>
      <c r="AJ528" s="37">
        <f>IF(AN528=0,K528,0)</f>
        <v>0</v>
      </c>
      <c r="AK528" s="37">
        <f>IF(AN528=15,K528,0)</f>
        <v>0</v>
      </c>
      <c r="AL528" s="37">
        <f>IF(AN528=21,K528,0)</f>
        <v>0</v>
      </c>
      <c r="AN528" s="37">
        <v>15</v>
      </c>
      <c r="AO528" s="37">
        <f>H528*0.837735849056604</f>
        <v>0</v>
      </c>
      <c r="AP528" s="37">
        <f>H528*(1-0.837735849056604)</f>
        <v>0</v>
      </c>
      <c r="AQ528" s="38" t="s">
        <v>58</v>
      </c>
      <c r="AV528" s="37">
        <f>AW528+AX528</f>
        <v>0</v>
      </c>
      <c r="AW528" s="37">
        <f>G528*AO528</f>
        <v>0</v>
      </c>
      <c r="AX528" s="37">
        <f>G528*AP528</f>
        <v>0</v>
      </c>
      <c r="AY528" s="38" t="s">
        <v>831</v>
      </c>
      <c r="AZ528" s="38" t="s">
        <v>751</v>
      </c>
      <c r="BA528" s="31" t="s">
        <v>56</v>
      </c>
      <c r="BC528" s="37">
        <f>AW528+AX528</f>
        <v>0</v>
      </c>
      <c r="BD528" s="37">
        <f>H528/(100-BE528)*100</f>
        <v>0</v>
      </c>
      <c r="BE528" s="37">
        <v>0</v>
      </c>
      <c r="BF528" s="37">
        <f>528</f>
        <v>528</v>
      </c>
      <c r="BH528" s="37">
        <f>G528*AO528</f>
        <v>0</v>
      </c>
      <c r="BI528" s="37">
        <f>G528*AP528</f>
        <v>0</v>
      </c>
      <c r="BJ528" s="37">
        <f>G528*H528</f>
        <v>0</v>
      </c>
    </row>
    <row r="529" spans="3:7" ht="12.75">
      <c r="C529" s="39" t="s">
        <v>988</v>
      </c>
      <c r="D529" s="39"/>
      <c r="E529" s="39"/>
      <c r="G529" s="40">
        <v>96</v>
      </c>
    </row>
    <row r="530" spans="1:62" ht="12.75">
      <c r="A530" s="10" t="s">
        <v>989</v>
      </c>
      <c r="B530" s="10" t="s">
        <v>990</v>
      </c>
      <c r="C530" s="10" t="s">
        <v>991</v>
      </c>
      <c r="D530" s="10"/>
      <c r="E530" s="10"/>
      <c r="F530" s="10" t="s">
        <v>53</v>
      </c>
      <c r="G530" s="37">
        <v>6</v>
      </c>
      <c r="H530" s="37">
        <v>0</v>
      </c>
      <c r="I530" s="37">
        <f>G530*AO530</f>
        <v>0</v>
      </c>
      <c r="J530" s="37">
        <f>G530*AP530</f>
        <v>0</v>
      </c>
      <c r="K530" s="37">
        <f>G530*H530</f>
        <v>0</v>
      </c>
      <c r="L530" s="38" t="s">
        <v>54</v>
      </c>
      <c r="Z530" s="37">
        <f>IF(AQ530="5",BJ530,0)</f>
        <v>0</v>
      </c>
      <c r="AB530" s="37">
        <f>IF(AQ530="1",BH530,0)</f>
        <v>0</v>
      </c>
      <c r="AC530" s="37">
        <f>IF(AQ530="1",BI530,0)</f>
        <v>0</v>
      </c>
      <c r="AD530" s="37">
        <f>IF(AQ530="7",BH530,0)</f>
        <v>0</v>
      </c>
      <c r="AE530" s="37">
        <f>IF(AQ530="7",BI530,0)</f>
        <v>0</v>
      </c>
      <c r="AF530" s="37">
        <f>IF(AQ530="2",BH530,0)</f>
        <v>0</v>
      </c>
      <c r="AG530" s="37">
        <f>IF(AQ530="2",BI530,0)</f>
        <v>0</v>
      </c>
      <c r="AH530" s="37">
        <f>IF(AQ530="0",BJ530,0)</f>
        <v>0</v>
      </c>
      <c r="AI530" s="31"/>
      <c r="AJ530" s="37">
        <f>IF(AN530=0,K530,0)</f>
        <v>0</v>
      </c>
      <c r="AK530" s="37">
        <f>IF(AN530=15,K530,0)</f>
        <v>0</v>
      </c>
      <c r="AL530" s="37">
        <f>IF(AN530=21,K530,0)</f>
        <v>0</v>
      </c>
      <c r="AN530" s="37">
        <v>15</v>
      </c>
      <c r="AO530" s="37">
        <f>H530*0</f>
        <v>0</v>
      </c>
      <c r="AP530" s="37">
        <f>H530*(1-0)</f>
        <v>0</v>
      </c>
      <c r="AQ530" s="38" t="s">
        <v>58</v>
      </c>
      <c r="AV530" s="37">
        <f>AW530+AX530</f>
        <v>0</v>
      </c>
      <c r="AW530" s="37">
        <f>G530*AO530</f>
        <v>0</v>
      </c>
      <c r="AX530" s="37">
        <f>G530*AP530</f>
        <v>0</v>
      </c>
      <c r="AY530" s="38" t="s">
        <v>831</v>
      </c>
      <c r="AZ530" s="38" t="s">
        <v>751</v>
      </c>
      <c r="BA530" s="31" t="s">
        <v>56</v>
      </c>
      <c r="BC530" s="37">
        <f>AW530+AX530</f>
        <v>0</v>
      </c>
      <c r="BD530" s="37">
        <f>H530/(100-BE530)*100</f>
        <v>0</v>
      </c>
      <c r="BE530" s="37">
        <v>0</v>
      </c>
      <c r="BF530" s="37">
        <f>530</f>
        <v>530</v>
      </c>
      <c r="BH530" s="37">
        <f>G530*AO530</f>
        <v>0</v>
      </c>
      <c r="BI530" s="37">
        <f>G530*AP530</f>
        <v>0</v>
      </c>
      <c r="BJ530" s="37">
        <f>G530*H530</f>
        <v>0</v>
      </c>
    </row>
    <row r="531" spans="3:7" ht="12.75">
      <c r="C531" s="39" t="s">
        <v>475</v>
      </c>
      <c r="D531" s="39"/>
      <c r="E531" s="39"/>
      <c r="G531" s="40">
        <v>6</v>
      </c>
    </row>
    <row r="532" spans="1:62" ht="12.75">
      <c r="A532" s="10" t="s">
        <v>992</v>
      </c>
      <c r="B532" s="10" t="s">
        <v>993</v>
      </c>
      <c r="C532" s="10" t="s">
        <v>994</v>
      </c>
      <c r="D532" s="10"/>
      <c r="E532" s="10"/>
      <c r="F532" s="10" t="s">
        <v>474</v>
      </c>
      <c r="G532" s="37">
        <v>40</v>
      </c>
      <c r="H532" s="37">
        <v>0</v>
      </c>
      <c r="I532" s="37">
        <f>G532*AO532</f>
        <v>0</v>
      </c>
      <c r="J532" s="37">
        <f>G532*AP532</f>
        <v>0</v>
      </c>
      <c r="K532" s="37">
        <f>G532*H532</f>
        <v>0</v>
      </c>
      <c r="L532" s="38" t="s">
        <v>54</v>
      </c>
      <c r="Z532" s="37">
        <f>IF(AQ532="5",BJ532,0)</f>
        <v>0</v>
      </c>
      <c r="AB532" s="37">
        <f>IF(AQ532="1",BH532,0)</f>
        <v>0</v>
      </c>
      <c r="AC532" s="37">
        <f>IF(AQ532="1",BI532,0)</f>
        <v>0</v>
      </c>
      <c r="AD532" s="37">
        <f>IF(AQ532="7",BH532,0)</f>
        <v>0</v>
      </c>
      <c r="AE532" s="37">
        <f>IF(AQ532="7",BI532,0)</f>
        <v>0</v>
      </c>
      <c r="AF532" s="37">
        <f>IF(AQ532="2",BH532,0)</f>
        <v>0</v>
      </c>
      <c r="AG532" s="37">
        <f>IF(AQ532="2",BI532,0)</f>
        <v>0</v>
      </c>
      <c r="AH532" s="37">
        <f>IF(AQ532="0",BJ532,0)</f>
        <v>0</v>
      </c>
      <c r="AI532" s="31"/>
      <c r="AJ532" s="37">
        <f>IF(AN532=0,K532,0)</f>
        <v>0</v>
      </c>
      <c r="AK532" s="37">
        <f>IF(AN532=15,K532,0)</f>
        <v>0</v>
      </c>
      <c r="AL532" s="37">
        <f>IF(AN532=21,K532,0)</f>
        <v>0</v>
      </c>
      <c r="AN532" s="37">
        <v>15</v>
      </c>
      <c r="AO532" s="37">
        <f>H532*0</f>
        <v>0</v>
      </c>
      <c r="AP532" s="37">
        <f>H532*(1-0)</f>
        <v>0</v>
      </c>
      <c r="AQ532" s="38" t="s">
        <v>50</v>
      </c>
      <c r="AV532" s="37">
        <f>AW532+AX532</f>
        <v>0</v>
      </c>
      <c r="AW532" s="37">
        <f>G532*AO532</f>
        <v>0</v>
      </c>
      <c r="AX532" s="37">
        <f>G532*AP532</f>
        <v>0</v>
      </c>
      <c r="AY532" s="38" t="s">
        <v>831</v>
      </c>
      <c r="AZ532" s="38" t="s">
        <v>751</v>
      </c>
      <c r="BA532" s="31" t="s">
        <v>56</v>
      </c>
      <c r="BC532" s="37">
        <f>AW532+AX532</f>
        <v>0</v>
      </c>
      <c r="BD532" s="37">
        <f>H532/(100-BE532)*100</f>
        <v>0</v>
      </c>
      <c r="BE532" s="37">
        <v>0</v>
      </c>
      <c r="BF532" s="37">
        <f>532</f>
        <v>532</v>
      </c>
      <c r="BH532" s="37">
        <f>G532*AO532</f>
        <v>0</v>
      </c>
      <c r="BI532" s="37">
        <f>G532*AP532</f>
        <v>0</v>
      </c>
      <c r="BJ532" s="37">
        <f>G532*H532</f>
        <v>0</v>
      </c>
    </row>
    <row r="533" spans="3:7" ht="12.75">
      <c r="C533" s="39" t="s">
        <v>995</v>
      </c>
      <c r="D533" s="39"/>
      <c r="E533" s="39"/>
      <c r="G533" s="40">
        <v>40</v>
      </c>
    </row>
    <row r="534" spans="1:62" ht="12.75">
      <c r="A534" s="10" t="s">
        <v>996</v>
      </c>
      <c r="B534" s="10" t="s">
        <v>997</v>
      </c>
      <c r="C534" s="10" t="s">
        <v>998</v>
      </c>
      <c r="D534" s="10"/>
      <c r="E534" s="10"/>
      <c r="F534" s="10" t="s">
        <v>474</v>
      </c>
      <c r="G534" s="37">
        <v>20</v>
      </c>
      <c r="H534" s="37">
        <v>0</v>
      </c>
      <c r="I534" s="37">
        <f>G534*AO534</f>
        <v>0</v>
      </c>
      <c r="J534" s="37">
        <f>G534*AP534</f>
        <v>0</v>
      </c>
      <c r="K534" s="37">
        <f>G534*H534</f>
        <v>0</v>
      </c>
      <c r="L534" s="38" t="s">
        <v>54</v>
      </c>
      <c r="Z534" s="37">
        <f>IF(AQ534="5",BJ534,0)</f>
        <v>0</v>
      </c>
      <c r="AB534" s="37">
        <f>IF(AQ534="1",BH534,0)</f>
        <v>0</v>
      </c>
      <c r="AC534" s="37">
        <f>IF(AQ534="1",BI534,0)</f>
        <v>0</v>
      </c>
      <c r="AD534" s="37">
        <f>IF(AQ534="7",BH534,0)</f>
        <v>0</v>
      </c>
      <c r="AE534" s="37">
        <f>IF(AQ534="7",BI534,0)</f>
        <v>0</v>
      </c>
      <c r="AF534" s="37">
        <f>IF(AQ534="2",BH534,0)</f>
        <v>0</v>
      </c>
      <c r="AG534" s="37">
        <f>IF(AQ534="2",BI534,0)</f>
        <v>0</v>
      </c>
      <c r="AH534" s="37">
        <f>IF(AQ534="0",BJ534,0)</f>
        <v>0</v>
      </c>
      <c r="AI534" s="31"/>
      <c r="AJ534" s="37">
        <f>IF(AN534=0,K534,0)</f>
        <v>0</v>
      </c>
      <c r="AK534" s="37">
        <f>IF(AN534=15,K534,0)</f>
        <v>0</v>
      </c>
      <c r="AL534" s="37">
        <f>IF(AN534=21,K534,0)</f>
        <v>0</v>
      </c>
      <c r="AN534" s="37">
        <v>15</v>
      </c>
      <c r="AO534" s="37">
        <f>H534*0</f>
        <v>0</v>
      </c>
      <c r="AP534" s="37">
        <f>H534*(1-0)</f>
        <v>0</v>
      </c>
      <c r="AQ534" s="38" t="s">
        <v>50</v>
      </c>
      <c r="AV534" s="37">
        <f>AW534+AX534</f>
        <v>0</v>
      </c>
      <c r="AW534" s="37">
        <f>G534*AO534</f>
        <v>0</v>
      </c>
      <c r="AX534" s="37">
        <f>G534*AP534</f>
        <v>0</v>
      </c>
      <c r="AY534" s="38" t="s">
        <v>831</v>
      </c>
      <c r="AZ534" s="38" t="s">
        <v>751</v>
      </c>
      <c r="BA534" s="31" t="s">
        <v>56</v>
      </c>
      <c r="BC534" s="37">
        <f>AW534+AX534</f>
        <v>0</v>
      </c>
      <c r="BD534" s="37">
        <f>H534/(100-BE534)*100</f>
        <v>0</v>
      </c>
      <c r="BE534" s="37">
        <v>0</v>
      </c>
      <c r="BF534" s="37">
        <f>534</f>
        <v>534</v>
      </c>
      <c r="BH534" s="37">
        <f>G534*AO534</f>
        <v>0</v>
      </c>
      <c r="BI534" s="37">
        <f>G534*AP534</f>
        <v>0</v>
      </c>
      <c r="BJ534" s="37">
        <f>G534*H534</f>
        <v>0</v>
      </c>
    </row>
    <row r="535" spans="3:7" ht="12.75">
      <c r="C535" s="39" t="s">
        <v>999</v>
      </c>
      <c r="D535" s="39"/>
      <c r="E535" s="39"/>
      <c r="G535" s="40">
        <v>20</v>
      </c>
    </row>
    <row r="536" spans="1:62" ht="12.75">
      <c r="A536" s="10" t="s">
        <v>1000</v>
      </c>
      <c r="B536" s="10" t="s">
        <v>1001</v>
      </c>
      <c r="C536" s="10" t="s">
        <v>1002</v>
      </c>
      <c r="D536" s="10"/>
      <c r="E536" s="10"/>
      <c r="F536" s="10" t="s">
        <v>53</v>
      </c>
      <c r="G536" s="37">
        <v>1</v>
      </c>
      <c r="H536" s="37">
        <v>0</v>
      </c>
      <c r="I536" s="37">
        <f>G536*AO536</f>
        <v>0</v>
      </c>
      <c r="J536" s="37">
        <f>G536*AP536</f>
        <v>0</v>
      </c>
      <c r="K536" s="37">
        <f>G536*H536</f>
        <v>0</v>
      </c>
      <c r="L536" s="38" t="s">
        <v>54</v>
      </c>
      <c r="Z536" s="37">
        <f>IF(AQ536="5",BJ536,0)</f>
        <v>0</v>
      </c>
      <c r="AB536" s="37">
        <f>IF(AQ536="1",BH536,0)</f>
        <v>0</v>
      </c>
      <c r="AC536" s="37">
        <f>IF(AQ536="1",BI536,0)</f>
        <v>0</v>
      </c>
      <c r="AD536" s="37">
        <f>IF(AQ536="7",BH536,0)</f>
        <v>0</v>
      </c>
      <c r="AE536" s="37">
        <f>IF(AQ536="7",BI536,0)</f>
        <v>0</v>
      </c>
      <c r="AF536" s="37">
        <f>IF(AQ536="2",BH536,0)</f>
        <v>0</v>
      </c>
      <c r="AG536" s="37">
        <f>IF(AQ536="2",BI536,0)</f>
        <v>0</v>
      </c>
      <c r="AH536" s="37">
        <f>IF(AQ536="0",BJ536,0)</f>
        <v>0</v>
      </c>
      <c r="AI536" s="31"/>
      <c r="AJ536" s="37">
        <f>IF(AN536=0,K536,0)</f>
        <v>0</v>
      </c>
      <c r="AK536" s="37">
        <f>IF(AN536=15,K536,0)</f>
        <v>0</v>
      </c>
      <c r="AL536" s="37">
        <f>IF(AN536=21,K536,0)</f>
        <v>0</v>
      </c>
      <c r="AN536" s="37">
        <v>15</v>
      </c>
      <c r="AO536" s="37">
        <f>H536*0.0123808333333333</f>
        <v>0</v>
      </c>
      <c r="AP536" s="37">
        <f>H536*(1-0.0123808333333333)</f>
        <v>0</v>
      </c>
      <c r="AQ536" s="38" t="s">
        <v>50</v>
      </c>
      <c r="AV536" s="37">
        <f>AW536+AX536</f>
        <v>0</v>
      </c>
      <c r="AW536" s="37">
        <f>G536*AO536</f>
        <v>0</v>
      </c>
      <c r="AX536" s="37">
        <f>G536*AP536</f>
        <v>0</v>
      </c>
      <c r="AY536" s="38" t="s">
        <v>831</v>
      </c>
      <c r="AZ536" s="38" t="s">
        <v>751</v>
      </c>
      <c r="BA536" s="31" t="s">
        <v>56</v>
      </c>
      <c r="BC536" s="37">
        <f>AW536+AX536</f>
        <v>0</v>
      </c>
      <c r="BD536" s="37">
        <f>H536/(100-BE536)*100</f>
        <v>0</v>
      </c>
      <c r="BE536" s="37">
        <v>0</v>
      </c>
      <c r="BF536" s="37">
        <f>536</f>
        <v>536</v>
      </c>
      <c r="BH536" s="37">
        <f>G536*AO536</f>
        <v>0</v>
      </c>
      <c r="BI536" s="37">
        <f>G536*AP536</f>
        <v>0</v>
      </c>
      <c r="BJ536" s="37">
        <f>G536*H536</f>
        <v>0</v>
      </c>
    </row>
    <row r="537" spans="1:12" ht="12.75">
      <c r="A537" s="43"/>
      <c r="B537" s="43"/>
      <c r="C537" s="44" t="s">
        <v>1003</v>
      </c>
      <c r="D537" s="44"/>
      <c r="E537" s="44"/>
      <c r="F537" s="43"/>
      <c r="G537" s="45">
        <v>1</v>
      </c>
      <c r="H537" s="43"/>
      <c r="I537" s="43"/>
      <c r="J537" s="43"/>
      <c r="K537" s="43"/>
      <c r="L537" s="43"/>
    </row>
    <row r="538" spans="1:12" ht="12.75">
      <c r="A538" s="46"/>
      <c r="B538" s="46"/>
      <c r="C538" s="46"/>
      <c r="D538" s="46"/>
      <c r="E538" s="46"/>
      <c r="F538" s="46"/>
      <c r="G538" s="46"/>
      <c r="H538" s="46"/>
      <c r="I538" s="47" t="s">
        <v>1004</v>
      </c>
      <c r="J538" s="47"/>
      <c r="K538" s="48">
        <f>K12+K27+K30+K33+K38+K41+K44+K47+K50+K55+K58+K134+K159+K170+K188+K200+K209+K258+K268+K322+K359+K385+K393+K396+K414+K432+K435</f>
        <v>0</v>
      </c>
      <c r="L538" s="46"/>
    </row>
    <row r="539" ht="11.25" customHeight="1">
      <c r="A539" s="49" t="s">
        <v>1005</v>
      </c>
    </row>
    <row r="540" spans="1:12" ht="12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</row>
  </sheetData>
  <sheetProtection selectLockedCells="1" selectUnlockedCells="1"/>
  <mergeCells count="556">
    <mergeCell ref="A1:L1"/>
    <mergeCell ref="A2:B3"/>
    <mergeCell ref="C2:C3"/>
    <mergeCell ref="D2:E3"/>
    <mergeCell ref="F2:G3"/>
    <mergeCell ref="H2:H3"/>
    <mergeCell ref="I2:L3"/>
    <mergeCell ref="A4:B5"/>
    <mergeCell ref="C4:C5"/>
    <mergeCell ref="D4:E5"/>
    <mergeCell ref="F4:G5"/>
    <mergeCell ref="H4:H5"/>
    <mergeCell ref="I4:L5"/>
    <mergeCell ref="A6:B7"/>
    <mergeCell ref="C6:C7"/>
    <mergeCell ref="D6:E7"/>
    <mergeCell ref="F6:G7"/>
    <mergeCell ref="H6:H7"/>
    <mergeCell ref="I6:L7"/>
    <mergeCell ref="A8:B9"/>
    <mergeCell ref="C8:C9"/>
    <mergeCell ref="D8:E9"/>
    <mergeCell ref="F8:G9"/>
    <mergeCell ref="H8:H9"/>
    <mergeCell ref="I8:L9"/>
    <mergeCell ref="C10:E10"/>
    <mergeCell ref="I10:K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216:E216"/>
    <mergeCell ref="C217:E217"/>
    <mergeCell ref="C218:E218"/>
    <mergeCell ref="C219:E219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C252:E252"/>
    <mergeCell ref="C253:E253"/>
    <mergeCell ref="C254:E254"/>
    <mergeCell ref="C255:E255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C264:E264"/>
    <mergeCell ref="C265:E265"/>
    <mergeCell ref="C266:E266"/>
    <mergeCell ref="C267:E267"/>
    <mergeCell ref="C268:E268"/>
    <mergeCell ref="C269:E269"/>
    <mergeCell ref="C270:E270"/>
    <mergeCell ref="C271:E271"/>
    <mergeCell ref="C272:E272"/>
    <mergeCell ref="C273:E273"/>
    <mergeCell ref="C274:E274"/>
    <mergeCell ref="C275:E275"/>
    <mergeCell ref="C276:E276"/>
    <mergeCell ref="C277:E277"/>
    <mergeCell ref="C278:E278"/>
    <mergeCell ref="C279:E279"/>
    <mergeCell ref="C280:E280"/>
    <mergeCell ref="C281:E281"/>
    <mergeCell ref="C282:E282"/>
    <mergeCell ref="C283:E283"/>
    <mergeCell ref="C284:E284"/>
    <mergeCell ref="C285:E285"/>
    <mergeCell ref="C286:E286"/>
    <mergeCell ref="C287:E287"/>
    <mergeCell ref="C288:E288"/>
    <mergeCell ref="C289:E289"/>
    <mergeCell ref="C290:E290"/>
    <mergeCell ref="C291:E291"/>
    <mergeCell ref="C292:E292"/>
    <mergeCell ref="C293:E293"/>
    <mergeCell ref="C294:E294"/>
    <mergeCell ref="C295:E295"/>
    <mergeCell ref="C296:E296"/>
    <mergeCell ref="C297:E297"/>
    <mergeCell ref="C298:E298"/>
    <mergeCell ref="C299:E299"/>
    <mergeCell ref="C300:E300"/>
    <mergeCell ref="C301:E301"/>
    <mergeCell ref="C302:E302"/>
    <mergeCell ref="C303:E303"/>
    <mergeCell ref="C304:E304"/>
    <mergeCell ref="C305:E305"/>
    <mergeCell ref="C306:E306"/>
    <mergeCell ref="C307:E307"/>
    <mergeCell ref="C308:E308"/>
    <mergeCell ref="C309:E309"/>
    <mergeCell ref="C310:E310"/>
    <mergeCell ref="C311:E311"/>
    <mergeCell ref="C312:E312"/>
    <mergeCell ref="C313:E313"/>
    <mergeCell ref="C314:E314"/>
    <mergeCell ref="C315:E315"/>
    <mergeCell ref="C316:E316"/>
    <mergeCell ref="C317:E317"/>
    <mergeCell ref="C318:E318"/>
    <mergeCell ref="C319:E319"/>
    <mergeCell ref="C320:E320"/>
    <mergeCell ref="C321:E321"/>
    <mergeCell ref="C322:E322"/>
    <mergeCell ref="C323:E323"/>
    <mergeCell ref="C324:E324"/>
    <mergeCell ref="C325:E325"/>
    <mergeCell ref="C326:E326"/>
    <mergeCell ref="C327:E327"/>
    <mergeCell ref="C328:E328"/>
    <mergeCell ref="C329:E329"/>
    <mergeCell ref="C330:E330"/>
    <mergeCell ref="C331:E331"/>
    <mergeCell ref="C332:E332"/>
    <mergeCell ref="C333:E333"/>
    <mergeCell ref="C334:E334"/>
    <mergeCell ref="C335:E335"/>
    <mergeCell ref="C336:E336"/>
    <mergeCell ref="C337:E337"/>
    <mergeCell ref="C338:E338"/>
    <mergeCell ref="C339:E339"/>
    <mergeCell ref="C340:E340"/>
    <mergeCell ref="C341:E341"/>
    <mergeCell ref="C342:E342"/>
    <mergeCell ref="C343:E343"/>
    <mergeCell ref="C344:E344"/>
    <mergeCell ref="C345:E345"/>
    <mergeCell ref="C346:E346"/>
    <mergeCell ref="C347:E347"/>
    <mergeCell ref="C348:E348"/>
    <mergeCell ref="C349:E349"/>
    <mergeCell ref="C350:E350"/>
    <mergeCell ref="C351:E351"/>
    <mergeCell ref="C352:E352"/>
    <mergeCell ref="C353:E353"/>
    <mergeCell ref="C354:E354"/>
    <mergeCell ref="C355:E355"/>
    <mergeCell ref="C356:E356"/>
    <mergeCell ref="C357:E357"/>
    <mergeCell ref="C358:E358"/>
    <mergeCell ref="C359:E359"/>
    <mergeCell ref="C360:E360"/>
    <mergeCell ref="C361:E361"/>
    <mergeCell ref="C362:E362"/>
    <mergeCell ref="C363:E363"/>
    <mergeCell ref="C364:E364"/>
    <mergeCell ref="C365:E365"/>
    <mergeCell ref="C366:E366"/>
    <mergeCell ref="C367:E367"/>
    <mergeCell ref="C368:E368"/>
    <mergeCell ref="C369:E369"/>
    <mergeCell ref="C370:E370"/>
    <mergeCell ref="C371:E371"/>
    <mergeCell ref="C372:E372"/>
    <mergeCell ref="C373:E373"/>
    <mergeCell ref="C374:E374"/>
    <mergeCell ref="C375:E375"/>
    <mergeCell ref="C376:E376"/>
    <mergeCell ref="C377:E377"/>
    <mergeCell ref="C378:E378"/>
    <mergeCell ref="C379:E379"/>
    <mergeCell ref="C380:E380"/>
    <mergeCell ref="C381:E381"/>
    <mergeCell ref="C382:E382"/>
    <mergeCell ref="C383:E383"/>
    <mergeCell ref="C384:E384"/>
    <mergeCell ref="C385:E385"/>
    <mergeCell ref="C386:E386"/>
    <mergeCell ref="C387:E387"/>
    <mergeCell ref="C388:E388"/>
    <mergeCell ref="C389:E389"/>
    <mergeCell ref="C390:E390"/>
    <mergeCell ref="C391:E391"/>
    <mergeCell ref="C392:E392"/>
    <mergeCell ref="C393:E393"/>
    <mergeCell ref="C394:E394"/>
    <mergeCell ref="C395:E395"/>
    <mergeCell ref="C396:E396"/>
    <mergeCell ref="C397:E397"/>
    <mergeCell ref="C398:E398"/>
    <mergeCell ref="C399:E399"/>
    <mergeCell ref="C400:E400"/>
    <mergeCell ref="C401:E401"/>
    <mergeCell ref="C402:E402"/>
    <mergeCell ref="C403:E403"/>
    <mergeCell ref="C404:E404"/>
    <mergeCell ref="C405:E405"/>
    <mergeCell ref="C406:E406"/>
    <mergeCell ref="C407:E407"/>
    <mergeCell ref="C408:E408"/>
    <mergeCell ref="C409:E409"/>
    <mergeCell ref="C410:E410"/>
    <mergeCell ref="C411:E411"/>
    <mergeCell ref="C412:E412"/>
    <mergeCell ref="C413:E413"/>
    <mergeCell ref="C414:E414"/>
    <mergeCell ref="C415:E415"/>
    <mergeCell ref="C416:E416"/>
    <mergeCell ref="C417:E417"/>
    <mergeCell ref="C418:E418"/>
    <mergeCell ref="C419:E419"/>
    <mergeCell ref="C420:E420"/>
    <mergeCell ref="C421:E421"/>
    <mergeCell ref="C422:E422"/>
    <mergeCell ref="C423:E423"/>
    <mergeCell ref="C424:E424"/>
    <mergeCell ref="C425:E425"/>
    <mergeCell ref="C426:E426"/>
    <mergeCell ref="C427:E427"/>
    <mergeCell ref="C428:E428"/>
    <mergeCell ref="C429:E429"/>
    <mergeCell ref="C430:E430"/>
    <mergeCell ref="C431:E431"/>
    <mergeCell ref="C432:E432"/>
    <mergeCell ref="C433:E433"/>
    <mergeCell ref="C434:E434"/>
    <mergeCell ref="C435:E435"/>
    <mergeCell ref="C436:E436"/>
    <mergeCell ref="C437:E437"/>
    <mergeCell ref="C438:E438"/>
    <mergeCell ref="C439:E439"/>
    <mergeCell ref="C440:E440"/>
    <mergeCell ref="C441:E441"/>
    <mergeCell ref="C442:E442"/>
    <mergeCell ref="C443:E443"/>
    <mergeCell ref="C444:E444"/>
    <mergeCell ref="C445:E445"/>
    <mergeCell ref="C446:E446"/>
    <mergeCell ref="C447:E447"/>
    <mergeCell ref="C448:E448"/>
    <mergeCell ref="C449:E449"/>
    <mergeCell ref="C450:E450"/>
    <mergeCell ref="C451:E451"/>
    <mergeCell ref="C452:E452"/>
    <mergeCell ref="C453:E453"/>
    <mergeCell ref="C454:E454"/>
    <mergeCell ref="C455:E455"/>
    <mergeCell ref="C456:E456"/>
    <mergeCell ref="C457:E457"/>
    <mergeCell ref="C458:E458"/>
    <mergeCell ref="C459:E459"/>
    <mergeCell ref="C460:E460"/>
    <mergeCell ref="C461:E461"/>
    <mergeCell ref="C462:E462"/>
    <mergeCell ref="C463:E463"/>
    <mergeCell ref="C464:E464"/>
    <mergeCell ref="C465:E465"/>
    <mergeCell ref="C466:E466"/>
    <mergeCell ref="C467:E467"/>
    <mergeCell ref="C468:E468"/>
    <mergeCell ref="C469:E469"/>
    <mergeCell ref="C470:E470"/>
    <mergeCell ref="C471:E471"/>
    <mergeCell ref="C472:E472"/>
    <mergeCell ref="C473:E473"/>
    <mergeCell ref="C474:E474"/>
    <mergeCell ref="C475:E475"/>
    <mergeCell ref="C476:E476"/>
    <mergeCell ref="C477:E477"/>
    <mergeCell ref="C478:E478"/>
    <mergeCell ref="C479:E479"/>
    <mergeCell ref="C480:E480"/>
    <mergeCell ref="C481:E481"/>
    <mergeCell ref="C482:E482"/>
    <mergeCell ref="C483:E483"/>
    <mergeCell ref="C484:E484"/>
    <mergeCell ref="C485:E485"/>
    <mergeCell ref="C486:E486"/>
    <mergeCell ref="C487:E487"/>
    <mergeCell ref="C488:E488"/>
    <mergeCell ref="C489:E489"/>
    <mergeCell ref="C490:E490"/>
    <mergeCell ref="C491:E491"/>
    <mergeCell ref="C492:E492"/>
    <mergeCell ref="C493:E493"/>
    <mergeCell ref="C494:E494"/>
    <mergeCell ref="C495:E495"/>
    <mergeCell ref="C496:E496"/>
    <mergeCell ref="C497:E497"/>
    <mergeCell ref="C498:E498"/>
    <mergeCell ref="C499:E499"/>
    <mergeCell ref="C500:E500"/>
    <mergeCell ref="C501:E501"/>
    <mergeCell ref="C502:E502"/>
    <mergeCell ref="C503:E503"/>
    <mergeCell ref="C504:E504"/>
    <mergeCell ref="C505:E505"/>
    <mergeCell ref="C506:E506"/>
    <mergeCell ref="C507:E507"/>
    <mergeCell ref="C508:E508"/>
    <mergeCell ref="C509:E509"/>
    <mergeCell ref="C510:E510"/>
    <mergeCell ref="C511:E511"/>
    <mergeCell ref="C512:E512"/>
    <mergeCell ref="C513:E513"/>
    <mergeCell ref="C514:E514"/>
    <mergeCell ref="C515:E515"/>
    <mergeCell ref="C516:E516"/>
    <mergeCell ref="C517:E517"/>
    <mergeCell ref="C518:E518"/>
    <mergeCell ref="C519:E519"/>
    <mergeCell ref="C520:E520"/>
    <mergeCell ref="C521:E521"/>
    <mergeCell ref="C522:E522"/>
    <mergeCell ref="C523:E523"/>
    <mergeCell ref="C524:E524"/>
    <mergeCell ref="C525:E525"/>
    <mergeCell ref="C526:E526"/>
    <mergeCell ref="C527:E527"/>
    <mergeCell ref="C528:E528"/>
    <mergeCell ref="C529:E529"/>
    <mergeCell ref="C530:E530"/>
    <mergeCell ref="C531:E531"/>
    <mergeCell ref="C532:E532"/>
    <mergeCell ref="C533:E533"/>
    <mergeCell ref="C534:E534"/>
    <mergeCell ref="C535:E535"/>
    <mergeCell ref="C536:E536"/>
    <mergeCell ref="C537:E537"/>
    <mergeCell ref="I538:J538"/>
    <mergeCell ref="A540:L540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="110" zoomScaleNormal="11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10.28125" defaultRowHeight="12.75"/>
  <cols>
    <col min="1" max="1" width="16.57421875" style="0" customWidth="1"/>
    <col min="2" max="2" width="41.7109375" style="0" customWidth="1"/>
    <col min="3" max="3" width="11.57421875" style="0" customWidth="1"/>
    <col min="4" max="4" width="22.140625" style="0" customWidth="1"/>
    <col min="5" max="5" width="21.00390625" style="0" customWidth="1"/>
    <col min="6" max="6" width="20.8515625" style="0" customWidth="1"/>
    <col min="7" max="8" width="11.57421875" style="0" hidden="1" customWidth="1"/>
    <col min="9" max="16384" width="11.57421875" style="0" customWidth="1"/>
  </cols>
  <sheetData>
    <row r="1" spans="1:6" ht="72.75" customHeight="1">
      <c r="A1" s="1" t="s">
        <v>1006</v>
      </c>
      <c r="B1" s="1"/>
      <c r="C1" s="1"/>
      <c r="D1" s="1"/>
      <c r="E1" s="1"/>
      <c r="F1" s="1"/>
    </row>
    <row r="2" spans="1:7" ht="12.75" customHeight="1">
      <c r="A2" s="2" t="s">
        <v>1</v>
      </c>
      <c r="B2" s="3">
        <f>'Stavební rozpočet'!C2</f>
        <v>0</v>
      </c>
      <c r="C2" s="3"/>
      <c r="D2" s="5" t="s">
        <v>5</v>
      </c>
      <c r="E2" s="6">
        <f>'Stavební rozpočet'!I2</f>
        <v>0</v>
      </c>
      <c r="F2" s="6"/>
      <c r="G2" s="7"/>
    </row>
    <row r="3" spans="1:7" ht="12.75">
      <c r="A3" s="2"/>
      <c r="B3" s="3"/>
      <c r="C3" s="3"/>
      <c r="D3" s="5"/>
      <c r="E3" s="5"/>
      <c r="F3" s="6"/>
      <c r="G3" s="7"/>
    </row>
    <row r="4" spans="1:7" ht="12.75" customHeight="1">
      <c r="A4" s="8" t="s">
        <v>7</v>
      </c>
      <c r="B4" s="9">
        <f>'Stavební rozpočet'!C4</f>
        <v>0</v>
      </c>
      <c r="C4" s="9"/>
      <c r="D4" s="9" t="s">
        <v>10</v>
      </c>
      <c r="E4" s="11">
        <f>'Stavební rozpočet'!I4</f>
        <v>0</v>
      </c>
      <c r="F4" s="11"/>
      <c r="G4" s="7"/>
    </row>
    <row r="5" spans="1:7" ht="12.75">
      <c r="A5" s="8"/>
      <c r="B5" s="9"/>
      <c r="C5" s="9"/>
      <c r="D5" s="9"/>
      <c r="E5" s="9"/>
      <c r="F5" s="11"/>
      <c r="G5" s="7"/>
    </row>
    <row r="6" spans="1:7" ht="12.75" customHeight="1">
      <c r="A6" s="8" t="s">
        <v>12</v>
      </c>
      <c r="B6" s="9">
        <f>'Stavební rozpočet'!C6</f>
        <v>0</v>
      </c>
      <c r="C6" s="9"/>
      <c r="D6" s="9" t="s">
        <v>15</v>
      </c>
      <c r="E6" s="11">
        <f>'Stavební rozpočet'!I6</f>
        <v>0</v>
      </c>
      <c r="F6" s="11"/>
      <c r="G6" s="7"/>
    </row>
    <row r="7" spans="1:7" ht="12.75">
      <c r="A7" s="8"/>
      <c r="B7" s="9"/>
      <c r="C7" s="9"/>
      <c r="D7" s="9"/>
      <c r="E7" s="9"/>
      <c r="F7" s="11"/>
      <c r="G7" s="7"/>
    </row>
    <row r="8" spans="1:7" ht="12.75" customHeight="1">
      <c r="A8" s="12" t="s">
        <v>20</v>
      </c>
      <c r="B8" s="13">
        <f>'Stavební rozpočet'!I8</f>
        <v>0</v>
      </c>
      <c r="C8" s="13"/>
      <c r="D8" s="14" t="s">
        <v>18</v>
      </c>
      <c r="E8" s="15">
        <f>'Stavební rozpočet'!F8</f>
        <v>0</v>
      </c>
      <c r="F8" s="15"/>
      <c r="G8" s="7"/>
    </row>
    <row r="9" spans="1:7" ht="12.75">
      <c r="A9" s="12"/>
      <c r="B9" s="13"/>
      <c r="C9" s="13"/>
      <c r="D9" s="14"/>
      <c r="E9" s="14"/>
      <c r="F9" s="15"/>
      <c r="G9" s="7"/>
    </row>
    <row r="10" spans="1:7" ht="12.75">
      <c r="A10" s="50" t="s">
        <v>23</v>
      </c>
      <c r="B10" s="51" t="s">
        <v>24</v>
      </c>
      <c r="C10" s="51"/>
      <c r="D10" s="52" t="s">
        <v>1007</v>
      </c>
      <c r="E10" s="52" t="s">
        <v>1008</v>
      </c>
      <c r="F10" s="52" t="s">
        <v>1009</v>
      </c>
      <c r="G10" s="7"/>
    </row>
    <row r="11" spans="1:8" ht="12.75">
      <c r="A11" s="53" t="s">
        <v>48</v>
      </c>
      <c r="B11" s="53" t="s">
        <v>49</v>
      </c>
      <c r="C11" s="53"/>
      <c r="D11" s="54">
        <f>'Stavební rozpočet'!I12</f>
        <v>0</v>
      </c>
      <c r="E11" s="54">
        <f>'Stavební rozpočet'!J12</f>
        <v>0</v>
      </c>
      <c r="F11" s="54">
        <f>'Stavební rozpočet'!K12</f>
        <v>0</v>
      </c>
      <c r="G11" s="37" t="s">
        <v>1010</v>
      </c>
      <c r="H11" s="37">
        <f aca="true" t="shared" si="0" ref="H11:H37">IF(G11="F",0,F11)</f>
        <v>0</v>
      </c>
    </row>
    <row r="12" spans="1:8" ht="12.75">
      <c r="A12" s="10" t="s">
        <v>78</v>
      </c>
      <c r="B12" s="10" t="s">
        <v>79</v>
      </c>
      <c r="C12" s="10"/>
      <c r="D12" s="37">
        <f>'Stavební rozpočet'!I27</f>
        <v>0</v>
      </c>
      <c r="E12" s="37">
        <f>'Stavební rozpočet'!J27</f>
        <v>0</v>
      </c>
      <c r="F12" s="37">
        <f>'Stavební rozpočet'!K27</f>
        <v>0</v>
      </c>
      <c r="G12" s="37" t="s">
        <v>1010</v>
      </c>
      <c r="H12" s="37">
        <f t="shared" si="0"/>
        <v>0</v>
      </c>
    </row>
    <row r="13" spans="1:8" ht="12.75">
      <c r="A13" s="10" t="s">
        <v>87</v>
      </c>
      <c r="B13" s="10" t="s">
        <v>88</v>
      </c>
      <c r="C13" s="10"/>
      <c r="D13" s="37">
        <f>'Stavební rozpočet'!I30</f>
        <v>0</v>
      </c>
      <c r="E13" s="37">
        <f>'Stavební rozpočet'!J30</f>
        <v>0</v>
      </c>
      <c r="F13" s="37">
        <f>'Stavební rozpočet'!K30</f>
        <v>0</v>
      </c>
      <c r="G13" s="37" t="s">
        <v>1010</v>
      </c>
      <c r="H13" s="37">
        <f t="shared" si="0"/>
        <v>0</v>
      </c>
    </row>
    <row r="14" spans="1:8" ht="12.75">
      <c r="A14" s="10" t="s">
        <v>94</v>
      </c>
      <c r="B14" s="10" t="s">
        <v>95</v>
      </c>
      <c r="C14" s="10"/>
      <c r="D14" s="37">
        <f>'Stavební rozpočet'!I33</f>
        <v>0</v>
      </c>
      <c r="E14" s="37">
        <f>'Stavební rozpočet'!J33</f>
        <v>0</v>
      </c>
      <c r="F14" s="37">
        <f>'Stavební rozpočet'!K33</f>
        <v>0</v>
      </c>
      <c r="G14" s="37" t="s">
        <v>1010</v>
      </c>
      <c r="H14" s="37">
        <f t="shared" si="0"/>
        <v>0</v>
      </c>
    </row>
    <row r="15" spans="1:8" ht="12.75">
      <c r="A15" s="10" t="s">
        <v>106</v>
      </c>
      <c r="B15" s="10" t="s">
        <v>107</v>
      </c>
      <c r="C15" s="10"/>
      <c r="D15" s="37">
        <f>'Stavební rozpočet'!I38</f>
        <v>0</v>
      </c>
      <c r="E15" s="37">
        <f>'Stavební rozpočet'!J38</f>
        <v>0</v>
      </c>
      <c r="F15" s="37">
        <f>'Stavební rozpočet'!K38</f>
        <v>0</v>
      </c>
      <c r="G15" s="37" t="s">
        <v>1010</v>
      </c>
      <c r="H15" s="37">
        <f t="shared" si="0"/>
        <v>0</v>
      </c>
    </row>
    <row r="16" spans="1:8" ht="12.75">
      <c r="A16" s="10" t="s">
        <v>113</v>
      </c>
      <c r="B16" s="10" t="s">
        <v>114</v>
      </c>
      <c r="C16" s="10"/>
      <c r="D16" s="37">
        <f>'Stavební rozpočet'!I41</f>
        <v>0</v>
      </c>
      <c r="E16" s="37">
        <f>'Stavební rozpočet'!J41</f>
        <v>0</v>
      </c>
      <c r="F16" s="37">
        <f>'Stavební rozpočet'!K41</f>
        <v>0</v>
      </c>
      <c r="G16" s="37" t="s">
        <v>1010</v>
      </c>
      <c r="H16" s="37">
        <f t="shared" si="0"/>
        <v>0</v>
      </c>
    </row>
    <row r="17" spans="1:8" ht="12.75">
      <c r="A17" s="10" t="s">
        <v>120</v>
      </c>
      <c r="B17" s="10" t="s">
        <v>121</v>
      </c>
      <c r="C17" s="10"/>
      <c r="D17" s="37">
        <f>'Stavební rozpočet'!I44</f>
        <v>0</v>
      </c>
      <c r="E17" s="37">
        <f>'Stavební rozpočet'!J44</f>
        <v>0</v>
      </c>
      <c r="F17" s="37">
        <f>'Stavební rozpočet'!K44</f>
        <v>0</v>
      </c>
      <c r="G17" s="37" t="s">
        <v>1010</v>
      </c>
      <c r="H17" s="37">
        <f t="shared" si="0"/>
        <v>0</v>
      </c>
    </row>
    <row r="18" spans="1:8" ht="12.75">
      <c r="A18" s="10" t="s">
        <v>127</v>
      </c>
      <c r="B18" s="10" t="s">
        <v>128</v>
      </c>
      <c r="C18" s="10"/>
      <c r="D18" s="37">
        <f>'Stavební rozpočet'!I47</f>
        <v>0</v>
      </c>
      <c r="E18" s="37">
        <f>'Stavební rozpočet'!J47</f>
        <v>0</v>
      </c>
      <c r="F18" s="37">
        <f>'Stavební rozpočet'!K47</f>
        <v>0</v>
      </c>
      <c r="G18" s="37" t="s">
        <v>1010</v>
      </c>
      <c r="H18" s="37">
        <f t="shared" si="0"/>
        <v>0</v>
      </c>
    </row>
    <row r="19" spans="1:8" ht="12.75">
      <c r="A19" s="10" t="s">
        <v>135</v>
      </c>
      <c r="B19" s="10" t="s">
        <v>136</v>
      </c>
      <c r="C19" s="10"/>
      <c r="D19" s="37">
        <f>'Stavební rozpočet'!I50</f>
        <v>0</v>
      </c>
      <c r="E19" s="37">
        <f>'Stavební rozpočet'!J50</f>
        <v>0</v>
      </c>
      <c r="F19" s="37">
        <f>'Stavební rozpočet'!K50</f>
        <v>0</v>
      </c>
      <c r="G19" s="37" t="s">
        <v>1010</v>
      </c>
      <c r="H19" s="37">
        <f t="shared" si="0"/>
        <v>0</v>
      </c>
    </row>
    <row r="20" spans="1:8" ht="12.75">
      <c r="A20" s="10" t="s">
        <v>147</v>
      </c>
      <c r="B20" s="10" t="s">
        <v>148</v>
      </c>
      <c r="C20" s="10"/>
      <c r="D20" s="37">
        <f>'Stavební rozpočet'!I55</f>
        <v>0</v>
      </c>
      <c r="E20" s="37">
        <f>'Stavební rozpočet'!J55</f>
        <v>0</v>
      </c>
      <c r="F20" s="37">
        <f>'Stavební rozpočet'!K55</f>
        <v>0</v>
      </c>
      <c r="G20" s="37" t="s">
        <v>1010</v>
      </c>
      <c r="H20" s="37">
        <f t="shared" si="0"/>
        <v>0</v>
      </c>
    </row>
    <row r="21" spans="1:8" ht="12.75">
      <c r="A21" s="10" t="s">
        <v>154</v>
      </c>
      <c r="B21" s="10" t="s">
        <v>155</v>
      </c>
      <c r="C21" s="10"/>
      <c r="D21" s="37">
        <f>'Stavební rozpočet'!I58</f>
        <v>0</v>
      </c>
      <c r="E21" s="37">
        <f>'Stavební rozpočet'!J58</f>
        <v>0</v>
      </c>
      <c r="F21" s="37">
        <f>'Stavební rozpočet'!K58</f>
        <v>0</v>
      </c>
      <c r="G21" s="37" t="s">
        <v>1010</v>
      </c>
      <c r="H21" s="37">
        <f t="shared" si="0"/>
        <v>0</v>
      </c>
    </row>
    <row r="22" spans="1:8" ht="12.75">
      <c r="A22" s="10" t="s">
        <v>273</v>
      </c>
      <c r="B22" s="10" t="s">
        <v>274</v>
      </c>
      <c r="C22" s="10"/>
      <c r="D22" s="37">
        <f>'Stavební rozpočet'!I134</f>
        <v>0</v>
      </c>
      <c r="E22" s="37">
        <f>'Stavební rozpočet'!J134</f>
        <v>0</v>
      </c>
      <c r="F22" s="37">
        <f>'Stavební rozpočet'!K134</f>
        <v>0</v>
      </c>
      <c r="G22" s="37" t="s">
        <v>1010</v>
      </c>
      <c r="H22" s="37">
        <f t="shared" si="0"/>
        <v>0</v>
      </c>
    </row>
    <row r="23" spans="1:8" ht="12.75">
      <c r="A23" s="10" t="s">
        <v>318</v>
      </c>
      <c r="B23" s="10" t="s">
        <v>319</v>
      </c>
      <c r="C23" s="10"/>
      <c r="D23" s="37">
        <f>'Stavební rozpočet'!I159</f>
        <v>0</v>
      </c>
      <c r="E23" s="37">
        <f>'Stavební rozpočet'!J159</f>
        <v>0</v>
      </c>
      <c r="F23" s="37">
        <f>'Stavební rozpočet'!K159</f>
        <v>0</v>
      </c>
      <c r="G23" s="37" t="s">
        <v>1010</v>
      </c>
      <c r="H23" s="37">
        <f t="shared" si="0"/>
        <v>0</v>
      </c>
    </row>
    <row r="24" spans="1:8" ht="12.75">
      <c r="A24" s="10" t="s">
        <v>342</v>
      </c>
      <c r="B24" s="10" t="s">
        <v>343</v>
      </c>
      <c r="C24" s="10"/>
      <c r="D24" s="37">
        <f>'Stavební rozpočet'!I170</f>
        <v>0</v>
      </c>
      <c r="E24" s="37">
        <f>'Stavební rozpočet'!J170</f>
        <v>0</v>
      </c>
      <c r="F24" s="37">
        <f>'Stavební rozpočet'!K170</f>
        <v>0</v>
      </c>
      <c r="G24" s="37" t="s">
        <v>1010</v>
      </c>
      <c r="H24" s="37">
        <f t="shared" si="0"/>
        <v>0</v>
      </c>
    </row>
    <row r="25" spans="1:8" ht="12.75">
      <c r="A25" s="10" t="s">
        <v>370</v>
      </c>
      <c r="B25" s="10" t="s">
        <v>371</v>
      </c>
      <c r="C25" s="10"/>
      <c r="D25" s="37">
        <f>'Stavební rozpočet'!I188</f>
        <v>0</v>
      </c>
      <c r="E25" s="37">
        <f>'Stavební rozpočet'!J188</f>
        <v>0</v>
      </c>
      <c r="F25" s="37">
        <f>'Stavební rozpočet'!K188</f>
        <v>0</v>
      </c>
      <c r="G25" s="37" t="s">
        <v>1010</v>
      </c>
      <c r="H25" s="37">
        <f t="shared" si="0"/>
        <v>0</v>
      </c>
    </row>
    <row r="26" spans="1:8" ht="12.75">
      <c r="A26" s="10" t="s">
        <v>392</v>
      </c>
      <c r="B26" s="10" t="s">
        <v>393</v>
      </c>
      <c r="C26" s="10"/>
      <c r="D26" s="37">
        <f>'Stavební rozpočet'!I200</f>
        <v>0</v>
      </c>
      <c r="E26" s="37">
        <f>'Stavební rozpočet'!J200</f>
        <v>0</v>
      </c>
      <c r="F26" s="37">
        <f>'Stavební rozpočet'!K200</f>
        <v>0</v>
      </c>
      <c r="G26" s="37" t="s">
        <v>1010</v>
      </c>
      <c r="H26" s="37">
        <f t="shared" si="0"/>
        <v>0</v>
      </c>
    </row>
    <row r="27" spans="1:8" ht="12.75">
      <c r="A27" s="10" t="s">
        <v>411</v>
      </c>
      <c r="B27" s="10" t="s">
        <v>412</v>
      </c>
      <c r="C27" s="10"/>
      <c r="D27" s="37">
        <f>'Stavební rozpočet'!I209</f>
        <v>0</v>
      </c>
      <c r="E27" s="37">
        <f>'Stavební rozpočet'!J209</f>
        <v>0</v>
      </c>
      <c r="F27" s="37">
        <f>'Stavební rozpočet'!K209</f>
        <v>0</v>
      </c>
      <c r="G27" s="37" t="s">
        <v>1010</v>
      </c>
      <c r="H27" s="37">
        <f t="shared" si="0"/>
        <v>0</v>
      </c>
    </row>
    <row r="28" spans="1:8" ht="12.75">
      <c r="A28" s="10" t="s">
        <v>498</v>
      </c>
      <c r="B28" s="10" t="s">
        <v>499</v>
      </c>
      <c r="C28" s="10"/>
      <c r="D28" s="37">
        <f>'Stavební rozpočet'!I258</f>
        <v>0</v>
      </c>
      <c r="E28" s="37">
        <f>'Stavební rozpočet'!J258</f>
        <v>0</v>
      </c>
      <c r="F28" s="37">
        <f>'Stavební rozpočet'!K258</f>
        <v>0</v>
      </c>
      <c r="G28" s="37" t="s">
        <v>1010</v>
      </c>
      <c r="H28" s="37">
        <f t="shared" si="0"/>
        <v>0</v>
      </c>
    </row>
    <row r="29" spans="1:8" ht="12.75">
      <c r="A29" s="10" t="s">
        <v>516</v>
      </c>
      <c r="B29" s="10" t="s">
        <v>517</v>
      </c>
      <c r="C29" s="10"/>
      <c r="D29" s="37">
        <f>'Stavební rozpočet'!I268</f>
        <v>0</v>
      </c>
      <c r="E29" s="37">
        <f>'Stavební rozpočet'!J268</f>
        <v>0</v>
      </c>
      <c r="F29" s="37">
        <f>'Stavební rozpočet'!K268</f>
        <v>0</v>
      </c>
      <c r="G29" s="37" t="s">
        <v>1010</v>
      </c>
      <c r="H29" s="37">
        <f t="shared" si="0"/>
        <v>0</v>
      </c>
    </row>
    <row r="30" spans="1:8" ht="12.75">
      <c r="A30" s="10" t="s">
        <v>615</v>
      </c>
      <c r="B30" s="10" t="s">
        <v>616</v>
      </c>
      <c r="C30" s="10"/>
      <c r="D30" s="37">
        <f>'Stavební rozpočet'!I322</f>
        <v>0</v>
      </c>
      <c r="E30" s="37">
        <f>'Stavební rozpočet'!J322</f>
        <v>0</v>
      </c>
      <c r="F30" s="37">
        <f>'Stavební rozpočet'!K322</f>
        <v>0</v>
      </c>
      <c r="G30" s="37" t="s">
        <v>1010</v>
      </c>
      <c r="H30" s="37">
        <f t="shared" si="0"/>
        <v>0</v>
      </c>
    </row>
    <row r="31" spans="1:8" ht="12.75">
      <c r="A31" s="10" t="s">
        <v>684</v>
      </c>
      <c r="B31" s="10" t="s">
        <v>685</v>
      </c>
      <c r="C31" s="10"/>
      <c r="D31" s="37">
        <f>'Stavební rozpočet'!I359</f>
        <v>0</v>
      </c>
      <c r="E31" s="37">
        <f>'Stavební rozpočet'!J359</f>
        <v>0</v>
      </c>
      <c r="F31" s="37">
        <f>'Stavební rozpočet'!K359</f>
        <v>0</v>
      </c>
      <c r="G31" s="37" t="s">
        <v>1010</v>
      </c>
      <c r="H31" s="37">
        <f t="shared" si="0"/>
        <v>0</v>
      </c>
    </row>
    <row r="32" spans="1:8" ht="12.75">
      <c r="A32" s="10" t="s">
        <v>729</v>
      </c>
      <c r="B32" s="10" t="s">
        <v>730</v>
      </c>
      <c r="C32" s="10"/>
      <c r="D32" s="37">
        <f>'Stavební rozpočet'!I385</f>
        <v>0</v>
      </c>
      <c r="E32" s="37">
        <f>'Stavební rozpočet'!J385</f>
        <v>0</v>
      </c>
      <c r="F32" s="37">
        <f>'Stavební rozpočet'!K385</f>
        <v>0</v>
      </c>
      <c r="G32" s="37" t="s">
        <v>1010</v>
      </c>
      <c r="H32" s="37">
        <f t="shared" si="0"/>
        <v>0</v>
      </c>
    </row>
    <row r="33" spans="1:8" ht="12.75">
      <c r="A33" s="10" t="s">
        <v>483</v>
      </c>
      <c r="B33" s="10" t="s">
        <v>746</v>
      </c>
      <c r="C33" s="10"/>
      <c r="D33" s="37">
        <f>'Stavební rozpočet'!I393</f>
        <v>0</v>
      </c>
      <c r="E33" s="37">
        <f>'Stavební rozpočet'!J393</f>
        <v>0</v>
      </c>
      <c r="F33" s="37">
        <f>'Stavební rozpočet'!K393</f>
        <v>0</v>
      </c>
      <c r="G33" s="37" t="s">
        <v>1010</v>
      </c>
      <c r="H33" s="37">
        <f t="shared" si="0"/>
        <v>0</v>
      </c>
    </row>
    <row r="34" spans="1:8" ht="12.75">
      <c r="A34" s="10" t="s">
        <v>494</v>
      </c>
      <c r="B34" s="10" t="s">
        <v>753</v>
      </c>
      <c r="C34" s="10"/>
      <c r="D34" s="37">
        <f>'Stavební rozpočet'!I396</f>
        <v>0</v>
      </c>
      <c r="E34" s="37">
        <f>'Stavební rozpočet'!J396</f>
        <v>0</v>
      </c>
      <c r="F34" s="37">
        <f>'Stavební rozpočet'!K396</f>
        <v>0</v>
      </c>
      <c r="G34" s="37" t="s">
        <v>1010</v>
      </c>
      <c r="H34" s="37">
        <f t="shared" si="0"/>
        <v>0</v>
      </c>
    </row>
    <row r="35" spans="1:8" ht="12.75">
      <c r="A35" s="10" t="s">
        <v>500</v>
      </c>
      <c r="B35" s="10" t="s">
        <v>785</v>
      </c>
      <c r="C35" s="10"/>
      <c r="D35" s="37">
        <f>'Stavební rozpočet'!I414</f>
        <v>0</v>
      </c>
      <c r="E35" s="37">
        <f>'Stavební rozpočet'!J414</f>
        <v>0</v>
      </c>
      <c r="F35" s="37">
        <f>'Stavební rozpočet'!K414</f>
        <v>0</v>
      </c>
      <c r="G35" s="37" t="s">
        <v>1010</v>
      </c>
      <c r="H35" s="37">
        <f t="shared" si="0"/>
        <v>0</v>
      </c>
    </row>
    <row r="36" spans="1:8" ht="12.75">
      <c r="A36" s="10" t="s">
        <v>509</v>
      </c>
      <c r="B36" s="10" t="s">
        <v>819</v>
      </c>
      <c r="C36" s="10"/>
      <c r="D36" s="37">
        <f>'Stavební rozpočet'!I432</f>
        <v>0</v>
      </c>
      <c r="E36" s="37">
        <f>'Stavební rozpočet'!J432</f>
        <v>0</v>
      </c>
      <c r="F36" s="37">
        <f>'Stavební rozpočet'!K432</f>
        <v>0</v>
      </c>
      <c r="G36" s="37" t="s">
        <v>1010</v>
      </c>
      <c r="H36" s="37">
        <f t="shared" si="0"/>
        <v>0</v>
      </c>
    </row>
    <row r="37" spans="1:8" ht="12.75">
      <c r="A37" s="10" t="s">
        <v>825</v>
      </c>
      <c r="B37" s="10" t="s">
        <v>826</v>
      </c>
      <c r="C37" s="10"/>
      <c r="D37" s="37">
        <f>'Stavební rozpočet'!I435</f>
        <v>0</v>
      </c>
      <c r="E37" s="37">
        <f>'Stavební rozpočet'!J435</f>
        <v>0</v>
      </c>
      <c r="F37" s="37">
        <f>'Stavební rozpočet'!K435</f>
        <v>0</v>
      </c>
      <c r="G37" s="37" t="s">
        <v>1010</v>
      </c>
      <c r="H37" s="37">
        <f t="shared" si="0"/>
        <v>0</v>
      </c>
    </row>
    <row r="39" spans="5:6" ht="12.75">
      <c r="E39" s="55" t="s">
        <v>1004</v>
      </c>
      <c r="F39" s="56">
        <f>SUM(H11:H37)</f>
        <v>0</v>
      </c>
    </row>
  </sheetData>
  <sheetProtection selectLockedCells="1" selectUnlockedCells="1"/>
  <mergeCells count="45">
    <mergeCell ref="A1:F1"/>
    <mergeCell ref="A2:A3"/>
    <mergeCell ref="B2:C3"/>
    <mergeCell ref="D2:D3"/>
    <mergeCell ref="E2:F3"/>
    <mergeCell ref="A4:A5"/>
    <mergeCell ref="B4:C5"/>
    <mergeCell ref="D4:D5"/>
    <mergeCell ref="E4:F5"/>
    <mergeCell ref="A6:A7"/>
    <mergeCell ref="B6:C7"/>
    <mergeCell ref="D6:D7"/>
    <mergeCell ref="E6:F7"/>
    <mergeCell ref="A8:A9"/>
    <mergeCell ref="B8:C9"/>
    <mergeCell ref="D8:D9"/>
    <mergeCell ref="E8:F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110" zoomScaleNormal="110" workbookViewId="0" topLeftCell="A1">
      <selection activeCell="A1" sqref="A1"/>
    </sheetView>
  </sheetViews>
  <sheetFormatPr defaultColWidth="10.2812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  <col min="10" max="16384" width="11.57421875" style="0" customWidth="1"/>
  </cols>
  <sheetData>
    <row r="1" spans="1:9" ht="72.75" customHeight="1">
      <c r="A1" s="57"/>
      <c r="B1" s="43"/>
      <c r="C1" s="58" t="s">
        <v>1011</v>
      </c>
      <c r="D1" s="58"/>
      <c r="E1" s="58"/>
      <c r="F1" s="58"/>
      <c r="G1" s="58"/>
      <c r="H1" s="58"/>
      <c r="I1" s="58"/>
    </row>
    <row r="2" spans="1:10" ht="12.75" customHeight="1">
      <c r="A2" s="2" t="s">
        <v>1</v>
      </c>
      <c r="B2" s="2"/>
      <c r="C2" s="3">
        <f>'Stavební rozpočet'!C2</f>
        <v>0</v>
      </c>
      <c r="D2" s="3"/>
      <c r="E2" s="5" t="s">
        <v>5</v>
      </c>
      <c r="F2" s="5">
        <f>'Stavební rozpočet'!I2</f>
        <v>0</v>
      </c>
      <c r="G2" s="5"/>
      <c r="H2" s="5" t="s">
        <v>1012</v>
      </c>
      <c r="I2" s="59"/>
      <c r="J2" s="7"/>
    </row>
    <row r="3" spans="1:10" ht="12.75">
      <c r="A3" s="2"/>
      <c r="B3" s="2"/>
      <c r="C3" s="3"/>
      <c r="D3" s="3"/>
      <c r="E3" s="5"/>
      <c r="F3" s="5"/>
      <c r="G3" s="5"/>
      <c r="H3" s="5"/>
      <c r="I3" s="59"/>
      <c r="J3" s="7"/>
    </row>
    <row r="4" spans="1:10" ht="12.75" customHeight="1">
      <c r="A4" s="8" t="s">
        <v>7</v>
      </c>
      <c r="B4" s="8"/>
      <c r="C4" s="9">
        <f>'Stavební rozpočet'!C4</f>
        <v>0</v>
      </c>
      <c r="D4" s="9"/>
      <c r="E4" s="9" t="s">
        <v>10</v>
      </c>
      <c r="F4" s="9">
        <f>'Stavební rozpočet'!I4</f>
        <v>0</v>
      </c>
      <c r="G4" s="9"/>
      <c r="H4" s="9" t="s">
        <v>1012</v>
      </c>
      <c r="I4" s="60"/>
      <c r="J4" s="7"/>
    </row>
    <row r="5" spans="1:10" ht="12.75">
      <c r="A5" s="8"/>
      <c r="B5" s="8"/>
      <c r="C5" s="9"/>
      <c r="D5" s="9"/>
      <c r="E5" s="9"/>
      <c r="F5" s="9"/>
      <c r="G5" s="9"/>
      <c r="H5" s="9"/>
      <c r="I5" s="60"/>
      <c r="J5" s="7"/>
    </row>
    <row r="6" spans="1:10" ht="12.75" customHeight="1">
      <c r="A6" s="8" t="s">
        <v>12</v>
      </c>
      <c r="B6" s="8"/>
      <c r="C6" s="9">
        <f>'Stavební rozpočet'!C6</f>
        <v>0</v>
      </c>
      <c r="D6" s="9"/>
      <c r="E6" s="9" t="s">
        <v>15</v>
      </c>
      <c r="F6" s="9">
        <f>'Stavební rozpočet'!I6</f>
        <v>0</v>
      </c>
      <c r="G6" s="9"/>
      <c r="H6" s="9" t="s">
        <v>1012</v>
      </c>
      <c r="I6" s="60"/>
      <c r="J6" s="7"/>
    </row>
    <row r="7" spans="1:10" ht="12.75">
      <c r="A7" s="8"/>
      <c r="B7" s="8"/>
      <c r="C7" s="9"/>
      <c r="D7" s="9"/>
      <c r="E7" s="9"/>
      <c r="F7" s="9"/>
      <c r="G7" s="9"/>
      <c r="H7" s="9"/>
      <c r="I7" s="60"/>
      <c r="J7" s="7"/>
    </row>
    <row r="8" spans="1:10" ht="12.75" customHeight="1">
      <c r="A8" s="8" t="s">
        <v>9</v>
      </c>
      <c r="B8" s="8"/>
      <c r="C8" s="9">
        <f>'Stavební rozpočet'!F4</f>
        <v>0</v>
      </c>
      <c r="D8" s="9"/>
      <c r="E8" s="9" t="s">
        <v>14</v>
      </c>
      <c r="F8" s="9">
        <f>'Stavební rozpočet'!F6</f>
        <v>0</v>
      </c>
      <c r="G8" s="9"/>
      <c r="H8" s="10" t="s">
        <v>1013</v>
      </c>
      <c r="I8" s="60" t="s">
        <v>1000</v>
      </c>
      <c r="J8" s="7"/>
    </row>
    <row r="9" spans="1:10" ht="12.75">
      <c r="A9" s="8"/>
      <c r="B9" s="8"/>
      <c r="C9" s="9"/>
      <c r="D9" s="9"/>
      <c r="E9" s="9"/>
      <c r="F9" s="9"/>
      <c r="G9" s="9"/>
      <c r="H9" s="10"/>
      <c r="I9" s="60"/>
      <c r="J9" s="7"/>
    </row>
    <row r="10" spans="1:10" ht="12.75" customHeight="1">
      <c r="A10" s="61" t="s">
        <v>17</v>
      </c>
      <c r="B10" s="61"/>
      <c r="C10" s="62">
        <f>'Stavební rozpočet'!C8</f>
        <v>0</v>
      </c>
      <c r="D10" s="62"/>
      <c r="E10" s="62" t="s">
        <v>20</v>
      </c>
      <c r="F10" s="62">
        <f>'Stavební rozpočet'!I8</f>
        <v>0</v>
      </c>
      <c r="G10" s="62"/>
      <c r="H10" s="63" t="s">
        <v>1014</v>
      </c>
      <c r="I10" s="64">
        <f>'Stavební rozpočet'!F8</f>
        <v>0</v>
      </c>
      <c r="J10" s="7"/>
    </row>
    <row r="11" spans="1:10" ht="12.75">
      <c r="A11" s="61"/>
      <c r="B11" s="61"/>
      <c r="C11" s="62"/>
      <c r="D11" s="62"/>
      <c r="E11" s="62"/>
      <c r="F11" s="62"/>
      <c r="G11" s="62"/>
      <c r="H11" s="63"/>
      <c r="I11" s="64"/>
      <c r="J11" s="7"/>
    </row>
    <row r="12" spans="1:9" ht="23.25" customHeight="1">
      <c r="A12" s="65" t="s">
        <v>1015</v>
      </c>
      <c r="B12" s="65"/>
      <c r="C12" s="65"/>
      <c r="D12" s="65"/>
      <c r="E12" s="65"/>
      <c r="F12" s="65"/>
      <c r="G12" s="65"/>
      <c r="H12" s="65"/>
      <c r="I12" s="65"/>
    </row>
    <row r="13" spans="1:10" ht="26.25" customHeight="1">
      <c r="A13" s="66" t="s">
        <v>1016</v>
      </c>
      <c r="B13" s="67" t="s">
        <v>1017</v>
      </c>
      <c r="C13" s="67"/>
      <c r="D13" s="66" t="s">
        <v>1018</v>
      </c>
      <c r="E13" s="67" t="s">
        <v>1019</v>
      </c>
      <c r="F13" s="67"/>
      <c r="G13" s="66" t="s">
        <v>1020</v>
      </c>
      <c r="H13" s="67" t="s">
        <v>1021</v>
      </c>
      <c r="I13" s="67"/>
      <c r="J13" s="7"/>
    </row>
    <row r="14" spans="1:10" ht="15" customHeight="1">
      <c r="A14" s="68" t="s">
        <v>1022</v>
      </c>
      <c r="B14" s="69" t="s">
        <v>1023</v>
      </c>
      <c r="C14" s="70">
        <f>SUM('Stavební rozpočet'!AB12:AB537)</f>
        <v>0</v>
      </c>
      <c r="D14" s="69" t="s">
        <v>1024</v>
      </c>
      <c r="E14" s="69"/>
      <c r="F14" s="70">
        <v>0</v>
      </c>
      <c r="G14" s="69" t="s">
        <v>74</v>
      </c>
      <c r="H14" s="69"/>
      <c r="I14" s="70">
        <v>0</v>
      </c>
      <c r="J14" s="7"/>
    </row>
    <row r="15" spans="1:10" ht="15" customHeight="1">
      <c r="A15" s="71"/>
      <c r="B15" s="69" t="s">
        <v>33</v>
      </c>
      <c r="C15" s="70">
        <f>SUM('Stavební rozpočet'!AC12:AC537)</f>
        <v>0</v>
      </c>
      <c r="D15" s="69" t="s">
        <v>1025</v>
      </c>
      <c r="E15" s="69"/>
      <c r="F15" s="70">
        <v>0</v>
      </c>
      <c r="G15" s="69" t="s">
        <v>1026</v>
      </c>
      <c r="H15" s="69"/>
      <c r="I15" s="70">
        <v>0</v>
      </c>
      <c r="J15" s="7"/>
    </row>
    <row r="16" spans="1:10" ht="15" customHeight="1">
      <c r="A16" s="68" t="s">
        <v>1027</v>
      </c>
      <c r="B16" s="69" t="s">
        <v>1023</v>
      </c>
      <c r="C16" s="70">
        <f>SUM('Stavební rozpočet'!AD12:AD537)</f>
        <v>0</v>
      </c>
      <c r="D16" s="69" t="s">
        <v>1028</v>
      </c>
      <c r="E16" s="69"/>
      <c r="F16" s="70">
        <v>0</v>
      </c>
      <c r="G16" s="69" t="s">
        <v>66</v>
      </c>
      <c r="H16" s="69"/>
      <c r="I16" s="70">
        <v>0</v>
      </c>
      <c r="J16" s="7"/>
    </row>
    <row r="17" spans="1:10" ht="15" customHeight="1">
      <c r="A17" s="71"/>
      <c r="B17" s="69" t="s">
        <v>33</v>
      </c>
      <c r="C17" s="70">
        <f>SUM('Stavební rozpočet'!AE12:AE537)</f>
        <v>0</v>
      </c>
      <c r="D17" s="69"/>
      <c r="E17" s="69"/>
      <c r="F17" s="72"/>
      <c r="G17" s="69" t="s">
        <v>70</v>
      </c>
      <c r="H17" s="69"/>
      <c r="I17" s="70">
        <v>0</v>
      </c>
      <c r="J17" s="7"/>
    </row>
    <row r="18" spans="1:10" ht="15" customHeight="1">
      <c r="A18" s="68" t="s">
        <v>1029</v>
      </c>
      <c r="B18" s="69" t="s">
        <v>1023</v>
      </c>
      <c r="C18" s="70">
        <f>SUM('Stavební rozpočet'!AF12:AF537)</f>
        <v>0</v>
      </c>
      <c r="D18" s="69"/>
      <c r="E18" s="69"/>
      <c r="F18" s="72"/>
      <c r="G18" s="69" t="s">
        <v>1030</v>
      </c>
      <c r="H18" s="69"/>
      <c r="I18" s="70">
        <v>0</v>
      </c>
      <c r="J18" s="7"/>
    </row>
    <row r="19" spans="1:10" ht="15" customHeight="1">
      <c r="A19" s="71"/>
      <c r="B19" s="69" t="s">
        <v>33</v>
      </c>
      <c r="C19" s="70">
        <f>SUM('Stavební rozpočet'!AG12:AG537)</f>
        <v>0</v>
      </c>
      <c r="D19" s="69"/>
      <c r="E19" s="69"/>
      <c r="F19" s="72"/>
      <c r="G19" s="69" t="s">
        <v>1031</v>
      </c>
      <c r="H19" s="69"/>
      <c r="I19" s="70">
        <v>0</v>
      </c>
      <c r="J19" s="7"/>
    </row>
    <row r="20" spans="1:10" ht="15" customHeight="1">
      <c r="A20" s="73" t="s">
        <v>1032</v>
      </c>
      <c r="B20" s="73"/>
      <c r="C20" s="70">
        <f>SUM('Stavební rozpočet'!AH12:AH537)</f>
        <v>0</v>
      </c>
      <c r="D20" s="69"/>
      <c r="E20" s="69"/>
      <c r="F20" s="72"/>
      <c r="G20" s="69"/>
      <c r="H20" s="69"/>
      <c r="I20" s="72"/>
      <c r="J20" s="7"/>
    </row>
    <row r="21" spans="1:10" ht="15" customHeight="1">
      <c r="A21" s="73" t="s">
        <v>1033</v>
      </c>
      <c r="B21" s="73"/>
      <c r="C21" s="70">
        <f>SUM('Stavební rozpočet'!Z12:Z537)</f>
        <v>0</v>
      </c>
      <c r="D21" s="69"/>
      <c r="E21" s="69"/>
      <c r="F21" s="72"/>
      <c r="G21" s="69"/>
      <c r="H21" s="69"/>
      <c r="I21" s="72"/>
      <c r="J21" s="7"/>
    </row>
    <row r="22" spans="1:10" ht="16.5" customHeight="1">
      <c r="A22" s="73" t="s">
        <v>1034</v>
      </c>
      <c r="B22" s="73"/>
      <c r="C22" s="70">
        <f>SUM(C14:C21)</f>
        <v>0</v>
      </c>
      <c r="D22" s="73" t="s">
        <v>1035</v>
      </c>
      <c r="E22" s="73"/>
      <c r="F22" s="70">
        <f>SUM(F14:F21)</f>
        <v>0</v>
      </c>
      <c r="G22" s="73" t="s">
        <v>1036</v>
      </c>
      <c r="H22" s="73"/>
      <c r="I22" s="70">
        <f>SUM(I14:I21)</f>
        <v>0</v>
      </c>
      <c r="J22" s="7"/>
    </row>
    <row r="23" spans="1:10" ht="15" customHeight="1">
      <c r="A23" s="46"/>
      <c r="B23" s="46"/>
      <c r="C23" s="74"/>
      <c r="D23" s="73" t="s">
        <v>1037</v>
      </c>
      <c r="E23" s="73"/>
      <c r="F23" s="75">
        <v>0</v>
      </c>
      <c r="G23" s="73" t="s">
        <v>1038</v>
      </c>
      <c r="H23" s="73"/>
      <c r="I23" s="70">
        <v>0</v>
      </c>
      <c r="J23" s="7"/>
    </row>
    <row r="24" spans="4:9" ht="15" customHeight="1">
      <c r="D24" s="46"/>
      <c r="E24" s="46"/>
      <c r="F24" s="76"/>
      <c r="G24" s="73" t="s">
        <v>1039</v>
      </c>
      <c r="H24" s="73"/>
      <c r="I24" s="77"/>
    </row>
    <row r="25" spans="6:10" ht="15" customHeight="1">
      <c r="F25" s="78"/>
      <c r="G25" s="73" t="s">
        <v>1040</v>
      </c>
      <c r="H25" s="73"/>
      <c r="I25" s="70">
        <v>0</v>
      </c>
      <c r="J25" s="7"/>
    </row>
    <row r="26" spans="1:9" ht="12.75">
      <c r="A26" s="43"/>
      <c r="B26" s="43"/>
      <c r="C26" s="43"/>
      <c r="G26" s="46"/>
      <c r="H26" s="46"/>
      <c r="I26" s="46"/>
    </row>
    <row r="27" spans="1:9" ht="15" customHeight="1">
      <c r="A27" s="79" t="s">
        <v>1041</v>
      </c>
      <c r="B27" s="79"/>
      <c r="C27" s="80">
        <f>SUM('Stavební rozpočet'!AJ12:AJ537)</f>
        <v>0</v>
      </c>
      <c r="D27" s="81"/>
      <c r="E27" s="43"/>
      <c r="F27" s="43"/>
      <c r="G27" s="43"/>
      <c r="H27" s="43"/>
      <c r="I27" s="43"/>
    </row>
    <row r="28" spans="1:10" ht="15" customHeight="1">
      <c r="A28" s="79" t="s">
        <v>1042</v>
      </c>
      <c r="B28" s="79"/>
      <c r="C28" s="80">
        <f>SUM('Stavební rozpočet'!AK12:AK537)+(F22+I22+F23+I23+I24+I25)</f>
        <v>0</v>
      </c>
      <c r="D28" s="79" t="s">
        <v>1043</v>
      </c>
      <c r="E28" s="79"/>
      <c r="F28" s="80">
        <f>ROUND(C28*(15/100),2)</f>
        <v>0</v>
      </c>
      <c r="G28" s="79" t="s">
        <v>1044</v>
      </c>
      <c r="H28" s="79"/>
      <c r="I28" s="80">
        <f>SUM(C27:C29)</f>
        <v>0</v>
      </c>
      <c r="J28" s="7"/>
    </row>
    <row r="29" spans="1:10" ht="15" customHeight="1">
      <c r="A29" s="79" t="s">
        <v>1045</v>
      </c>
      <c r="B29" s="79"/>
      <c r="C29" s="80">
        <f>SUM('Stavební rozpočet'!AL12:AL537)</f>
        <v>0</v>
      </c>
      <c r="D29" s="79" t="s">
        <v>1046</v>
      </c>
      <c r="E29" s="79"/>
      <c r="F29" s="80">
        <f>ROUND(C29*(21/100),2)</f>
        <v>0</v>
      </c>
      <c r="G29" s="79" t="s">
        <v>1047</v>
      </c>
      <c r="H29" s="79"/>
      <c r="I29" s="80">
        <f>SUM(F28:F29)+I28</f>
        <v>0</v>
      </c>
      <c r="J29" s="7"/>
    </row>
    <row r="30" spans="1:9" ht="12.75">
      <c r="A30" s="82"/>
      <c r="B30" s="82"/>
      <c r="C30" s="82"/>
      <c r="D30" s="82"/>
      <c r="E30" s="82"/>
      <c r="F30" s="82"/>
      <c r="G30" s="82"/>
      <c r="H30" s="82"/>
      <c r="I30" s="82"/>
    </row>
    <row r="31" spans="1:10" ht="14.25" customHeight="1">
      <c r="A31" s="83" t="s">
        <v>1048</v>
      </c>
      <c r="B31" s="83"/>
      <c r="C31" s="83"/>
      <c r="D31" s="83" t="s">
        <v>1049</v>
      </c>
      <c r="E31" s="83"/>
      <c r="F31" s="83"/>
      <c r="G31" s="83" t="s">
        <v>1050</v>
      </c>
      <c r="H31" s="83"/>
      <c r="I31" s="83"/>
      <c r="J31" s="22"/>
    </row>
    <row r="32" spans="1:10" ht="14.25" customHeight="1">
      <c r="A32" s="84"/>
      <c r="B32" s="84"/>
      <c r="C32" s="84"/>
      <c r="D32" s="84"/>
      <c r="E32" s="84"/>
      <c r="F32" s="84"/>
      <c r="G32" s="84"/>
      <c r="H32" s="84"/>
      <c r="I32" s="84"/>
      <c r="J32" s="22"/>
    </row>
    <row r="33" spans="1:10" ht="14.25" customHeight="1">
      <c r="A33" s="84"/>
      <c r="B33" s="84"/>
      <c r="C33" s="84"/>
      <c r="D33" s="84"/>
      <c r="E33" s="84"/>
      <c r="F33" s="84"/>
      <c r="G33" s="84"/>
      <c r="H33" s="84"/>
      <c r="I33" s="84"/>
      <c r="J33" s="22"/>
    </row>
    <row r="34" spans="1:10" ht="14.25" customHeight="1">
      <c r="A34" s="84"/>
      <c r="B34" s="84"/>
      <c r="C34" s="84"/>
      <c r="D34" s="84"/>
      <c r="E34" s="84"/>
      <c r="F34" s="84"/>
      <c r="G34" s="84"/>
      <c r="H34" s="84"/>
      <c r="I34" s="84"/>
      <c r="J34" s="22"/>
    </row>
    <row r="35" spans="1:10" ht="14.25" customHeight="1">
      <c r="A35" s="85" t="s">
        <v>1051</v>
      </c>
      <c r="B35" s="85"/>
      <c r="C35" s="85"/>
      <c r="D35" s="85" t="s">
        <v>1051</v>
      </c>
      <c r="E35" s="85"/>
      <c r="F35" s="85"/>
      <c r="G35" s="85" t="s">
        <v>1051</v>
      </c>
      <c r="H35" s="85"/>
      <c r="I35" s="85"/>
      <c r="J35" s="22"/>
    </row>
    <row r="36" spans="1:9" ht="11.25" customHeight="1">
      <c r="A36" s="86" t="s">
        <v>1005</v>
      </c>
      <c r="B36" s="87"/>
      <c r="C36" s="87"/>
      <c r="D36" s="87"/>
      <c r="E36" s="87"/>
      <c r="F36" s="87"/>
      <c r="G36" s="87"/>
      <c r="H36" s="87"/>
      <c r="I36" s="87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</sheetData>
  <sheetProtection selectLockedCells="1" selectUnlockedCells="1"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  <mergeCell ref="A37:I37"/>
  </mergeCells>
  <printOptions/>
  <pageMargins left="0.39375" right="0.39375" top="0.5909722222222222" bottom="0.5909722222222222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2020-04-25T08:38:52Z</dcterms:modified>
  <cp:category/>
  <cp:version/>
  <cp:contentType/>
  <cp:contentStatus/>
  <cp:revision>2</cp:revision>
</cp:coreProperties>
</file>