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<sst xmlns="http://schemas.openxmlformats.org/spreadsheetml/2006/main" count="869" uniqueCount="376">
  <si>
    <t>Slepý stavební rozpočet</t>
  </si>
  <si>
    <t>Název stavby:</t>
  </si>
  <si>
    <t>STAVEBNÍ ÚPRAVY OBJEKTU</t>
  </si>
  <si>
    <t>Doba výstavby:</t>
  </si>
  <si>
    <t xml:space="preserve"> </t>
  </si>
  <si>
    <t>Objednatel:</t>
  </si>
  <si>
    <t>MĚSTO VARNSDORF</t>
  </si>
  <si>
    <t>Druh stavby:</t>
  </si>
  <si>
    <t>KROV A STŘECHA</t>
  </si>
  <si>
    <t>Začátek výstavby:</t>
  </si>
  <si>
    <t>Projektant:</t>
  </si>
  <si>
    <t>ING.DRAHOTA JIŘÍ</t>
  </si>
  <si>
    <t>Lokalita:</t>
  </si>
  <si>
    <t>VARNSDORF</t>
  </si>
  <si>
    <t>Konec výstavby:</t>
  </si>
  <si>
    <t>Zhotovitel:</t>
  </si>
  <si>
    <t> </t>
  </si>
  <si>
    <t>JKSO:</t>
  </si>
  <si>
    <t>Zpracováno dne:</t>
  </si>
  <si>
    <t>18.11.2020</t>
  </si>
  <si>
    <t>Zpracoval:</t>
  </si>
  <si>
    <t>IIČVDF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</si>
  <si>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</si>
  <si>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</si>
  <si>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</si>
  <si>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</si>
  <si>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</si>
  <si>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</si>
  <si>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</si>
  <si>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</si>
  <si>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</si>
  <si>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</si>
  <si>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</si>
  <si>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</si>
  <si>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</si>
  <si>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</si>
  <si>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</si>
  <si>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</si>
  <si>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</si>
  <si>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</si>
  <si>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</si>
  <si>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</si>
  <si>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</si>
  <si>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</si>
  <si>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</si>
  <si>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</si>
  <si>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</si>
  <si>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</si>
  <si>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</si>
  <si>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</si>
  <si>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34</t>
  </si>
  <si>
    <t>Stěny a příčky</t>
  </si>
  <si>
    <t>1</t>
  </si>
  <si>
    <t>340100012RAA</t>
  </si>
  <si>
    <t>Zazdívka otvorů mezi vazníky YTONG  tl.10</t>
  </si>
  <si>
    <t>m2</t>
  </si>
  <si>
    <t>RTS II / 2020</t>
  </si>
  <si>
    <t>34_</t>
  </si>
  <si>
    <t>3_</t>
  </si>
  <si>
    <t>_</t>
  </si>
  <si>
    <t>P</t>
  </si>
  <si>
    <t>12,8*2*0,45   nad uložením vazníků po stř.konstrukci</t>
  </si>
  <si>
    <t>2</t>
  </si>
  <si>
    <t>998011002R00</t>
  </si>
  <si>
    <t>Přesun hmot pro budovy zděné výšky do 12 m</t>
  </si>
  <si>
    <t>t</t>
  </si>
  <si>
    <t>5</t>
  </si>
  <si>
    <t>1,487   </t>
  </si>
  <si>
    <t>41</t>
  </si>
  <si>
    <t>Stropy a stropní konstrukce (pro pozemní stavby)</t>
  </si>
  <si>
    <t>3</t>
  </si>
  <si>
    <t>411 R-20</t>
  </si>
  <si>
    <t>Vybourání a zabetonování sloupů OK</t>
  </si>
  <si>
    <t>kus</t>
  </si>
  <si>
    <t>41_</t>
  </si>
  <si>
    <t>4_</t>
  </si>
  <si>
    <t>20   </t>
  </si>
  <si>
    <t>762</t>
  </si>
  <si>
    <t>Konstrukce tesařské</t>
  </si>
  <si>
    <t>4</t>
  </si>
  <si>
    <t>762331811R00</t>
  </si>
  <si>
    <t>Demontáž konstrukcí krovů z hranolů do 120 cm2</t>
  </si>
  <si>
    <t>m</t>
  </si>
  <si>
    <t>7</t>
  </si>
  <si>
    <t>762_</t>
  </si>
  <si>
    <t>76_</t>
  </si>
  <si>
    <t>586,50   </t>
  </si>
  <si>
    <t>762331812R00</t>
  </si>
  <si>
    <t>Demontáž konstrukcí krovů z hranolů do 224 cm2</t>
  </si>
  <si>
    <t>21,2*10   </t>
  </si>
  <si>
    <t>6</t>
  </si>
  <si>
    <t>762342203R00</t>
  </si>
  <si>
    <t>Montáž laťování střech, vzdálenost latí 22 - 36 cm</t>
  </si>
  <si>
    <t>14,2*21,2   </t>
  </si>
  <si>
    <t>762342204R00</t>
  </si>
  <si>
    <t>Montáž kontralatí přibitím</t>
  </si>
  <si>
    <t>301,04   </t>
  </si>
  <si>
    <t>8</t>
  </si>
  <si>
    <t>762341811R00</t>
  </si>
  <si>
    <t>Demontáž bednění střech rovných z prken hrubých</t>
  </si>
  <si>
    <t>9</t>
  </si>
  <si>
    <t>762395000R00</t>
  </si>
  <si>
    <t>Spojovací a ochranné prostředky pro střechy</t>
  </si>
  <si>
    <t>m3</t>
  </si>
  <si>
    <t>2,75   </t>
  </si>
  <si>
    <t>10</t>
  </si>
  <si>
    <t>60517110</t>
  </si>
  <si>
    <t>Lať střešní 30x50 mm</t>
  </si>
  <si>
    <t>M</t>
  </si>
  <si>
    <t>0,75   </t>
  </si>
  <si>
    <t>11</t>
  </si>
  <si>
    <t>60517111</t>
  </si>
  <si>
    <t>Lať střešní 40x60 mm</t>
  </si>
  <si>
    <t>1,98   </t>
  </si>
  <si>
    <t>12</t>
  </si>
  <si>
    <t>60725012</t>
  </si>
  <si>
    <t>Deska dřevoštěpková OSB 3 N tl. 15 mm</t>
  </si>
  <si>
    <t>298   </t>
  </si>
  <si>
    <t>;ztratné 5%; 14,9   </t>
  </si>
  <si>
    <t>13</t>
  </si>
  <si>
    <t>998762102R00</t>
  </si>
  <si>
    <t>Přesun hmot pro tesařské konstrukce, výšky do 12 m</t>
  </si>
  <si>
    <t>9,820   </t>
  </si>
  <si>
    <t>763</t>
  </si>
  <si>
    <t>Dřevostavby</t>
  </si>
  <si>
    <t>14</t>
  </si>
  <si>
    <t>763611131R00</t>
  </si>
  <si>
    <t>M.bednění střech z desek do tl.18 mm, šroubo.</t>
  </si>
  <si>
    <t>763_</t>
  </si>
  <si>
    <t>15</t>
  </si>
  <si>
    <t>763100R-01</t>
  </si>
  <si>
    <t>Montáž a výroba střešních vazníků, impregnovaných-Fi RK Vazníky</t>
  </si>
  <si>
    <t>soub</t>
  </si>
  <si>
    <t>1   výroba,impregnace,montáže včetně jeřábu,ztužení,dokumentace</t>
  </si>
  <si>
    <t>764</t>
  </si>
  <si>
    <t>Konstrukce klempířské</t>
  </si>
  <si>
    <t>16</t>
  </si>
  <si>
    <t>764901101RT4</t>
  </si>
  <si>
    <t>Maxi dek, tašková tabule Topline,na dřevo,do 30°</t>
  </si>
  <si>
    <t>764_</t>
  </si>
  <si>
    <t>17</t>
  </si>
  <si>
    <t>764903302R00</t>
  </si>
  <si>
    <t>MAXI DEK, hřebenáč, střecha jednoduchá, do 30°</t>
  </si>
  <si>
    <t>21,50   </t>
  </si>
  <si>
    <t>18</t>
  </si>
  <si>
    <t>764903318R00</t>
  </si>
  <si>
    <t>Lindab Ideal, mřížka ochranná větrací 60x1000 mm</t>
  </si>
  <si>
    <t>43   </t>
  </si>
  <si>
    <t>19</t>
  </si>
  <si>
    <t>764312822R00</t>
  </si>
  <si>
    <t>Demont. krytiny, tab.2 x 0,67 m, nad 25 m2, do 30°</t>
  </si>
  <si>
    <t>20</t>
  </si>
  <si>
    <t>998764102R00</t>
  </si>
  <si>
    <t>Přesun hmot pro klempířské konstr., výšky do 12 m</t>
  </si>
  <si>
    <t>1,726   </t>
  </si>
  <si>
    <t>766</t>
  </si>
  <si>
    <t>Konstrukce truhlářské</t>
  </si>
  <si>
    <t>21</t>
  </si>
  <si>
    <t>766421213R00</t>
  </si>
  <si>
    <t>Obložení podhledů jednod. palubkami SM š. do 10 cm</t>
  </si>
  <si>
    <t>766_</t>
  </si>
  <si>
    <t>25   </t>
  </si>
  <si>
    <t>22</t>
  </si>
  <si>
    <t>61191671</t>
  </si>
  <si>
    <t>Palubka obkladová SM tloušťka 16 šíře 121 mm</t>
  </si>
  <si>
    <t>25*0,5*2   </t>
  </si>
  <si>
    <t>;ztratné 15%; 3,75   </t>
  </si>
  <si>
    <t>23</t>
  </si>
  <si>
    <t>766427112R00</t>
  </si>
  <si>
    <t>Podkladový rošt pro obložení podhledů</t>
  </si>
  <si>
    <t>28,75*2   </t>
  </si>
  <si>
    <t>24</t>
  </si>
  <si>
    <t>998766102R00</t>
  </si>
  <si>
    <t>Přesun hmot pro truhlářské konstr., výšky do 12 m</t>
  </si>
  <si>
    <t>0,235   </t>
  </si>
  <si>
    <t>767</t>
  </si>
  <si>
    <t>Konstrukce doplňkové stavební (zámečnické)</t>
  </si>
  <si>
    <t>25</t>
  </si>
  <si>
    <t>767995103R00</t>
  </si>
  <si>
    <t>Výroba a montáž kov. atypických konstr. do 20 kg</t>
  </si>
  <si>
    <t>kg</t>
  </si>
  <si>
    <t>767_</t>
  </si>
  <si>
    <t>86,40+64,40   K1-86,40+64,40</t>
  </si>
  <si>
    <t>43,20+19,20   K2-43,20+19,20</t>
  </si>
  <si>
    <t>44,80+18   POMOCNÝ RÁM-44,80+18</t>
  </si>
  <si>
    <t>26</t>
  </si>
  <si>
    <t>767995108R00</t>
  </si>
  <si>
    <t>Výroba a montáž kov. atypických konstr. nad 500 kg</t>
  </si>
  <si>
    <t>1128   IPE240-1128</t>
  </si>
  <si>
    <t>835,92   IPE140-835,92</t>
  </si>
  <si>
    <t>27</t>
  </si>
  <si>
    <t>13611228</t>
  </si>
  <si>
    <t>Plech hladký jakost S235  10x1000x2000 mm</t>
  </si>
  <si>
    <t>(86,40+43,20+44,80+18)*0,001   </t>
  </si>
  <si>
    <t>;ztratné 8%; 0,015392   </t>
  </si>
  <si>
    <t>28</t>
  </si>
  <si>
    <t>13355160</t>
  </si>
  <si>
    <t>Ocel pásová jakost S235  100x5,0 mm</t>
  </si>
  <si>
    <t>(64,40+19,20)*0,001   </t>
  </si>
  <si>
    <t>;ztratné 8%; 0,006688   </t>
  </si>
  <si>
    <t>29</t>
  </si>
  <si>
    <t>31179106</t>
  </si>
  <si>
    <t>Tyč závitová M10, DIN 975</t>
  </si>
  <si>
    <t>16,34+4+3,6   </t>
  </si>
  <si>
    <t>;ztratné 8%; 1,9152   </t>
  </si>
  <si>
    <t>30</t>
  </si>
  <si>
    <t>13380525</t>
  </si>
  <si>
    <t>Tyč průřezu I 140, střední, jakost oceli S235</t>
  </si>
  <si>
    <t>835,92*0,001   </t>
  </si>
  <si>
    <t>;ztratné 8%; 0,0668736   </t>
  </si>
  <si>
    <t>31</t>
  </si>
  <si>
    <t>13482725</t>
  </si>
  <si>
    <t>Tyč průřezu IPE 240, hrubé, jakost oceli S235</t>
  </si>
  <si>
    <t>1128*0,001   </t>
  </si>
  <si>
    <t>;ztratné 8%; 0,09024   </t>
  </si>
  <si>
    <t>32</t>
  </si>
  <si>
    <t>311110180000</t>
  </si>
  <si>
    <t>Matice ocelová pozinkovaná 02 1401.2  M10</t>
  </si>
  <si>
    <t>48+24   </t>
  </si>
  <si>
    <t>;ztratné 2%; 1,44   </t>
  </si>
  <si>
    <t>33</t>
  </si>
  <si>
    <t>311240180000</t>
  </si>
  <si>
    <t>Podložka  10,2       021740.0</t>
  </si>
  <si>
    <t>311240190000</t>
  </si>
  <si>
    <t>Podložka  12,2       021740.0</t>
  </si>
  <si>
    <t>160   </t>
  </si>
  <si>
    <t>;ztratné 2%; 3,2   </t>
  </si>
  <si>
    <t>35</t>
  </si>
  <si>
    <t>311110220000</t>
  </si>
  <si>
    <t>Matice ocelová pozinkovaná 02 1401.2  M16</t>
  </si>
  <si>
    <t>80   </t>
  </si>
  <si>
    <t>36</t>
  </si>
  <si>
    <t>30952030</t>
  </si>
  <si>
    <t>Šroub se 6hr. hlavou 02 1103 8G  M16x50 mm</t>
  </si>
  <si>
    <t>1000 ks</t>
  </si>
  <si>
    <t>0,080   </t>
  </si>
  <si>
    <t>37</t>
  </si>
  <si>
    <t>998767102R00</t>
  </si>
  <si>
    <t>Přesun hmot pro zámečnické konstr., výšky do 12 m</t>
  </si>
  <si>
    <t>2,555   </t>
  </si>
  <si>
    <t>38</t>
  </si>
  <si>
    <t>900      RT1</t>
  </si>
  <si>
    <t>HZS-zednické přípomoce při montáži oc.konstukce</t>
  </si>
  <si>
    <t>h</t>
  </si>
  <si>
    <t>60   otvory,zazdívky,začištění</t>
  </si>
  <si>
    <t>783</t>
  </si>
  <si>
    <t>Nátěry</t>
  </si>
  <si>
    <t>39</t>
  </si>
  <si>
    <t>783122710R00</t>
  </si>
  <si>
    <t>Nátěr syntetický OK "A" základní</t>
  </si>
  <si>
    <t>783_</t>
  </si>
  <si>
    <t>78_</t>
  </si>
  <si>
    <t>48,64   </t>
  </si>
  <si>
    <t>40</t>
  </si>
  <si>
    <t>783726200R00</t>
  </si>
  <si>
    <t>Nátěr synt. lazurovací tesařských konstr. 2x lak</t>
  </si>
  <si>
    <t>28,75   podhledy</t>
  </si>
  <si>
    <t>94</t>
  </si>
  <si>
    <t>Lešení a stavební výtahy</t>
  </si>
  <si>
    <t>947      R00</t>
  </si>
  <si>
    <t>HZS třída 7-práce autojeřábem</t>
  </si>
  <si>
    <t>94_</t>
  </si>
  <si>
    <t>9_</t>
  </si>
  <si>
    <t>16   </t>
  </si>
  <si>
    <t>42</t>
  </si>
  <si>
    <t>941941191R00</t>
  </si>
  <si>
    <t>Příplatek za každý měsíc použití lešení k pol.1031</t>
  </si>
  <si>
    <t>390   </t>
  </si>
  <si>
    <t>43</t>
  </si>
  <si>
    <t>941955004R00</t>
  </si>
  <si>
    <t>Lešení lehké pomocné, výška podlahy do 3,5 m</t>
  </si>
  <si>
    <t>19,6*1,2*2   </t>
  </si>
  <si>
    <t>44</t>
  </si>
  <si>
    <t>943955021R00</t>
  </si>
  <si>
    <t>Montáž lešeňové podlahy s příčníky a podél.,H 10 m</t>
  </si>
  <si>
    <t>12,6*10*0,6   pro demontáže latí a krokví</t>
  </si>
  <si>
    <t>45</t>
  </si>
  <si>
    <t>943955821R00</t>
  </si>
  <si>
    <t>Demontáž leš. podlahy s příč. a podélníky, H 10 m</t>
  </si>
  <si>
    <t>75,6   </t>
  </si>
  <si>
    <t>46</t>
  </si>
  <si>
    <t>943955191R00</t>
  </si>
  <si>
    <t>Příplatek za každý měsíc použití leš.k pol.21až 41</t>
  </si>
  <si>
    <t>47</t>
  </si>
  <si>
    <t>998009101R00</t>
  </si>
  <si>
    <t>Přesun hmot lešení samostatně budovaného</t>
  </si>
  <si>
    <t>1,939   </t>
  </si>
  <si>
    <t>97</t>
  </si>
  <si>
    <t>Prorážení otvorů a ostatní bourací práce</t>
  </si>
  <si>
    <t>48</t>
  </si>
  <si>
    <t>974031267R00</t>
  </si>
  <si>
    <t>Vysekání rýh zeď cihelná pro OK</t>
  </si>
  <si>
    <t>97_</t>
  </si>
  <si>
    <t>13,20   </t>
  </si>
  <si>
    <t>49</t>
  </si>
  <si>
    <t>974031269R00</t>
  </si>
  <si>
    <t>Příplat.za dalších 10cm š.rýhy u stropu hl.do 15cm</t>
  </si>
  <si>
    <t>S</t>
  </si>
  <si>
    <t>Přesuny sutí</t>
  </si>
  <si>
    <t>50</t>
  </si>
  <si>
    <t>979084413R00</t>
  </si>
  <si>
    <t>Vodorovná doprava vybouraných hmot do 1 km</t>
  </si>
  <si>
    <t>S_</t>
  </si>
  <si>
    <t>18,196   </t>
  </si>
  <si>
    <t>51</t>
  </si>
  <si>
    <t>979990161R00</t>
  </si>
  <si>
    <t>Poplatek za skládku suti - dřevo</t>
  </si>
  <si>
    <t>0   </t>
  </si>
  <si>
    <t>52</t>
  </si>
  <si>
    <t>979084419R00</t>
  </si>
  <si>
    <t>Příplatek za dopravu hmot za každý další 1 km</t>
  </si>
  <si>
    <t>0   bude uloženo v TS VDF a použito na otop</t>
  </si>
  <si>
    <t>53</t>
  </si>
  <si>
    <t>979013312R00</t>
  </si>
  <si>
    <t>Svislá doprava vybouraných hmot na výšku do 3,5 m</t>
  </si>
  <si>
    <t>54</t>
  </si>
  <si>
    <t>979013319R00</t>
  </si>
  <si>
    <t>Příplatek k přesunu hmot za dalších 3,5 m výšky</t>
  </si>
  <si>
    <t>55</t>
  </si>
  <si>
    <t>979951161R00</t>
  </si>
  <si>
    <t>Výkup kovů - zinek, plechy</t>
  </si>
  <si>
    <t>2,261   demontovaná stř.krytina</t>
  </si>
  <si>
    <t>Celkem:</t>
  </si>
  <si>
    <t>Poznámka: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</si>
  <si>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</si>
  <si>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</si>
  <si>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</si>
  <si>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</si>
  <si>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</si>
  <si>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</si>
  <si>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Výkaz výměr</t>
  </si>
  <si>
    <t>Potřebné množství</t>
  </si>
  <si>
    <t>Krycí list slepého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</si>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</sst>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1">
    <font>
      <sz val="10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horizontal="left" vertical="center" wrapText="1"/>
      <protection/>
    </xf>
    <xf numFmtId="164" fontId="2" fillId="0" borderId="4" xfId="0" applyNumberFormat="1" applyFont="1" applyFill="1" applyBorder="1" applyAlignment="1" applyProtection="1">
      <alignment horizontal="left" vertical="center" wrapText="1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2" fillId="0" borderId="8" xfId="0" applyNumberFormat="1" applyFont="1" applyFill="1" applyBorder="1" applyAlignment="1" applyProtection="1">
      <alignment horizontal="left" vertical="center" wrapText="1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16" xfId="0" applyNumberFormat="1" applyFont="1" applyFill="1" applyBorder="1" applyAlignment="1" applyProtection="1">
      <alignment horizontal="left" vertical="center"/>
      <protection/>
    </xf>
    <xf numFmtId="165" fontId="2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2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4" xfId="0" applyNumberFormat="1" applyFont="1" applyFill="1" applyBorder="1" applyAlignment="1" applyProtection="1">
      <alignment horizontal="left" vertical="center"/>
      <protection/>
    </xf>
    <xf numFmtId="165" fontId="2" fillId="2" borderId="24" xfId="0" applyNumberFormat="1" applyFont="1" applyFill="1" applyBorder="1" applyAlignment="1" applyProtection="1">
      <alignment horizontal="left" vertical="center"/>
      <protection/>
    </xf>
    <xf numFmtId="166" fontId="3" fillId="2" borderId="24" xfId="0" applyNumberFormat="1" applyFont="1" applyFill="1" applyBorder="1" applyAlignment="1" applyProtection="1">
      <alignment horizontal="right" vertical="center"/>
      <protection/>
    </xf>
    <xf numFmtId="165" fontId="3" fillId="2" borderId="25" xfId="0" applyNumberFormat="1" applyFont="1" applyFill="1" applyBorder="1" applyAlignment="1" applyProtection="1">
      <alignment horizontal="right" vertical="center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0" borderId="5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6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6" xfId="0" applyNumberFormat="1" applyFont="1" applyFill="1" applyBorder="1" applyAlignment="1" applyProtection="1">
      <alignment vertical="center"/>
      <protection/>
    </xf>
    <xf numFmtId="165" fontId="2" fillId="2" borderId="5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6" xfId="0" applyNumberFormat="1" applyFont="1" applyFill="1" applyBorder="1" applyAlignment="1" applyProtection="1">
      <alignment horizontal="right" vertical="center"/>
      <protection/>
    </xf>
    <xf numFmtId="164" fontId="2" fillId="0" borderId="26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Fill="1" applyBorder="1" applyAlignment="1" applyProtection="1">
      <alignment horizontal="left" vertical="center"/>
      <protection/>
    </xf>
    <xf numFmtId="166" fontId="4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27" xfId="0" applyNumberFormat="1" applyFont="1" applyFill="1" applyBorder="1" applyAlignment="1" applyProtection="1">
      <alignment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8" xfId="0" applyNumberFormat="1" applyFont="1" applyFill="1" applyBorder="1" applyAlignment="1" applyProtection="1">
      <alignment horizontal="left" vertical="center"/>
      <protection/>
    </xf>
    <xf numFmtId="165" fontId="3" fillId="0" borderId="29" xfId="0" applyNumberFormat="1" applyFont="1" applyFill="1" applyBorder="1" applyAlignment="1" applyProtection="1">
      <alignment horizontal="left" vertical="center"/>
      <protection/>
    </xf>
    <xf numFmtId="165" fontId="3" fillId="0" borderId="30" xfId="0" applyNumberFormat="1" applyFont="1" applyFill="1" applyBorder="1" applyAlignment="1" applyProtection="1">
      <alignment horizontal="left" vertical="center"/>
      <protection/>
    </xf>
    <xf numFmtId="165" fontId="3" fillId="0" borderId="30" xfId="0" applyNumberFormat="1" applyFont="1" applyFill="1" applyBorder="1" applyAlignment="1" applyProtection="1">
      <alignment horizontal="center" vertical="center"/>
      <protection/>
    </xf>
    <xf numFmtId="165" fontId="2" fillId="0" borderId="23" xfId="0" applyNumberFormat="1" applyFont="1" applyFill="1" applyBorder="1" applyAlignment="1" applyProtection="1">
      <alignment horizontal="left" vertical="center"/>
      <protection/>
    </xf>
    <xf numFmtId="165" fontId="2" fillId="0" borderId="24" xfId="0" applyNumberFormat="1" applyFont="1" applyFill="1" applyBorder="1" applyAlignment="1" applyProtection="1">
      <alignment horizontal="left" vertical="center"/>
      <protection/>
    </xf>
    <xf numFmtId="166" fontId="2" fillId="0" borderId="24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31" xfId="0" applyNumberFormat="1" applyFont="1" applyFill="1" applyBorder="1" applyAlignment="1" applyProtection="1">
      <alignment horizontal="left" vertical="center"/>
      <protection/>
    </xf>
    <xf numFmtId="165" fontId="3" fillId="0" borderId="32" xfId="0" applyNumberFormat="1" applyFont="1" applyFill="1" applyBorder="1" applyAlignment="1" applyProtection="1">
      <alignment horizontal="left" vertical="center"/>
      <protection/>
    </xf>
    <xf numFmtId="165" fontId="3" fillId="0" borderId="32" xfId="0" applyNumberFormat="1" applyFont="1" applyFill="1" applyBorder="1" applyAlignment="1" applyProtection="1">
      <alignment horizontal="right" vertical="center"/>
      <protection/>
    </xf>
    <xf numFmtId="165" fontId="3" fillId="0" borderId="33" xfId="0" applyNumberFormat="1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4" fontId="2" fillId="0" borderId="26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4" fontId="2" fillId="0" borderId="27" xfId="0" applyNumberFormat="1" applyFont="1" applyFill="1" applyBorder="1" applyAlignment="1" applyProtection="1">
      <alignment horizontal="left" vertical="center" wrapText="1"/>
      <protection/>
    </xf>
    <xf numFmtId="165" fontId="6" fillId="0" borderId="34" xfId="0" applyNumberFormat="1" applyFont="1" applyFill="1" applyBorder="1" applyAlignment="1" applyProtection="1">
      <alignment horizontal="center" vertical="center"/>
      <protection/>
    </xf>
    <xf numFmtId="165" fontId="7" fillId="2" borderId="35" xfId="0" applyNumberFormat="1" applyFont="1" applyFill="1" applyBorder="1" applyAlignment="1" applyProtection="1">
      <alignment horizontal="center" vertical="center"/>
      <protection/>
    </xf>
    <xf numFmtId="165" fontId="8" fillId="0" borderId="35" xfId="0" applyNumberFormat="1" applyFont="1" applyFill="1" applyBorder="1" applyAlignment="1" applyProtection="1">
      <alignment horizontal="left" vertical="center"/>
      <protection/>
    </xf>
    <xf numFmtId="165" fontId="9" fillId="0" borderId="36" xfId="0" applyNumberFormat="1" applyFont="1" applyFill="1" applyBorder="1" applyAlignment="1" applyProtection="1">
      <alignment horizontal="left" vertical="center"/>
      <protection/>
    </xf>
    <xf numFmtId="165" fontId="10" fillId="0" borderId="35" xfId="0" applyNumberFormat="1" applyFont="1" applyFill="1" applyBorder="1" applyAlignment="1" applyProtection="1">
      <alignment horizontal="left" vertical="center"/>
      <protection/>
    </xf>
    <xf numFmtId="166" fontId="10" fillId="0" borderId="35" xfId="0" applyNumberFormat="1" applyFont="1" applyFill="1" applyBorder="1" applyAlignment="1" applyProtection="1">
      <alignment horizontal="right" vertical="center"/>
      <protection/>
    </xf>
    <xf numFmtId="165" fontId="9" fillId="0" borderId="37" xfId="0" applyNumberFormat="1" applyFont="1" applyFill="1" applyBorder="1" applyAlignment="1" applyProtection="1">
      <alignment horizontal="left" vertical="center"/>
      <protection/>
    </xf>
    <xf numFmtId="165" fontId="10" fillId="0" borderId="35" xfId="0" applyNumberFormat="1" applyFont="1" applyFill="1" applyBorder="1" applyAlignment="1" applyProtection="1">
      <alignment horizontal="right" vertical="center"/>
      <protection/>
    </xf>
    <xf numFmtId="165" fontId="9" fillId="0" borderId="35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6" fontId="10" fillId="0" borderId="20" xfId="0" applyNumberFormat="1" applyFont="1" applyFill="1" applyBorder="1" applyAlignment="1" applyProtection="1">
      <alignment horizontal="right" vertical="center"/>
      <protection/>
    </xf>
    <xf numFmtId="164" fontId="2" fillId="0" borderId="25" xfId="0" applyNumberFormat="1" applyFont="1" applyFill="1" applyBorder="1" applyAlignment="1" applyProtection="1">
      <alignment vertical="center"/>
      <protection/>
    </xf>
    <xf numFmtId="164" fontId="2" fillId="0" borderId="38" xfId="0" applyNumberFormat="1" applyFont="1" applyFill="1" applyBorder="1" applyAlignment="1" applyProtection="1">
      <alignment vertical="center"/>
      <protection/>
    </xf>
    <xf numFmtId="165" fontId="9" fillId="2" borderId="38" xfId="0" applyNumberFormat="1" applyFont="1" applyFill="1" applyBorder="1" applyAlignment="1" applyProtection="1">
      <alignment horizontal="left" vertical="center"/>
      <protection/>
    </xf>
    <xf numFmtId="166" fontId="9" fillId="2" borderId="39" xfId="0" applyNumberFormat="1" applyFont="1" applyFill="1" applyBorder="1" applyAlignment="1" applyProtection="1">
      <alignment horizontal="right" vertical="center"/>
      <protection/>
    </xf>
    <xf numFmtId="164" fontId="2" fillId="0" borderId="40" xfId="0" applyNumberFormat="1" applyFont="1" applyFill="1" applyBorder="1" applyAlignment="1" applyProtection="1">
      <alignment vertical="center"/>
      <protection/>
    </xf>
    <xf numFmtId="165" fontId="10" fillId="0" borderId="14" xfId="0" applyNumberFormat="1" applyFont="1" applyFill="1" applyBorder="1" applyAlignment="1" applyProtection="1">
      <alignment horizontal="left" vertical="center"/>
      <protection/>
    </xf>
    <xf numFmtId="165" fontId="10" fillId="0" borderId="41" xfId="0" applyNumberFormat="1" applyFont="1" applyFill="1" applyBorder="1" applyAlignment="1" applyProtection="1">
      <alignment horizontal="left" vertical="center"/>
      <protection/>
    </xf>
    <xf numFmtId="165" fontId="10" fillId="0" borderId="22" xfId="0" applyNumberFormat="1" applyFont="1" applyFill="1" applyBorder="1" applyAlignment="1" applyProtection="1">
      <alignment horizontal="left" vertical="center"/>
      <protection/>
    </xf>
    <xf numFmtId="165" fontId="5" fillId="0" borderId="24" xfId="0" applyNumberFormat="1" applyFont="1" applyFill="1" applyBorder="1" applyAlignment="1" applyProtection="1">
      <alignment horizontal="left" vertical="center"/>
      <protection/>
    </xf>
    <xf numFmtId="164" fontId="2" fillId="0" borderId="24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8"/>
  <sheetViews>
    <sheetView tabSelected="1" workbookViewId="0" topLeftCell="A1">
      <pane ySplit="11" topLeftCell="A78" activePane="bottomLeft" state="frozen"/>
      <selection pane="topLeft" activeCell="A1" sqref="A1"/>
      <selection pane="bottomLeft" activeCell="G107" sqref="G107"/>
    </sheetView>
  </sheetViews>
  <sheetFormatPr defaultColWidth="10.28125" defaultRowHeight="12.75"/>
  <cols>
    <col min="1" max="1" width="3.7109375" style="0" customWidth="1"/>
    <col min="2" max="2" width="14.28125" style="0" customWidth="1"/>
    <col min="3" max="3" width="56.28125" style="0" customWidth="1"/>
    <col min="4" max="5" width="11.57421875" style="0" customWidth="1"/>
    <col min="6" max="6" width="7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4" width="12.140625" style="0" hidden="1" customWidth="1"/>
    <col min="65" max="16384" width="11.57421875" style="0" customWidth="1"/>
  </cols>
  <sheetData>
    <row r="1" spans="1:12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 customHeight="1">
      <c r="A2" s="2" t="s">
        <v>1</v>
      </c>
      <c r="B2" s="2"/>
      <c r="C2" s="3" t="s">
        <v>2</v>
      </c>
      <c r="D2" s="4" t="s">
        <v>3</v>
      </c>
      <c r="E2" s="4"/>
      <c r="F2" s="4" t="s">
        <v>4</v>
      </c>
      <c r="G2" s="4"/>
      <c r="H2" s="5" t="s">
        <v>5</v>
      </c>
      <c r="I2" s="6" t="s">
        <v>6</v>
      </c>
      <c r="J2" s="6"/>
      <c r="K2" s="6"/>
      <c r="L2" s="6"/>
      <c r="M2" s="7"/>
    </row>
    <row r="3" spans="1:13" ht="12.75">
      <c r="A3" s="2"/>
      <c r="B3" s="2"/>
      <c r="C3" s="3"/>
      <c r="D3" s="4"/>
      <c r="E3" s="4"/>
      <c r="F3" s="4"/>
      <c r="G3" s="4"/>
      <c r="H3" s="5"/>
      <c r="I3" s="5"/>
      <c r="J3" s="6"/>
      <c r="K3" s="6"/>
      <c r="L3" s="6"/>
      <c r="M3" s="7"/>
    </row>
    <row r="4" spans="1:13" ht="12.75" customHeight="1">
      <c r="A4" s="8" t="s">
        <v>7</v>
      </c>
      <c r="B4" s="8"/>
      <c r="C4" s="9" t="s">
        <v>8</v>
      </c>
      <c r="D4" s="10" t="s">
        <v>9</v>
      </c>
      <c r="E4" s="10"/>
      <c r="F4" s="10" t="s">
        <v>4</v>
      </c>
      <c r="G4" s="10"/>
      <c r="H4" s="9" t="s">
        <v>10</v>
      </c>
      <c r="I4" s="11" t="s">
        <v>11</v>
      </c>
      <c r="J4" s="11"/>
      <c r="K4" s="11"/>
      <c r="L4" s="11"/>
      <c r="M4" s="7"/>
    </row>
    <row r="5" spans="1:13" ht="12.75">
      <c r="A5" s="8"/>
      <c r="B5" s="8"/>
      <c r="C5" s="9"/>
      <c r="D5" s="9"/>
      <c r="E5" s="10"/>
      <c r="F5" s="10"/>
      <c r="G5" s="10"/>
      <c r="H5" s="9"/>
      <c r="I5" s="9"/>
      <c r="J5" s="11"/>
      <c r="K5" s="11"/>
      <c r="L5" s="11"/>
      <c r="M5" s="7"/>
    </row>
    <row r="6" spans="1:13" ht="12.75" customHeight="1">
      <c r="A6" s="8" t="s">
        <v>12</v>
      </c>
      <c r="B6" s="8"/>
      <c r="C6" s="9" t="s">
        <v>13</v>
      </c>
      <c r="D6" s="10" t="s">
        <v>14</v>
      </c>
      <c r="E6" s="10"/>
      <c r="F6" s="10" t="s">
        <v>4</v>
      </c>
      <c r="G6" s="10"/>
      <c r="H6" s="9" t="s">
        <v>15</v>
      </c>
      <c r="I6" s="12" t="s">
        <v>16</v>
      </c>
      <c r="J6" s="12"/>
      <c r="K6" s="12"/>
      <c r="L6" s="12"/>
      <c r="M6" s="7"/>
    </row>
    <row r="7" spans="1:13" ht="12.75">
      <c r="A7" s="8"/>
      <c r="B7" s="8"/>
      <c r="C7" s="9"/>
      <c r="D7" s="9"/>
      <c r="E7" s="10"/>
      <c r="F7" s="10"/>
      <c r="G7" s="10"/>
      <c r="H7" s="9"/>
      <c r="I7" s="9"/>
      <c r="J7" s="12"/>
      <c r="K7" s="12"/>
      <c r="L7" s="12"/>
      <c r="M7" s="7"/>
    </row>
    <row r="8" spans="1:13" ht="12.75" customHeight="1">
      <c r="A8" s="13" t="s">
        <v>17</v>
      </c>
      <c r="B8" s="13"/>
      <c r="C8" s="14" t="s">
        <v>4</v>
      </c>
      <c r="D8" s="15" t="s">
        <v>18</v>
      </c>
      <c r="E8" s="15"/>
      <c r="F8" s="15" t="s">
        <v>19</v>
      </c>
      <c r="G8" s="15"/>
      <c r="H8" s="14" t="s">
        <v>20</v>
      </c>
      <c r="I8" s="16" t="s">
        <v>21</v>
      </c>
      <c r="J8" s="16"/>
      <c r="K8" s="16"/>
      <c r="L8" s="16"/>
      <c r="M8" s="7"/>
    </row>
    <row r="9" spans="1:13" ht="12.75">
      <c r="A9" s="13"/>
      <c r="B9" s="13"/>
      <c r="C9" s="14"/>
      <c r="D9" s="14"/>
      <c r="E9" s="15"/>
      <c r="F9" s="15"/>
      <c r="G9" s="15"/>
      <c r="H9" s="14"/>
      <c r="I9" s="14"/>
      <c r="J9" s="16"/>
      <c r="K9" s="16"/>
      <c r="L9" s="16"/>
      <c r="M9" s="7"/>
    </row>
    <row r="10" spans="1:64" ht="12.75">
      <c r="A10" s="17" t="s">
        <v>22</v>
      </c>
      <c r="B10" s="18" t="s">
        <v>23</v>
      </c>
      <c r="C10" s="18" t="s">
        <v>24</v>
      </c>
      <c r="D10" s="18"/>
      <c r="E10" s="18"/>
      <c r="F10" s="18" t="s">
        <v>25</v>
      </c>
      <c r="G10" s="19" t="s">
        <v>26</v>
      </c>
      <c r="H10" s="20" t="s">
        <v>27</v>
      </c>
      <c r="I10" s="21" t="s">
        <v>28</v>
      </c>
      <c r="J10" s="21"/>
      <c r="K10" s="21"/>
      <c r="L10" s="22" t="s">
        <v>29</v>
      </c>
      <c r="M10" s="23"/>
      <c r="BK10" s="24" t="s">
        <v>30</v>
      </c>
      <c r="BL10" s="25" t="s">
        <v>31</v>
      </c>
    </row>
    <row r="11" spans="1:62" ht="12.75">
      <c r="A11" s="26" t="s">
        <v>4</v>
      </c>
      <c r="B11" s="27" t="s">
        <v>4</v>
      </c>
      <c r="C11" s="28" t="s">
        <v>32</v>
      </c>
      <c r="D11" s="28"/>
      <c r="E11" s="28"/>
      <c r="F11" s="27" t="s">
        <v>4</v>
      </c>
      <c r="G11" s="27" t="s">
        <v>4</v>
      </c>
      <c r="H11" s="29" t="s">
        <v>33</v>
      </c>
      <c r="I11" s="30" t="s">
        <v>34</v>
      </c>
      <c r="J11" s="31" t="s">
        <v>35</v>
      </c>
      <c r="K11" s="32" t="s">
        <v>36</v>
      </c>
      <c r="L11" s="33" t="s">
        <v>37</v>
      </c>
      <c r="M11" s="23"/>
      <c r="Z11" s="24" t="s">
        <v>38</v>
      </c>
      <c r="AA11" s="24" t="s">
        <v>39</v>
      </c>
      <c r="AB11" s="24" t="s">
        <v>40</v>
      </c>
      <c r="AC11" s="24" t="s">
        <v>41</v>
      </c>
      <c r="AD11" s="24" t="s">
        <v>42</v>
      </c>
      <c r="AE11" s="24" t="s">
        <v>43</v>
      </c>
      <c r="AF11" s="24" t="s">
        <v>44</v>
      </c>
      <c r="AG11" s="24" t="s">
        <v>45</v>
      </c>
      <c r="AH11" s="24" t="s">
        <v>46</v>
      </c>
      <c r="BH11" s="24" t="s">
        <v>47</v>
      </c>
      <c r="BI11" s="24" t="s">
        <v>48</v>
      </c>
      <c r="BJ11" s="24" t="s">
        <v>49</v>
      </c>
    </row>
    <row r="12" spans="1:47" ht="12.75">
      <c r="A12" s="34"/>
      <c r="B12" s="35" t="s">
        <v>50</v>
      </c>
      <c r="C12" s="35" t="s">
        <v>51</v>
      </c>
      <c r="D12" s="35"/>
      <c r="E12" s="35"/>
      <c r="F12" s="36" t="s">
        <v>4</v>
      </c>
      <c r="G12" s="36" t="s">
        <v>4</v>
      </c>
      <c r="H12" s="36" t="s">
        <v>4</v>
      </c>
      <c r="I12" s="37">
        <f>SUM(I13:I15)</f>
        <v>0</v>
      </c>
      <c r="J12" s="37">
        <f>SUM(J13:J15)</f>
        <v>0</v>
      </c>
      <c r="K12" s="37">
        <f>SUM(K13:K15)</f>
        <v>0</v>
      </c>
      <c r="L12" s="38"/>
      <c r="M12" s="7"/>
      <c r="AI12" s="24"/>
      <c r="AS12" s="39">
        <f>SUM(AJ13:AJ15)</f>
        <v>0</v>
      </c>
      <c r="AT12" s="39">
        <f>SUM(AK13:AK15)</f>
        <v>0</v>
      </c>
      <c r="AU12" s="39">
        <f>SUM(AL13:AL15)</f>
        <v>0</v>
      </c>
    </row>
    <row r="13" spans="1:64" ht="12.75">
      <c r="A13" s="40" t="s">
        <v>52</v>
      </c>
      <c r="B13" s="10" t="s">
        <v>53</v>
      </c>
      <c r="C13" s="10" t="s">
        <v>54</v>
      </c>
      <c r="D13" s="10"/>
      <c r="E13" s="10"/>
      <c r="F13" s="10" t="s">
        <v>55</v>
      </c>
      <c r="G13" s="41">
        <v>11.52</v>
      </c>
      <c r="H13" s="41">
        <v>0</v>
      </c>
      <c r="I13" s="41">
        <f>G13*AO13</f>
        <v>0</v>
      </c>
      <c r="J13" s="41">
        <f>G13*AP13</f>
        <v>0</v>
      </c>
      <c r="K13" s="41">
        <f>G13*H13</f>
        <v>0</v>
      </c>
      <c r="L13" s="42" t="s">
        <v>56</v>
      </c>
      <c r="M13" s="7"/>
      <c r="Z13" s="41">
        <f>IF(AQ13="5",BJ13,0)</f>
        <v>0</v>
      </c>
      <c r="AB13" s="41">
        <f>IF(AQ13="1",BH13,0)</f>
        <v>0</v>
      </c>
      <c r="AC13" s="41">
        <f>IF(AQ13="1",BI13,0)</f>
        <v>0</v>
      </c>
      <c r="AD13" s="41">
        <f>IF(AQ13="7",BH13,0)</f>
        <v>0</v>
      </c>
      <c r="AE13" s="41">
        <f>IF(AQ13="7",BI13,0)</f>
        <v>0</v>
      </c>
      <c r="AF13" s="41">
        <f>IF(AQ13="2",BH13,0)</f>
        <v>0</v>
      </c>
      <c r="AG13" s="41">
        <f>IF(AQ13="2",BI13,0)</f>
        <v>0</v>
      </c>
      <c r="AH13" s="41">
        <f>IF(AQ13="0",BJ13,0)</f>
        <v>0</v>
      </c>
      <c r="AI13" s="24"/>
      <c r="AJ13" s="41">
        <f>IF(AN13=0,K13,0)</f>
        <v>0</v>
      </c>
      <c r="AK13" s="41">
        <f>IF(AN13=15,K13,0)</f>
        <v>0</v>
      </c>
      <c r="AL13" s="41">
        <f>IF(AN13=21,K13,0)</f>
        <v>0</v>
      </c>
      <c r="AN13" s="41">
        <v>21</v>
      </c>
      <c r="AO13" s="41">
        <f>H13*0.311617647058824</f>
        <v>0</v>
      </c>
      <c r="AP13" s="41">
        <f>H13*(1-0.311617647058824)</f>
        <v>0</v>
      </c>
      <c r="AQ13" s="43" t="s">
        <v>52</v>
      </c>
      <c r="AV13" s="41">
        <f>AW13+AX13</f>
        <v>0</v>
      </c>
      <c r="AW13" s="41">
        <f>G13*AO13</f>
        <v>0</v>
      </c>
      <c r="AX13" s="41">
        <f>G13*AP13</f>
        <v>0</v>
      </c>
      <c r="AY13" s="43" t="s">
        <v>57</v>
      </c>
      <c r="AZ13" s="43" t="s">
        <v>58</v>
      </c>
      <c r="BA13" s="24" t="s">
        <v>59</v>
      </c>
      <c r="BC13" s="41">
        <f>AW13+AX13</f>
        <v>0</v>
      </c>
      <c r="BD13" s="41">
        <f>H13/(100-BE13)*100</f>
        <v>0</v>
      </c>
      <c r="BE13" s="41">
        <v>0</v>
      </c>
      <c r="BF13" s="41">
        <f>13</f>
        <v>13</v>
      </c>
      <c r="BH13" s="41">
        <f>G13*AO13</f>
        <v>0</v>
      </c>
      <c r="BI13" s="41">
        <f>G13*AP13</f>
        <v>0</v>
      </c>
      <c r="BJ13" s="41">
        <f>G13*H13</f>
        <v>0</v>
      </c>
      <c r="BK13" s="41" t="s">
        <v>60</v>
      </c>
      <c r="BL13" s="41">
        <v>34</v>
      </c>
    </row>
    <row r="14" spans="1:13" ht="12.75">
      <c r="A14" s="7"/>
      <c r="C14" s="44" t="s">
        <v>61</v>
      </c>
      <c r="D14" s="44"/>
      <c r="E14" s="44"/>
      <c r="G14" s="45">
        <v>11.52</v>
      </c>
      <c r="L14" s="46"/>
      <c r="M14" s="7"/>
    </row>
    <row r="15" spans="1:64" ht="12.75">
      <c r="A15" s="40" t="s">
        <v>62</v>
      </c>
      <c r="B15" s="10" t="s">
        <v>63</v>
      </c>
      <c r="C15" s="10" t="s">
        <v>64</v>
      </c>
      <c r="D15" s="10"/>
      <c r="E15" s="10"/>
      <c r="F15" s="10" t="s">
        <v>65</v>
      </c>
      <c r="G15" s="41">
        <v>1.487</v>
      </c>
      <c r="H15" s="41">
        <v>0</v>
      </c>
      <c r="I15" s="41">
        <f>G15*AO15</f>
        <v>0</v>
      </c>
      <c r="J15" s="41">
        <f>G15*AP15</f>
        <v>0</v>
      </c>
      <c r="K15" s="41">
        <f>G15*H15</f>
        <v>0</v>
      </c>
      <c r="L15" s="42" t="s">
        <v>56</v>
      </c>
      <c r="M15" s="7"/>
      <c r="Z15" s="41">
        <f>IF(AQ15="5",BJ15,0)</f>
        <v>0</v>
      </c>
      <c r="AB15" s="41">
        <f>IF(AQ15="1",BH15,0)</f>
        <v>0</v>
      </c>
      <c r="AC15" s="41">
        <f>IF(AQ15="1",BI15,0)</f>
        <v>0</v>
      </c>
      <c r="AD15" s="41">
        <f>IF(AQ15="7",BH15,0)</f>
        <v>0</v>
      </c>
      <c r="AE15" s="41">
        <f>IF(AQ15="7",BI15,0)</f>
        <v>0</v>
      </c>
      <c r="AF15" s="41">
        <f>IF(AQ15="2",BH15,0)</f>
        <v>0</v>
      </c>
      <c r="AG15" s="41">
        <f>IF(AQ15="2",BI15,0)</f>
        <v>0</v>
      </c>
      <c r="AH15" s="41">
        <f>IF(AQ15="0",BJ15,0)</f>
        <v>0</v>
      </c>
      <c r="AI15" s="24"/>
      <c r="AJ15" s="41">
        <f>IF(AN15=0,K15,0)</f>
        <v>0</v>
      </c>
      <c r="AK15" s="41">
        <f>IF(AN15=15,K15,0)</f>
        <v>0</v>
      </c>
      <c r="AL15" s="41">
        <f>IF(AN15=21,K15,0)</f>
        <v>0</v>
      </c>
      <c r="AN15" s="41">
        <v>21</v>
      </c>
      <c r="AO15" s="41">
        <f>H15*0</f>
        <v>0</v>
      </c>
      <c r="AP15" s="41">
        <f>H15*(1-0)</f>
        <v>0</v>
      </c>
      <c r="AQ15" s="43" t="s">
        <v>66</v>
      </c>
      <c r="AV15" s="41">
        <f>AW15+AX15</f>
        <v>0</v>
      </c>
      <c r="AW15" s="41">
        <f>G15*AO15</f>
        <v>0</v>
      </c>
      <c r="AX15" s="41">
        <f>G15*AP15</f>
        <v>0</v>
      </c>
      <c r="AY15" s="43" t="s">
        <v>57</v>
      </c>
      <c r="AZ15" s="43" t="s">
        <v>58</v>
      </c>
      <c r="BA15" s="24" t="s">
        <v>59</v>
      </c>
      <c r="BC15" s="41">
        <f>AW15+AX15</f>
        <v>0</v>
      </c>
      <c r="BD15" s="41">
        <f>H15/(100-BE15)*100</f>
        <v>0</v>
      </c>
      <c r="BE15" s="41">
        <v>0</v>
      </c>
      <c r="BF15" s="41">
        <f>15</f>
        <v>15</v>
      </c>
      <c r="BH15" s="41">
        <f>G15*AO15</f>
        <v>0</v>
      </c>
      <c r="BI15" s="41">
        <f>G15*AP15</f>
        <v>0</v>
      </c>
      <c r="BJ15" s="41">
        <f>G15*H15</f>
        <v>0</v>
      </c>
      <c r="BK15" s="41" t="s">
        <v>60</v>
      </c>
      <c r="BL15" s="41">
        <v>34</v>
      </c>
    </row>
    <row r="16" spans="1:13" ht="12.75">
      <c r="A16" s="7"/>
      <c r="C16" s="44" t="s">
        <v>67</v>
      </c>
      <c r="D16" s="44"/>
      <c r="E16" s="44"/>
      <c r="G16" s="45">
        <v>1.487</v>
      </c>
      <c r="L16" s="46"/>
      <c r="M16" s="7"/>
    </row>
    <row r="17" spans="1:47" ht="12.75">
      <c r="A17" s="47"/>
      <c r="B17" s="48" t="s">
        <v>68</v>
      </c>
      <c r="C17" s="48" t="s">
        <v>69</v>
      </c>
      <c r="D17" s="48"/>
      <c r="E17" s="48"/>
      <c r="F17" s="49" t="s">
        <v>4</v>
      </c>
      <c r="G17" s="49" t="s">
        <v>4</v>
      </c>
      <c r="H17" s="49" t="s">
        <v>4</v>
      </c>
      <c r="I17" s="39">
        <f>SUM(I18:I18)</f>
        <v>0</v>
      </c>
      <c r="J17" s="39">
        <f>SUM(J18:J18)</f>
        <v>0</v>
      </c>
      <c r="K17" s="39">
        <f>SUM(K18:K18)</f>
        <v>0</v>
      </c>
      <c r="L17" s="50"/>
      <c r="M17" s="7"/>
      <c r="AI17" s="24"/>
      <c r="AS17" s="39">
        <f>SUM(AJ18:AJ18)</f>
        <v>0</v>
      </c>
      <c r="AT17" s="39">
        <f>SUM(AK18:AK18)</f>
        <v>0</v>
      </c>
      <c r="AU17" s="39">
        <f>SUM(AL18:AL18)</f>
        <v>0</v>
      </c>
    </row>
    <row r="18" spans="1:64" ht="12.75">
      <c r="A18" s="40" t="s">
        <v>70</v>
      </c>
      <c r="B18" s="10" t="s">
        <v>71</v>
      </c>
      <c r="C18" s="10" t="s">
        <v>72</v>
      </c>
      <c r="D18" s="10"/>
      <c r="E18" s="10"/>
      <c r="F18" s="10" t="s">
        <v>73</v>
      </c>
      <c r="G18" s="41">
        <v>20</v>
      </c>
      <c r="H18" s="41">
        <v>0</v>
      </c>
      <c r="I18" s="41">
        <f>G18*AO18</f>
        <v>0</v>
      </c>
      <c r="J18" s="41">
        <f>G18*AP18</f>
        <v>0</v>
      </c>
      <c r="K18" s="41">
        <f>G18*H18</f>
        <v>0</v>
      </c>
      <c r="L18" s="42" t="s">
        <v>56</v>
      </c>
      <c r="M18" s="7"/>
      <c r="Z18" s="41">
        <f>IF(AQ18="5",BJ18,0)</f>
        <v>0</v>
      </c>
      <c r="AB18" s="41">
        <f>IF(AQ18="1",BH18,0)</f>
        <v>0</v>
      </c>
      <c r="AC18" s="41">
        <f>IF(AQ18="1",BI18,0)</f>
        <v>0</v>
      </c>
      <c r="AD18" s="41">
        <f>IF(AQ18="7",BH18,0)</f>
        <v>0</v>
      </c>
      <c r="AE18" s="41">
        <f>IF(AQ18="7",BI18,0)</f>
        <v>0</v>
      </c>
      <c r="AF18" s="41">
        <f>IF(AQ18="2",BH18,0)</f>
        <v>0</v>
      </c>
      <c r="AG18" s="41">
        <f>IF(AQ18="2",BI18,0)</f>
        <v>0</v>
      </c>
      <c r="AH18" s="41">
        <f>IF(AQ18="0",BJ18,0)</f>
        <v>0</v>
      </c>
      <c r="AI18" s="24"/>
      <c r="AJ18" s="41">
        <f>IF(AN18=0,K18,0)</f>
        <v>0</v>
      </c>
      <c r="AK18" s="41">
        <f>IF(AN18=15,K18,0)</f>
        <v>0</v>
      </c>
      <c r="AL18" s="41">
        <f>IF(AN18=21,K18,0)</f>
        <v>0</v>
      </c>
      <c r="AN18" s="41">
        <v>21</v>
      </c>
      <c r="AO18" s="41">
        <f>H18*0.78408032128514</f>
        <v>0</v>
      </c>
      <c r="AP18" s="41">
        <f>H18*(1-0.78408032128514)</f>
        <v>0</v>
      </c>
      <c r="AQ18" s="43" t="s">
        <v>52</v>
      </c>
      <c r="AV18" s="41">
        <f>AW18+AX18</f>
        <v>0</v>
      </c>
      <c r="AW18" s="41">
        <f>G18*AO18</f>
        <v>0</v>
      </c>
      <c r="AX18" s="41">
        <f>G18*AP18</f>
        <v>0</v>
      </c>
      <c r="AY18" s="43" t="s">
        <v>74</v>
      </c>
      <c r="AZ18" s="43" t="s">
        <v>75</v>
      </c>
      <c r="BA18" s="24" t="s">
        <v>59</v>
      </c>
      <c r="BC18" s="41">
        <f>AW18+AX18</f>
        <v>0</v>
      </c>
      <c r="BD18" s="41">
        <f>H18/(100-BE18)*100</f>
        <v>0</v>
      </c>
      <c r="BE18" s="41">
        <v>0</v>
      </c>
      <c r="BF18" s="41">
        <f>18</f>
        <v>18</v>
      </c>
      <c r="BH18" s="41">
        <f>G18*AO18</f>
        <v>0</v>
      </c>
      <c r="BI18" s="41">
        <f>G18*AP18</f>
        <v>0</v>
      </c>
      <c r="BJ18" s="41">
        <f>G18*H18</f>
        <v>0</v>
      </c>
      <c r="BK18" s="41" t="s">
        <v>60</v>
      </c>
      <c r="BL18" s="41">
        <v>41</v>
      </c>
    </row>
    <row r="19" spans="1:13" ht="12.75">
      <c r="A19" s="7"/>
      <c r="C19" s="44" t="s">
        <v>76</v>
      </c>
      <c r="D19" s="44"/>
      <c r="E19" s="44"/>
      <c r="G19" s="45">
        <v>20</v>
      </c>
      <c r="L19" s="46"/>
      <c r="M19" s="7"/>
    </row>
    <row r="20" spans="1:47" ht="12.75">
      <c r="A20" s="47"/>
      <c r="B20" s="48" t="s">
        <v>77</v>
      </c>
      <c r="C20" s="48" t="s">
        <v>78</v>
      </c>
      <c r="D20" s="48"/>
      <c r="E20" s="48"/>
      <c r="F20" s="49" t="s">
        <v>4</v>
      </c>
      <c r="G20" s="49" t="s">
        <v>4</v>
      </c>
      <c r="H20" s="49" t="s">
        <v>4</v>
      </c>
      <c r="I20" s="39">
        <f>SUM(I21:I40)</f>
        <v>0</v>
      </c>
      <c r="J20" s="39">
        <f>SUM(J21:J40)</f>
        <v>0</v>
      </c>
      <c r="K20" s="39">
        <f>SUM(K21:K40)</f>
        <v>0</v>
      </c>
      <c r="L20" s="50"/>
      <c r="M20" s="7"/>
      <c r="AI20" s="24"/>
      <c r="AS20" s="39">
        <f>SUM(AJ21:AJ40)</f>
        <v>0</v>
      </c>
      <c r="AT20" s="39">
        <f>SUM(AK21:AK40)</f>
        <v>0</v>
      </c>
      <c r="AU20" s="39">
        <f>SUM(AL21:AL40)</f>
        <v>0</v>
      </c>
    </row>
    <row r="21" spans="1:64" ht="12.75">
      <c r="A21" s="40" t="s">
        <v>79</v>
      </c>
      <c r="B21" s="10" t="s">
        <v>80</v>
      </c>
      <c r="C21" s="10" t="s">
        <v>81</v>
      </c>
      <c r="D21" s="10"/>
      <c r="E21" s="10"/>
      <c r="F21" s="10" t="s">
        <v>82</v>
      </c>
      <c r="G21" s="41">
        <v>586.5</v>
      </c>
      <c r="H21" s="41">
        <v>0</v>
      </c>
      <c r="I21" s="41">
        <f>G21*AO21</f>
        <v>0</v>
      </c>
      <c r="J21" s="41">
        <f>G21*AP21</f>
        <v>0</v>
      </c>
      <c r="K21" s="41">
        <f>G21*H21</f>
        <v>0</v>
      </c>
      <c r="L21" s="42" t="s">
        <v>56</v>
      </c>
      <c r="M21" s="7"/>
      <c r="Z21" s="41">
        <f>IF(AQ21="5",BJ21,0)</f>
        <v>0</v>
      </c>
      <c r="AB21" s="41">
        <f>IF(AQ21="1",BH21,0)</f>
        <v>0</v>
      </c>
      <c r="AC21" s="41">
        <f>IF(AQ21="1",BI21,0)</f>
        <v>0</v>
      </c>
      <c r="AD21" s="41">
        <f>IF(AQ21="7",BH21,0)</f>
        <v>0</v>
      </c>
      <c r="AE21" s="41">
        <f>IF(AQ21="7",BI21,0)</f>
        <v>0</v>
      </c>
      <c r="AF21" s="41">
        <f>IF(AQ21="2",BH21,0)</f>
        <v>0</v>
      </c>
      <c r="AG21" s="41">
        <f>IF(AQ21="2",BI21,0)</f>
        <v>0</v>
      </c>
      <c r="AH21" s="41">
        <f>IF(AQ21="0",BJ21,0)</f>
        <v>0</v>
      </c>
      <c r="AI21" s="24"/>
      <c r="AJ21" s="41">
        <f>IF(AN21=0,K21,0)</f>
        <v>0</v>
      </c>
      <c r="AK21" s="41">
        <f>IF(AN21=15,K21,0)</f>
        <v>0</v>
      </c>
      <c r="AL21" s="41">
        <f>IF(AN21=21,K21,0)</f>
        <v>0</v>
      </c>
      <c r="AN21" s="41">
        <v>21</v>
      </c>
      <c r="AO21" s="41">
        <f>H21*0</f>
        <v>0</v>
      </c>
      <c r="AP21" s="41">
        <f>H21*(1-0)</f>
        <v>0</v>
      </c>
      <c r="AQ21" s="43" t="s">
        <v>83</v>
      </c>
      <c r="AV21" s="41">
        <f>AW21+AX21</f>
        <v>0</v>
      </c>
      <c r="AW21" s="41">
        <f>G21*AO21</f>
        <v>0</v>
      </c>
      <c r="AX21" s="41">
        <f>G21*AP21</f>
        <v>0</v>
      </c>
      <c r="AY21" s="43" t="s">
        <v>84</v>
      </c>
      <c r="AZ21" s="43" t="s">
        <v>85</v>
      </c>
      <c r="BA21" s="24" t="s">
        <v>59</v>
      </c>
      <c r="BC21" s="41">
        <f>AW21+AX21</f>
        <v>0</v>
      </c>
      <c r="BD21" s="41">
        <f>H21/(100-BE21)*100</f>
        <v>0</v>
      </c>
      <c r="BE21" s="41">
        <v>0</v>
      </c>
      <c r="BF21" s="41">
        <f>21</f>
        <v>21</v>
      </c>
      <c r="BH21" s="41">
        <f>G21*AO21</f>
        <v>0</v>
      </c>
      <c r="BI21" s="41">
        <f>G21*AP21</f>
        <v>0</v>
      </c>
      <c r="BJ21" s="41">
        <f>G21*H21</f>
        <v>0</v>
      </c>
      <c r="BK21" s="41" t="s">
        <v>60</v>
      </c>
      <c r="BL21" s="41">
        <v>762</v>
      </c>
    </row>
    <row r="22" spans="1:13" ht="12.75">
      <c r="A22" s="7"/>
      <c r="C22" s="44" t="s">
        <v>86</v>
      </c>
      <c r="D22" s="44"/>
      <c r="E22" s="44"/>
      <c r="G22" s="45">
        <v>586.5</v>
      </c>
      <c r="L22" s="46"/>
      <c r="M22" s="7"/>
    </row>
    <row r="23" spans="1:64" ht="12.75">
      <c r="A23" s="40" t="s">
        <v>66</v>
      </c>
      <c r="B23" s="10" t="s">
        <v>87</v>
      </c>
      <c r="C23" s="10" t="s">
        <v>88</v>
      </c>
      <c r="D23" s="10"/>
      <c r="E23" s="10"/>
      <c r="F23" s="10" t="s">
        <v>82</v>
      </c>
      <c r="G23" s="41">
        <v>212</v>
      </c>
      <c r="H23" s="41">
        <v>0</v>
      </c>
      <c r="I23" s="41">
        <f>G23*AO23</f>
        <v>0</v>
      </c>
      <c r="J23" s="41">
        <f>G23*AP23</f>
        <v>0</v>
      </c>
      <c r="K23" s="41">
        <f>G23*H23</f>
        <v>0</v>
      </c>
      <c r="L23" s="42" t="s">
        <v>56</v>
      </c>
      <c r="M23" s="7"/>
      <c r="Z23" s="41">
        <f>IF(AQ23="5",BJ23,0)</f>
        <v>0</v>
      </c>
      <c r="AB23" s="41">
        <f>IF(AQ23="1",BH23,0)</f>
        <v>0</v>
      </c>
      <c r="AC23" s="41">
        <f>IF(AQ23="1",BI23,0)</f>
        <v>0</v>
      </c>
      <c r="AD23" s="41">
        <f>IF(AQ23="7",BH23,0)</f>
        <v>0</v>
      </c>
      <c r="AE23" s="41">
        <f>IF(AQ23="7",BI23,0)</f>
        <v>0</v>
      </c>
      <c r="AF23" s="41">
        <f>IF(AQ23="2",BH23,0)</f>
        <v>0</v>
      </c>
      <c r="AG23" s="41">
        <f>IF(AQ23="2",BI23,0)</f>
        <v>0</v>
      </c>
      <c r="AH23" s="41">
        <f>IF(AQ23="0",BJ23,0)</f>
        <v>0</v>
      </c>
      <c r="AI23" s="24"/>
      <c r="AJ23" s="41">
        <f>IF(AN23=0,K23,0)</f>
        <v>0</v>
      </c>
      <c r="AK23" s="41">
        <f>IF(AN23=15,K23,0)</f>
        <v>0</v>
      </c>
      <c r="AL23" s="41">
        <f>IF(AN23=21,K23,0)</f>
        <v>0</v>
      </c>
      <c r="AN23" s="41">
        <v>21</v>
      </c>
      <c r="AO23" s="41">
        <f>H23*0</f>
        <v>0</v>
      </c>
      <c r="AP23" s="41">
        <f>H23*(1-0)</f>
        <v>0</v>
      </c>
      <c r="AQ23" s="43" t="s">
        <v>83</v>
      </c>
      <c r="AV23" s="41">
        <f>AW23+AX23</f>
        <v>0</v>
      </c>
      <c r="AW23" s="41">
        <f>G23*AO23</f>
        <v>0</v>
      </c>
      <c r="AX23" s="41">
        <f>G23*AP23</f>
        <v>0</v>
      </c>
      <c r="AY23" s="43" t="s">
        <v>84</v>
      </c>
      <c r="AZ23" s="43" t="s">
        <v>85</v>
      </c>
      <c r="BA23" s="24" t="s">
        <v>59</v>
      </c>
      <c r="BC23" s="41">
        <f>AW23+AX23</f>
        <v>0</v>
      </c>
      <c r="BD23" s="41">
        <f>H23/(100-BE23)*100</f>
        <v>0</v>
      </c>
      <c r="BE23" s="41">
        <v>0</v>
      </c>
      <c r="BF23" s="41">
        <f>23</f>
        <v>23</v>
      </c>
      <c r="BH23" s="41">
        <f>G23*AO23</f>
        <v>0</v>
      </c>
      <c r="BI23" s="41">
        <f>G23*AP23</f>
        <v>0</v>
      </c>
      <c r="BJ23" s="41">
        <f>G23*H23</f>
        <v>0</v>
      </c>
      <c r="BK23" s="41" t="s">
        <v>60</v>
      </c>
      <c r="BL23" s="41">
        <v>762</v>
      </c>
    </row>
    <row r="24" spans="1:13" ht="12.75">
      <c r="A24" s="7"/>
      <c r="C24" s="44" t="s">
        <v>89</v>
      </c>
      <c r="D24" s="44"/>
      <c r="E24" s="44"/>
      <c r="G24" s="45">
        <v>212</v>
      </c>
      <c r="L24" s="46"/>
      <c r="M24" s="7"/>
    </row>
    <row r="25" spans="1:64" ht="12.75">
      <c r="A25" s="40" t="s">
        <v>90</v>
      </c>
      <c r="B25" s="10" t="s">
        <v>91</v>
      </c>
      <c r="C25" s="10" t="s">
        <v>92</v>
      </c>
      <c r="D25" s="10"/>
      <c r="E25" s="10"/>
      <c r="F25" s="10" t="s">
        <v>55</v>
      </c>
      <c r="G25" s="41">
        <v>301.04</v>
      </c>
      <c r="H25" s="41">
        <v>0</v>
      </c>
      <c r="I25" s="41">
        <f>G25*AO25</f>
        <v>0</v>
      </c>
      <c r="J25" s="41">
        <f>G25*AP25</f>
        <v>0</v>
      </c>
      <c r="K25" s="41">
        <f>G25*H25</f>
        <v>0</v>
      </c>
      <c r="L25" s="42" t="s">
        <v>56</v>
      </c>
      <c r="M25" s="7"/>
      <c r="Z25" s="41">
        <f>IF(AQ25="5",BJ25,0)</f>
        <v>0</v>
      </c>
      <c r="AB25" s="41">
        <f>IF(AQ25="1",BH25,0)</f>
        <v>0</v>
      </c>
      <c r="AC25" s="41">
        <f>IF(AQ25="1",BI25,0)</f>
        <v>0</v>
      </c>
      <c r="AD25" s="41">
        <f>IF(AQ25="7",BH25,0)</f>
        <v>0</v>
      </c>
      <c r="AE25" s="41">
        <f>IF(AQ25="7",BI25,0)</f>
        <v>0</v>
      </c>
      <c r="AF25" s="41">
        <f>IF(AQ25="2",BH25,0)</f>
        <v>0</v>
      </c>
      <c r="AG25" s="41">
        <f>IF(AQ25="2",BI25,0)</f>
        <v>0</v>
      </c>
      <c r="AH25" s="41">
        <f>IF(AQ25="0",BJ25,0)</f>
        <v>0</v>
      </c>
      <c r="AI25" s="24"/>
      <c r="AJ25" s="41">
        <f>IF(AN25=0,K25,0)</f>
        <v>0</v>
      </c>
      <c r="AK25" s="41">
        <f>IF(AN25=15,K25,0)</f>
        <v>0</v>
      </c>
      <c r="AL25" s="41">
        <f>IF(AN25=21,K25,0)</f>
        <v>0</v>
      </c>
      <c r="AN25" s="41">
        <v>21</v>
      </c>
      <c r="AO25" s="41">
        <f>H25*0</f>
        <v>0</v>
      </c>
      <c r="AP25" s="41">
        <f>H25*(1-0)</f>
        <v>0</v>
      </c>
      <c r="AQ25" s="43" t="s">
        <v>83</v>
      </c>
      <c r="AV25" s="41">
        <f>AW25+AX25</f>
        <v>0</v>
      </c>
      <c r="AW25" s="41">
        <f>G25*AO25</f>
        <v>0</v>
      </c>
      <c r="AX25" s="41">
        <f>G25*AP25</f>
        <v>0</v>
      </c>
      <c r="AY25" s="43" t="s">
        <v>84</v>
      </c>
      <c r="AZ25" s="43" t="s">
        <v>85</v>
      </c>
      <c r="BA25" s="24" t="s">
        <v>59</v>
      </c>
      <c r="BC25" s="41">
        <f>AW25+AX25</f>
        <v>0</v>
      </c>
      <c r="BD25" s="41">
        <f>H25/(100-BE25)*100</f>
        <v>0</v>
      </c>
      <c r="BE25" s="41">
        <v>0</v>
      </c>
      <c r="BF25" s="41">
        <f>25</f>
        <v>25</v>
      </c>
      <c r="BH25" s="41">
        <f>G25*AO25</f>
        <v>0</v>
      </c>
      <c r="BI25" s="41">
        <f>G25*AP25</f>
        <v>0</v>
      </c>
      <c r="BJ25" s="41">
        <f>G25*H25</f>
        <v>0</v>
      </c>
      <c r="BK25" s="41" t="s">
        <v>60</v>
      </c>
      <c r="BL25" s="41">
        <v>762</v>
      </c>
    </row>
    <row r="26" spans="1:13" ht="12.75">
      <c r="A26" s="7"/>
      <c r="C26" s="44" t="s">
        <v>93</v>
      </c>
      <c r="D26" s="44"/>
      <c r="E26" s="44"/>
      <c r="G26" s="45">
        <v>301.04</v>
      </c>
      <c r="L26" s="46"/>
      <c r="M26" s="7"/>
    </row>
    <row r="27" spans="1:64" ht="12.75">
      <c r="A27" s="40" t="s">
        <v>83</v>
      </c>
      <c r="B27" s="10" t="s">
        <v>94</v>
      </c>
      <c r="C27" s="10" t="s">
        <v>95</v>
      </c>
      <c r="D27" s="10"/>
      <c r="E27" s="10"/>
      <c r="F27" s="10" t="s">
        <v>55</v>
      </c>
      <c r="G27" s="41">
        <v>301.04</v>
      </c>
      <c r="H27" s="41">
        <v>0</v>
      </c>
      <c r="I27" s="41">
        <f>G27*AO27</f>
        <v>0</v>
      </c>
      <c r="J27" s="41">
        <f>G27*AP27</f>
        <v>0</v>
      </c>
      <c r="K27" s="41">
        <f>G27*H27</f>
        <v>0</v>
      </c>
      <c r="L27" s="42" t="s">
        <v>56</v>
      </c>
      <c r="M27" s="7"/>
      <c r="Z27" s="41">
        <f>IF(AQ27="5",BJ27,0)</f>
        <v>0</v>
      </c>
      <c r="AB27" s="41">
        <f>IF(AQ27="1",BH27,0)</f>
        <v>0</v>
      </c>
      <c r="AC27" s="41">
        <f>IF(AQ27="1",BI27,0)</f>
        <v>0</v>
      </c>
      <c r="AD27" s="41">
        <f>IF(AQ27="7",BH27,0)</f>
        <v>0</v>
      </c>
      <c r="AE27" s="41">
        <f>IF(AQ27="7",BI27,0)</f>
        <v>0</v>
      </c>
      <c r="AF27" s="41">
        <f>IF(AQ27="2",BH27,0)</f>
        <v>0</v>
      </c>
      <c r="AG27" s="41">
        <f>IF(AQ27="2",BI27,0)</f>
        <v>0</v>
      </c>
      <c r="AH27" s="41">
        <f>IF(AQ27="0",BJ27,0)</f>
        <v>0</v>
      </c>
      <c r="AI27" s="24"/>
      <c r="AJ27" s="41">
        <f>IF(AN27=0,K27,0)</f>
        <v>0</v>
      </c>
      <c r="AK27" s="41">
        <f>IF(AN27=15,K27,0)</f>
        <v>0</v>
      </c>
      <c r="AL27" s="41">
        <f>IF(AN27=21,K27,0)</f>
        <v>0</v>
      </c>
      <c r="AN27" s="41">
        <v>21</v>
      </c>
      <c r="AO27" s="41">
        <f>H27*0</f>
        <v>0</v>
      </c>
      <c r="AP27" s="41">
        <f>H27*(1-0)</f>
        <v>0</v>
      </c>
      <c r="AQ27" s="43" t="s">
        <v>83</v>
      </c>
      <c r="AV27" s="41">
        <f>AW27+AX27</f>
        <v>0</v>
      </c>
      <c r="AW27" s="41">
        <f>G27*AO27</f>
        <v>0</v>
      </c>
      <c r="AX27" s="41">
        <f>G27*AP27</f>
        <v>0</v>
      </c>
      <c r="AY27" s="43" t="s">
        <v>84</v>
      </c>
      <c r="AZ27" s="43" t="s">
        <v>85</v>
      </c>
      <c r="BA27" s="24" t="s">
        <v>59</v>
      </c>
      <c r="BC27" s="41">
        <f>AW27+AX27</f>
        <v>0</v>
      </c>
      <c r="BD27" s="41">
        <f>H27/(100-BE27)*100</f>
        <v>0</v>
      </c>
      <c r="BE27" s="41">
        <v>0</v>
      </c>
      <c r="BF27" s="41">
        <f>27</f>
        <v>27</v>
      </c>
      <c r="BH27" s="41">
        <f>G27*AO27</f>
        <v>0</v>
      </c>
      <c r="BI27" s="41">
        <f>G27*AP27</f>
        <v>0</v>
      </c>
      <c r="BJ27" s="41">
        <f>G27*H27</f>
        <v>0</v>
      </c>
      <c r="BK27" s="41" t="s">
        <v>60</v>
      </c>
      <c r="BL27" s="41">
        <v>762</v>
      </c>
    </row>
    <row r="28" spans="1:13" ht="12.75">
      <c r="A28" s="7"/>
      <c r="C28" s="44" t="s">
        <v>96</v>
      </c>
      <c r="D28" s="44"/>
      <c r="E28" s="44"/>
      <c r="G28" s="45">
        <v>301.04</v>
      </c>
      <c r="L28" s="46"/>
      <c r="M28" s="7"/>
    </row>
    <row r="29" spans="1:64" ht="12.75">
      <c r="A29" s="40" t="s">
        <v>97</v>
      </c>
      <c r="B29" s="10" t="s">
        <v>98</v>
      </c>
      <c r="C29" s="10" t="s">
        <v>99</v>
      </c>
      <c r="D29" s="10"/>
      <c r="E29" s="10"/>
      <c r="F29" s="10" t="s">
        <v>55</v>
      </c>
      <c r="G29" s="41">
        <v>301.04</v>
      </c>
      <c r="H29" s="41">
        <v>0</v>
      </c>
      <c r="I29" s="41">
        <f>G29*AO29</f>
        <v>0</v>
      </c>
      <c r="J29" s="41">
        <f>G29*AP29</f>
        <v>0</v>
      </c>
      <c r="K29" s="41">
        <f>G29*H29</f>
        <v>0</v>
      </c>
      <c r="L29" s="42" t="s">
        <v>56</v>
      </c>
      <c r="M29" s="7"/>
      <c r="Z29" s="41">
        <f>IF(AQ29="5",BJ29,0)</f>
        <v>0</v>
      </c>
      <c r="AB29" s="41">
        <f>IF(AQ29="1",BH29,0)</f>
        <v>0</v>
      </c>
      <c r="AC29" s="41">
        <f>IF(AQ29="1",BI29,0)</f>
        <v>0</v>
      </c>
      <c r="AD29" s="41">
        <f>IF(AQ29="7",BH29,0)</f>
        <v>0</v>
      </c>
      <c r="AE29" s="41">
        <f>IF(AQ29="7",BI29,0)</f>
        <v>0</v>
      </c>
      <c r="AF29" s="41">
        <f>IF(AQ29="2",BH29,0)</f>
        <v>0</v>
      </c>
      <c r="AG29" s="41">
        <f>IF(AQ29="2",BI29,0)</f>
        <v>0</v>
      </c>
      <c r="AH29" s="41">
        <f>IF(AQ29="0",BJ29,0)</f>
        <v>0</v>
      </c>
      <c r="AI29" s="24"/>
      <c r="AJ29" s="41">
        <f>IF(AN29=0,K29,0)</f>
        <v>0</v>
      </c>
      <c r="AK29" s="41">
        <f>IF(AN29=15,K29,0)</f>
        <v>0</v>
      </c>
      <c r="AL29" s="41">
        <f>IF(AN29=21,K29,0)</f>
        <v>0</v>
      </c>
      <c r="AN29" s="41">
        <v>21</v>
      </c>
      <c r="AO29" s="41">
        <f>H29*0</f>
        <v>0</v>
      </c>
      <c r="AP29" s="41">
        <f>H29*(1-0)</f>
        <v>0</v>
      </c>
      <c r="AQ29" s="43" t="s">
        <v>83</v>
      </c>
      <c r="AV29" s="41">
        <f>AW29+AX29</f>
        <v>0</v>
      </c>
      <c r="AW29" s="41">
        <f>G29*AO29</f>
        <v>0</v>
      </c>
      <c r="AX29" s="41">
        <f>G29*AP29</f>
        <v>0</v>
      </c>
      <c r="AY29" s="43" t="s">
        <v>84</v>
      </c>
      <c r="AZ29" s="43" t="s">
        <v>85</v>
      </c>
      <c r="BA29" s="24" t="s">
        <v>59</v>
      </c>
      <c r="BC29" s="41">
        <f>AW29+AX29</f>
        <v>0</v>
      </c>
      <c r="BD29" s="41">
        <f>H29/(100-BE29)*100</f>
        <v>0</v>
      </c>
      <c r="BE29" s="41">
        <v>0</v>
      </c>
      <c r="BF29" s="41">
        <f>29</f>
        <v>29</v>
      </c>
      <c r="BH29" s="41">
        <f>G29*AO29</f>
        <v>0</v>
      </c>
      <c r="BI29" s="41">
        <f>G29*AP29</f>
        <v>0</v>
      </c>
      <c r="BJ29" s="41">
        <f>G29*H29</f>
        <v>0</v>
      </c>
      <c r="BK29" s="41" t="s">
        <v>60</v>
      </c>
      <c r="BL29" s="41">
        <v>762</v>
      </c>
    </row>
    <row r="30" spans="1:13" ht="12.75">
      <c r="A30" s="7"/>
      <c r="C30" s="44" t="s">
        <v>96</v>
      </c>
      <c r="D30" s="44"/>
      <c r="E30" s="44"/>
      <c r="G30" s="45">
        <v>301.04</v>
      </c>
      <c r="L30" s="46"/>
      <c r="M30" s="7"/>
    </row>
    <row r="31" spans="1:64" ht="12.75">
      <c r="A31" s="40" t="s">
        <v>100</v>
      </c>
      <c r="B31" s="10" t="s">
        <v>101</v>
      </c>
      <c r="C31" s="10" t="s">
        <v>102</v>
      </c>
      <c r="D31" s="10"/>
      <c r="E31" s="10"/>
      <c r="F31" s="10" t="s">
        <v>103</v>
      </c>
      <c r="G31" s="41">
        <v>2.75</v>
      </c>
      <c r="H31" s="41">
        <v>0</v>
      </c>
      <c r="I31" s="41">
        <f>G31*AO31</f>
        <v>0</v>
      </c>
      <c r="J31" s="41">
        <f>G31*AP31</f>
        <v>0</v>
      </c>
      <c r="K31" s="41">
        <f>G31*H31</f>
        <v>0</v>
      </c>
      <c r="L31" s="42" t="s">
        <v>56</v>
      </c>
      <c r="M31" s="7"/>
      <c r="Z31" s="41">
        <f>IF(AQ31="5",BJ31,0)</f>
        <v>0</v>
      </c>
      <c r="AB31" s="41">
        <f>IF(AQ31="1",BH31,0)</f>
        <v>0</v>
      </c>
      <c r="AC31" s="41">
        <f>IF(AQ31="1",BI31,0)</f>
        <v>0</v>
      </c>
      <c r="AD31" s="41">
        <f>IF(AQ31="7",BH31,0)</f>
        <v>0</v>
      </c>
      <c r="AE31" s="41">
        <f>IF(AQ31="7",BI31,0)</f>
        <v>0</v>
      </c>
      <c r="AF31" s="41">
        <f>IF(AQ31="2",BH31,0)</f>
        <v>0</v>
      </c>
      <c r="AG31" s="41">
        <f>IF(AQ31="2",BI31,0)</f>
        <v>0</v>
      </c>
      <c r="AH31" s="41">
        <f>IF(AQ31="0",BJ31,0)</f>
        <v>0</v>
      </c>
      <c r="AI31" s="24"/>
      <c r="AJ31" s="41">
        <f>IF(AN31=0,K31,0)</f>
        <v>0</v>
      </c>
      <c r="AK31" s="41">
        <f>IF(AN31=15,K31,0)</f>
        <v>0</v>
      </c>
      <c r="AL31" s="41">
        <f>IF(AN31=21,K31,0)</f>
        <v>0</v>
      </c>
      <c r="AN31" s="41">
        <v>21</v>
      </c>
      <c r="AO31" s="41">
        <f>H31*1</f>
        <v>0</v>
      </c>
      <c r="AP31" s="41">
        <f>H31*(1-1)</f>
        <v>0</v>
      </c>
      <c r="AQ31" s="43" t="s">
        <v>83</v>
      </c>
      <c r="AV31" s="41">
        <f>AW31+AX31</f>
        <v>0</v>
      </c>
      <c r="AW31" s="41">
        <f>G31*AO31</f>
        <v>0</v>
      </c>
      <c r="AX31" s="41">
        <f>G31*AP31</f>
        <v>0</v>
      </c>
      <c r="AY31" s="43" t="s">
        <v>84</v>
      </c>
      <c r="AZ31" s="43" t="s">
        <v>85</v>
      </c>
      <c r="BA31" s="24" t="s">
        <v>59</v>
      </c>
      <c r="BC31" s="41">
        <f>AW31+AX31</f>
        <v>0</v>
      </c>
      <c r="BD31" s="41">
        <f>H31/(100-BE31)*100</f>
        <v>0</v>
      </c>
      <c r="BE31" s="41">
        <v>0</v>
      </c>
      <c r="BF31" s="41">
        <f>31</f>
        <v>31</v>
      </c>
      <c r="BH31" s="41">
        <f>G31*AO31</f>
        <v>0</v>
      </c>
      <c r="BI31" s="41">
        <f>G31*AP31</f>
        <v>0</v>
      </c>
      <c r="BJ31" s="41">
        <f>G31*H31</f>
        <v>0</v>
      </c>
      <c r="BK31" s="41" t="s">
        <v>60</v>
      </c>
      <c r="BL31" s="41">
        <v>762</v>
      </c>
    </row>
    <row r="32" spans="1:13" ht="12.75">
      <c r="A32" s="7"/>
      <c r="C32" s="44" t="s">
        <v>104</v>
      </c>
      <c r="D32" s="44"/>
      <c r="E32" s="44"/>
      <c r="G32" s="45">
        <v>2.75</v>
      </c>
      <c r="L32" s="46"/>
      <c r="M32" s="7"/>
    </row>
    <row r="33" spans="1:64" ht="12.75">
      <c r="A33" s="40" t="s">
        <v>105</v>
      </c>
      <c r="B33" s="10" t="s">
        <v>106</v>
      </c>
      <c r="C33" s="10" t="s">
        <v>107</v>
      </c>
      <c r="D33" s="10"/>
      <c r="E33" s="10"/>
      <c r="F33" s="10" t="s">
        <v>103</v>
      </c>
      <c r="G33" s="41">
        <v>0.75</v>
      </c>
      <c r="H33" s="41">
        <v>0</v>
      </c>
      <c r="I33" s="41">
        <f>G33*AO33</f>
        <v>0</v>
      </c>
      <c r="J33" s="41">
        <f>G33*AP33</f>
        <v>0</v>
      </c>
      <c r="K33" s="41">
        <f>G33*H33</f>
        <v>0</v>
      </c>
      <c r="L33" s="42" t="s">
        <v>56</v>
      </c>
      <c r="M33" s="7"/>
      <c r="Z33" s="41">
        <f>IF(AQ33="5",BJ33,0)</f>
        <v>0</v>
      </c>
      <c r="AB33" s="41">
        <f>IF(AQ33="1",BH33,0)</f>
        <v>0</v>
      </c>
      <c r="AC33" s="41">
        <f>IF(AQ33="1",BI33,0)</f>
        <v>0</v>
      </c>
      <c r="AD33" s="41">
        <f>IF(AQ33="7",BH33,0)</f>
        <v>0</v>
      </c>
      <c r="AE33" s="41">
        <f>IF(AQ33="7",BI33,0)</f>
        <v>0</v>
      </c>
      <c r="AF33" s="41">
        <f>IF(AQ33="2",BH33,0)</f>
        <v>0</v>
      </c>
      <c r="AG33" s="41">
        <f>IF(AQ33="2",BI33,0)</f>
        <v>0</v>
      </c>
      <c r="AH33" s="41">
        <f>IF(AQ33="0",BJ33,0)</f>
        <v>0</v>
      </c>
      <c r="AI33" s="24"/>
      <c r="AJ33" s="41">
        <f>IF(AN33=0,K33,0)</f>
        <v>0</v>
      </c>
      <c r="AK33" s="41">
        <f>IF(AN33=15,K33,0)</f>
        <v>0</v>
      </c>
      <c r="AL33" s="41">
        <f>IF(AN33=21,K33,0)</f>
        <v>0</v>
      </c>
      <c r="AN33" s="41">
        <v>21</v>
      </c>
      <c r="AO33" s="41">
        <f>H33*1</f>
        <v>0</v>
      </c>
      <c r="AP33" s="41">
        <f>H33*(1-1)</f>
        <v>0</v>
      </c>
      <c r="AQ33" s="43" t="s">
        <v>83</v>
      </c>
      <c r="AV33" s="41">
        <f>AW33+AX33</f>
        <v>0</v>
      </c>
      <c r="AW33" s="41">
        <f>G33*AO33</f>
        <v>0</v>
      </c>
      <c r="AX33" s="41">
        <f>G33*AP33</f>
        <v>0</v>
      </c>
      <c r="AY33" s="43" t="s">
        <v>84</v>
      </c>
      <c r="AZ33" s="43" t="s">
        <v>85</v>
      </c>
      <c r="BA33" s="24" t="s">
        <v>59</v>
      </c>
      <c r="BC33" s="41">
        <f>AW33+AX33</f>
        <v>0</v>
      </c>
      <c r="BD33" s="41">
        <f>H33/(100-BE33)*100</f>
        <v>0</v>
      </c>
      <c r="BE33" s="41">
        <v>0</v>
      </c>
      <c r="BF33" s="41">
        <f>33</f>
        <v>33</v>
      </c>
      <c r="BH33" s="41">
        <f>G33*AO33</f>
        <v>0</v>
      </c>
      <c r="BI33" s="41">
        <f>G33*AP33</f>
        <v>0</v>
      </c>
      <c r="BJ33" s="41">
        <f>G33*H33</f>
        <v>0</v>
      </c>
      <c r="BK33" s="41" t="s">
        <v>108</v>
      </c>
      <c r="BL33" s="41">
        <v>762</v>
      </c>
    </row>
    <row r="34" spans="1:13" ht="12.75">
      <c r="A34" s="7"/>
      <c r="C34" s="44" t="s">
        <v>109</v>
      </c>
      <c r="D34" s="44"/>
      <c r="E34" s="44"/>
      <c r="G34" s="45">
        <v>0.75</v>
      </c>
      <c r="L34" s="46"/>
      <c r="M34" s="7"/>
    </row>
    <row r="35" spans="1:64" ht="12.75">
      <c r="A35" s="40" t="s">
        <v>110</v>
      </c>
      <c r="B35" s="10" t="s">
        <v>111</v>
      </c>
      <c r="C35" s="10" t="s">
        <v>112</v>
      </c>
      <c r="D35" s="10"/>
      <c r="E35" s="10"/>
      <c r="F35" s="10" t="s">
        <v>103</v>
      </c>
      <c r="G35" s="41">
        <v>1.98</v>
      </c>
      <c r="H35" s="41">
        <v>0</v>
      </c>
      <c r="I35" s="41">
        <f>G35*AO35</f>
        <v>0</v>
      </c>
      <c r="J35" s="41">
        <f>G35*AP35</f>
        <v>0</v>
      </c>
      <c r="K35" s="41">
        <f>G35*H35</f>
        <v>0</v>
      </c>
      <c r="L35" s="42" t="s">
        <v>56</v>
      </c>
      <c r="M35" s="7"/>
      <c r="Z35" s="41">
        <f>IF(AQ35="5",BJ35,0)</f>
        <v>0</v>
      </c>
      <c r="AB35" s="41">
        <f>IF(AQ35="1",BH35,0)</f>
        <v>0</v>
      </c>
      <c r="AC35" s="41">
        <f>IF(AQ35="1",BI35,0)</f>
        <v>0</v>
      </c>
      <c r="AD35" s="41">
        <f>IF(AQ35="7",BH35,0)</f>
        <v>0</v>
      </c>
      <c r="AE35" s="41">
        <f>IF(AQ35="7",BI35,0)</f>
        <v>0</v>
      </c>
      <c r="AF35" s="41">
        <f>IF(AQ35="2",BH35,0)</f>
        <v>0</v>
      </c>
      <c r="AG35" s="41">
        <f>IF(AQ35="2",BI35,0)</f>
        <v>0</v>
      </c>
      <c r="AH35" s="41">
        <f>IF(AQ35="0",BJ35,0)</f>
        <v>0</v>
      </c>
      <c r="AI35" s="24"/>
      <c r="AJ35" s="41">
        <f>IF(AN35=0,K35,0)</f>
        <v>0</v>
      </c>
      <c r="AK35" s="41">
        <f>IF(AN35=15,K35,0)</f>
        <v>0</v>
      </c>
      <c r="AL35" s="41">
        <f>IF(AN35=21,K35,0)</f>
        <v>0</v>
      </c>
      <c r="AN35" s="41">
        <v>21</v>
      </c>
      <c r="AO35" s="41">
        <f>H35*1</f>
        <v>0</v>
      </c>
      <c r="AP35" s="41">
        <f>H35*(1-1)</f>
        <v>0</v>
      </c>
      <c r="AQ35" s="43" t="s">
        <v>83</v>
      </c>
      <c r="AV35" s="41">
        <f>AW35+AX35</f>
        <v>0</v>
      </c>
      <c r="AW35" s="41">
        <f>G35*AO35</f>
        <v>0</v>
      </c>
      <c r="AX35" s="41">
        <f>G35*AP35</f>
        <v>0</v>
      </c>
      <c r="AY35" s="43" t="s">
        <v>84</v>
      </c>
      <c r="AZ35" s="43" t="s">
        <v>85</v>
      </c>
      <c r="BA35" s="24" t="s">
        <v>59</v>
      </c>
      <c r="BC35" s="41">
        <f>AW35+AX35</f>
        <v>0</v>
      </c>
      <c r="BD35" s="41">
        <f>H35/(100-BE35)*100</f>
        <v>0</v>
      </c>
      <c r="BE35" s="41">
        <v>0</v>
      </c>
      <c r="BF35" s="41">
        <f>35</f>
        <v>35</v>
      </c>
      <c r="BH35" s="41">
        <f>G35*AO35</f>
        <v>0</v>
      </c>
      <c r="BI35" s="41">
        <f>G35*AP35</f>
        <v>0</v>
      </c>
      <c r="BJ35" s="41">
        <f>G35*H35</f>
        <v>0</v>
      </c>
      <c r="BK35" s="41" t="s">
        <v>108</v>
      </c>
      <c r="BL35" s="41">
        <v>762</v>
      </c>
    </row>
    <row r="36" spans="1:13" ht="12.75">
      <c r="A36" s="7"/>
      <c r="C36" s="44" t="s">
        <v>113</v>
      </c>
      <c r="D36" s="44"/>
      <c r="E36" s="44"/>
      <c r="G36" s="45">
        <v>1.98</v>
      </c>
      <c r="L36" s="46"/>
      <c r="M36" s="7"/>
    </row>
    <row r="37" spans="1:64" ht="12.75">
      <c r="A37" s="40" t="s">
        <v>114</v>
      </c>
      <c r="B37" s="10" t="s">
        <v>115</v>
      </c>
      <c r="C37" s="10" t="s">
        <v>116</v>
      </c>
      <c r="D37" s="10"/>
      <c r="E37" s="10"/>
      <c r="F37" s="10" t="s">
        <v>55</v>
      </c>
      <c r="G37" s="41">
        <v>312.9</v>
      </c>
      <c r="H37" s="41">
        <v>0</v>
      </c>
      <c r="I37" s="41">
        <f>G37*AO37</f>
        <v>0</v>
      </c>
      <c r="J37" s="41">
        <f>G37*AP37</f>
        <v>0</v>
      </c>
      <c r="K37" s="41">
        <f>G37*H37</f>
        <v>0</v>
      </c>
      <c r="L37" s="42" t="s">
        <v>56</v>
      </c>
      <c r="M37" s="7"/>
      <c r="Z37" s="41">
        <f>IF(AQ37="5",BJ37,0)</f>
        <v>0</v>
      </c>
      <c r="AB37" s="41">
        <f>IF(AQ37="1",BH37,0)</f>
        <v>0</v>
      </c>
      <c r="AC37" s="41">
        <f>IF(AQ37="1",BI37,0)</f>
        <v>0</v>
      </c>
      <c r="AD37" s="41">
        <f>IF(AQ37="7",BH37,0)</f>
        <v>0</v>
      </c>
      <c r="AE37" s="41">
        <f>IF(AQ37="7",BI37,0)</f>
        <v>0</v>
      </c>
      <c r="AF37" s="41">
        <f>IF(AQ37="2",BH37,0)</f>
        <v>0</v>
      </c>
      <c r="AG37" s="41">
        <f>IF(AQ37="2",BI37,0)</f>
        <v>0</v>
      </c>
      <c r="AH37" s="41">
        <f>IF(AQ37="0",BJ37,0)</f>
        <v>0</v>
      </c>
      <c r="AI37" s="24"/>
      <c r="AJ37" s="41">
        <f>IF(AN37=0,K37,0)</f>
        <v>0</v>
      </c>
      <c r="AK37" s="41">
        <f>IF(AN37=15,K37,0)</f>
        <v>0</v>
      </c>
      <c r="AL37" s="41">
        <f>IF(AN37=21,K37,0)</f>
        <v>0</v>
      </c>
      <c r="AN37" s="41">
        <v>21</v>
      </c>
      <c r="AO37" s="41">
        <f>H37*1</f>
        <v>0</v>
      </c>
      <c r="AP37" s="41">
        <f>H37*(1-1)</f>
        <v>0</v>
      </c>
      <c r="AQ37" s="43" t="s">
        <v>83</v>
      </c>
      <c r="AV37" s="41">
        <f>AW37+AX37</f>
        <v>0</v>
      </c>
      <c r="AW37" s="41">
        <f>G37*AO37</f>
        <v>0</v>
      </c>
      <c r="AX37" s="41">
        <f>G37*AP37</f>
        <v>0</v>
      </c>
      <c r="AY37" s="43" t="s">
        <v>84</v>
      </c>
      <c r="AZ37" s="43" t="s">
        <v>85</v>
      </c>
      <c r="BA37" s="24" t="s">
        <v>59</v>
      </c>
      <c r="BC37" s="41">
        <f>AW37+AX37</f>
        <v>0</v>
      </c>
      <c r="BD37" s="41">
        <f>H37/(100-BE37)*100</f>
        <v>0</v>
      </c>
      <c r="BE37" s="41">
        <v>0</v>
      </c>
      <c r="BF37" s="41">
        <f>37</f>
        <v>37</v>
      </c>
      <c r="BH37" s="41">
        <f>G37*AO37</f>
        <v>0</v>
      </c>
      <c r="BI37" s="41">
        <f>G37*AP37</f>
        <v>0</v>
      </c>
      <c r="BJ37" s="41">
        <f>G37*H37</f>
        <v>0</v>
      </c>
      <c r="BK37" s="41" t="s">
        <v>108</v>
      </c>
      <c r="BL37" s="41">
        <v>762</v>
      </c>
    </row>
    <row r="38" spans="1:13" ht="12.75">
      <c r="A38" s="7"/>
      <c r="C38" s="44" t="s">
        <v>117</v>
      </c>
      <c r="D38" s="44"/>
      <c r="E38" s="44"/>
      <c r="G38" s="45">
        <v>298</v>
      </c>
      <c r="L38" s="46"/>
      <c r="M38" s="7"/>
    </row>
    <row r="39" spans="1:13" ht="12.75">
      <c r="A39" s="7"/>
      <c r="C39" s="44" t="s">
        <v>118</v>
      </c>
      <c r="D39" s="44"/>
      <c r="E39" s="44"/>
      <c r="G39" s="45">
        <v>14.9</v>
      </c>
      <c r="L39" s="46"/>
      <c r="M39" s="7"/>
    </row>
    <row r="40" spans="1:64" ht="12.75">
      <c r="A40" s="40" t="s">
        <v>119</v>
      </c>
      <c r="B40" s="10" t="s">
        <v>120</v>
      </c>
      <c r="C40" s="10" t="s">
        <v>121</v>
      </c>
      <c r="D40" s="10"/>
      <c r="E40" s="10"/>
      <c r="F40" s="10" t="s">
        <v>65</v>
      </c>
      <c r="G40" s="41">
        <v>9.82</v>
      </c>
      <c r="H40" s="41">
        <v>0</v>
      </c>
      <c r="I40" s="41">
        <f>G40*AO40</f>
        <v>0</v>
      </c>
      <c r="J40" s="41">
        <f>G40*AP40</f>
        <v>0</v>
      </c>
      <c r="K40" s="41">
        <f>G40*H40</f>
        <v>0</v>
      </c>
      <c r="L40" s="42" t="s">
        <v>56</v>
      </c>
      <c r="M40" s="7"/>
      <c r="Z40" s="41">
        <f>IF(AQ40="5",BJ40,0)</f>
        <v>0</v>
      </c>
      <c r="AB40" s="41">
        <f>IF(AQ40="1",BH40,0)</f>
        <v>0</v>
      </c>
      <c r="AC40" s="41">
        <f>IF(AQ40="1",BI40,0)</f>
        <v>0</v>
      </c>
      <c r="AD40" s="41">
        <f>IF(AQ40="7",BH40,0)</f>
        <v>0</v>
      </c>
      <c r="AE40" s="41">
        <f>IF(AQ40="7",BI40,0)</f>
        <v>0</v>
      </c>
      <c r="AF40" s="41">
        <f>IF(AQ40="2",BH40,0)</f>
        <v>0</v>
      </c>
      <c r="AG40" s="41">
        <f>IF(AQ40="2",BI40,0)</f>
        <v>0</v>
      </c>
      <c r="AH40" s="41">
        <f>IF(AQ40="0",BJ40,0)</f>
        <v>0</v>
      </c>
      <c r="AI40" s="24"/>
      <c r="AJ40" s="41">
        <f>IF(AN40=0,K40,0)</f>
        <v>0</v>
      </c>
      <c r="AK40" s="41">
        <f>IF(AN40=15,K40,0)</f>
        <v>0</v>
      </c>
      <c r="AL40" s="41">
        <f>IF(AN40=21,K40,0)</f>
        <v>0</v>
      </c>
      <c r="AN40" s="41">
        <v>21</v>
      </c>
      <c r="AO40" s="41">
        <f>H40*0</f>
        <v>0</v>
      </c>
      <c r="AP40" s="41">
        <f>H40*(1-0)</f>
        <v>0</v>
      </c>
      <c r="AQ40" s="43" t="s">
        <v>66</v>
      </c>
      <c r="AV40" s="41">
        <f>AW40+AX40</f>
        <v>0</v>
      </c>
      <c r="AW40" s="41">
        <f>G40*AO40</f>
        <v>0</v>
      </c>
      <c r="AX40" s="41">
        <f>G40*AP40</f>
        <v>0</v>
      </c>
      <c r="AY40" s="43" t="s">
        <v>84</v>
      </c>
      <c r="AZ40" s="43" t="s">
        <v>85</v>
      </c>
      <c r="BA40" s="24" t="s">
        <v>59</v>
      </c>
      <c r="BC40" s="41">
        <f>AW40+AX40</f>
        <v>0</v>
      </c>
      <c r="BD40" s="41">
        <f>H40/(100-BE40)*100</f>
        <v>0</v>
      </c>
      <c r="BE40" s="41">
        <v>0</v>
      </c>
      <c r="BF40" s="41">
        <f>40</f>
        <v>40</v>
      </c>
      <c r="BH40" s="41">
        <f>G40*AO40</f>
        <v>0</v>
      </c>
      <c r="BI40" s="41">
        <f>G40*AP40</f>
        <v>0</v>
      </c>
      <c r="BJ40" s="41">
        <f>G40*H40</f>
        <v>0</v>
      </c>
      <c r="BK40" s="41" t="s">
        <v>60</v>
      </c>
      <c r="BL40" s="41">
        <v>762</v>
      </c>
    </row>
    <row r="41" spans="1:13" ht="12.75">
      <c r="A41" s="7"/>
      <c r="C41" s="44" t="s">
        <v>122</v>
      </c>
      <c r="D41" s="44"/>
      <c r="E41" s="44"/>
      <c r="G41" s="45">
        <v>9.82</v>
      </c>
      <c r="L41" s="46"/>
      <c r="M41" s="7"/>
    </row>
    <row r="42" spans="1:47" ht="12.75">
      <c r="A42" s="47"/>
      <c r="B42" s="48" t="s">
        <v>123</v>
      </c>
      <c r="C42" s="48" t="s">
        <v>124</v>
      </c>
      <c r="D42" s="48"/>
      <c r="E42" s="48"/>
      <c r="F42" s="49" t="s">
        <v>4</v>
      </c>
      <c r="G42" s="49" t="s">
        <v>4</v>
      </c>
      <c r="H42" s="49" t="s">
        <v>4</v>
      </c>
      <c r="I42" s="39">
        <f>SUM(I43:I45)</f>
        <v>0</v>
      </c>
      <c r="J42" s="39">
        <f>SUM(J43:J45)</f>
        <v>0</v>
      </c>
      <c r="K42" s="39">
        <f>SUM(K43:K45)</f>
        <v>0</v>
      </c>
      <c r="L42" s="50"/>
      <c r="M42" s="7"/>
      <c r="AI42" s="24"/>
      <c r="AS42" s="39">
        <f>SUM(AJ43:AJ45)</f>
        <v>0</v>
      </c>
      <c r="AT42" s="39">
        <f>SUM(AK43:AK45)</f>
        <v>0</v>
      </c>
      <c r="AU42" s="39">
        <f>SUM(AL43:AL45)</f>
        <v>0</v>
      </c>
    </row>
    <row r="43" spans="1:64" ht="12.75">
      <c r="A43" s="40" t="s">
        <v>125</v>
      </c>
      <c r="B43" s="10" t="s">
        <v>126</v>
      </c>
      <c r="C43" s="10" t="s">
        <v>127</v>
      </c>
      <c r="D43" s="10"/>
      <c r="E43" s="10"/>
      <c r="F43" s="10" t="s">
        <v>55</v>
      </c>
      <c r="G43" s="41">
        <v>298</v>
      </c>
      <c r="H43" s="41">
        <v>0</v>
      </c>
      <c r="I43" s="41">
        <f>G43*AO43</f>
        <v>0</v>
      </c>
      <c r="J43" s="41">
        <f>G43*AP43</f>
        <v>0</v>
      </c>
      <c r="K43" s="41">
        <f>G43*H43</f>
        <v>0</v>
      </c>
      <c r="L43" s="42" t="s">
        <v>56</v>
      </c>
      <c r="M43" s="7"/>
      <c r="Z43" s="41">
        <f>IF(AQ43="5",BJ43,0)</f>
        <v>0</v>
      </c>
      <c r="AB43" s="41">
        <f>IF(AQ43="1",BH43,0)</f>
        <v>0</v>
      </c>
      <c r="AC43" s="41">
        <f>IF(AQ43="1",BI43,0)</f>
        <v>0</v>
      </c>
      <c r="AD43" s="41">
        <f>IF(AQ43="7",BH43,0)</f>
        <v>0</v>
      </c>
      <c r="AE43" s="41">
        <f>IF(AQ43="7",BI43,0)</f>
        <v>0</v>
      </c>
      <c r="AF43" s="41">
        <f>IF(AQ43="2",BH43,0)</f>
        <v>0</v>
      </c>
      <c r="AG43" s="41">
        <f>IF(AQ43="2",BI43,0)</f>
        <v>0</v>
      </c>
      <c r="AH43" s="41">
        <f>IF(AQ43="0",BJ43,0)</f>
        <v>0</v>
      </c>
      <c r="AI43" s="24"/>
      <c r="AJ43" s="41">
        <f>IF(AN43=0,K43,0)</f>
        <v>0</v>
      </c>
      <c r="AK43" s="41">
        <f>IF(AN43=15,K43,0)</f>
        <v>0</v>
      </c>
      <c r="AL43" s="41">
        <f>IF(AN43=21,K43,0)</f>
        <v>0</v>
      </c>
      <c r="AN43" s="41">
        <v>21</v>
      </c>
      <c r="AO43" s="41">
        <f>H43*0.0839191245742445</f>
        <v>0</v>
      </c>
      <c r="AP43" s="41">
        <f>H43*(1-0.0839191245742445)</f>
        <v>0</v>
      </c>
      <c r="AQ43" s="43" t="s">
        <v>83</v>
      </c>
      <c r="AV43" s="41">
        <f>AW43+AX43</f>
        <v>0</v>
      </c>
      <c r="AW43" s="41">
        <f>G43*AO43</f>
        <v>0</v>
      </c>
      <c r="AX43" s="41">
        <f>G43*AP43</f>
        <v>0</v>
      </c>
      <c r="AY43" s="43" t="s">
        <v>128</v>
      </c>
      <c r="AZ43" s="43" t="s">
        <v>85</v>
      </c>
      <c r="BA43" s="24" t="s">
        <v>59</v>
      </c>
      <c r="BC43" s="41">
        <f>AW43+AX43</f>
        <v>0</v>
      </c>
      <c r="BD43" s="41">
        <f>H43/(100-BE43)*100</f>
        <v>0</v>
      </c>
      <c r="BE43" s="41">
        <v>0</v>
      </c>
      <c r="BF43" s="41">
        <f>43</f>
        <v>43</v>
      </c>
      <c r="BH43" s="41">
        <f>G43*AO43</f>
        <v>0</v>
      </c>
      <c r="BI43" s="41">
        <f>G43*AP43</f>
        <v>0</v>
      </c>
      <c r="BJ43" s="41">
        <f>G43*H43</f>
        <v>0</v>
      </c>
      <c r="BK43" s="41" t="s">
        <v>60</v>
      </c>
      <c r="BL43" s="41">
        <v>763</v>
      </c>
    </row>
    <row r="44" spans="1:13" ht="12.75">
      <c r="A44" s="7"/>
      <c r="C44" s="44" t="s">
        <v>117</v>
      </c>
      <c r="D44" s="44"/>
      <c r="E44" s="44"/>
      <c r="G44" s="45">
        <v>298</v>
      </c>
      <c r="L44" s="46"/>
      <c r="M44" s="7"/>
    </row>
    <row r="45" spans="1:64" ht="12.75">
      <c r="A45" s="40" t="s">
        <v>129</v>
      </c>
      <c r="B45" s="10" t="s">
        <v>130</v>
      </c>
      <c r="C45" s="10" t="s">
        <v>131</v>
      </c>
      <c r="D45" s="10"/>
      <c r="E45" s="10"/>
      <c r="F45" s="10" t="s">
        <v>132</v>
      </c>
      <c r="G45" s="41">
        <v>1</v>
      </c>
      <c r="H45" s="41">
        <v>0</v>
      </c>
      <c r="I45" s="41">
        <f>G45*AO45</f>
        <v>0</v>
      </c>
      <c r="J45" s="41">
        <f>G45*AP45</f>
        <v>0</v>
      </c>
      <c r="K45" s="41">
        <f>G45*H45</f>
        <v>0</v>
      </c>
      <c r="L45" s="42" t="s">
        <v>56</v>
      </c>
      <c r="M45" s="7"/>
      <c r="Z45" s="41">
        <f>IF(AQ45="5",BJ45,0)</f>
        <v>0</v>
      </c>
      <c r="AB45" s="41">
        <f>IF(AQ45="1",BH45,0)</f>
        <v>0</v>
      </c>
      <c r="AC45" s="41">
        <f>IF(AQ45="1",BI45,0)</f>
        <v>0</v>
      </c>
      <c r="AD45" s="41">
        <f>IF(AQ45="7",BH45,0)</f>
        <v>0</v>
      </c>
      <c r="AE45" s="41">
        <f>IF(AQ45="7",BI45,0)</f>
        <v>0</v>
      </c>
      <c r="AF45" s="41">
        <f>IF(AQ45="2",BH45,0)</f>
        <v>0</v>
      </c>
      <c r="AG45" s="41">
        <f>IF(AQ45="2",BI45,0)</f>
        <v>0</v>
      </c>
      <c r="AH45" s="41">
        <f>IF(AQ45="0",BJ45,0)</f>
        <v>0</v>
      </c>
      <c r="AI45" s="24"/>
      <c r="AJ45" s="41">
        <f>IF(AN45=0,K45,0)</f>
        <v>0</v>
      </c>
      <c r="AK45" s="41">
        <f>IF(AN45=15,K45,0)</f>
        <v>0</v>
      </c>
      <c r="AL45" s="41">
        <f>IF(AN45=21,K45,0)</f>
        <v>0</v>
      </c>
      <c r="AN45" s="41">
        <v>21</v>
      </c>
      <c r="AO45" s="41">
        <f>H45*0.19290337516754</f>
        <v>0</v>
      </c>
      <c r="AP45" s="41">
        <f>H45*(1-0.19290337516754)</f>
        <v>0</v>
      </c>
      <c r="AQ45" s="43" t="s">
        <v>83</v>
      </c>
      <c r="AV45" s="41">
        <f>AW45+AX45</f>
        <v>0</v>
      </c>
      <c r="AW45" s="41">
        <f>G45*AO45</f>
        <v>0</v>
      </c>
      <c r="AX45" s="41">
        <f>G45*AP45</f>
        <v>0</v>
      </c>
      <c r="AY45" s="43" t="s">
        <v>128</v>
      </c>
      <c r="AZ45" s="43" t="s">
        <v>85</v>
      </c>
      <c r="BA45" s="24" t="s">
        <v>59</v>
      </c>
      <c r="BC45" s="41">
        <f>AW45+AX45</f>
        <v>0</v>
      </c>
      <c r="BD45" s="41">
        <f>H45/(100-BE45)*100</f>
        <v>0</v>
      </c>
      <c r="BE45" s="41">
        <v>0</v>
      </c>
      <c r="BF45" s="41">
        <f>45</f>
        <v>45</v>
      </c>
      <c r="BH45" s="41">
        <f>G45*AO45</f>
        <v>0</v>
      </c>
      <c r="BI45" s="41">
        <f>G45*AP45</f>
        <v>0</v>
      </c>
      <c r="BJ45" s="41">
        <f>G45*H45</f>
        <v>0</v>
      </c>
      <c r="BK45" s="41" t="s">
        <v>60</v>
      </c>
      <c r="BL45" s="41">
        <v>763</v>
      </c>
    </row>
    <row r="46" spans="1:13" ht="12.75">
      <c r="A46" s="7"/>
      <c r="C46" s="44" t="s">
        <v>133</v>
      </c>
      <c r="D46" s="44"/>
      <c r="E46" s="44"/>
      <c r="G46" s="45">
        <v>1</v>
      </c>
      <c r="L46" s="46"/>
      <c r="M46" s="7"/>
    </row>
    <row r="47" spans="1:47" ht="12.75">
      <c r="A47" s="47"/>
      <c r="B47" s="48" t="s">
        <v>134</v>
      </c>
      <c r="C47" s="48" t="s">
        <v>135</v>
      </c>
      <c r="D47" s="48"/>
      <c r="E47" s="48"/>
      <c r="F47" s="49" t="s">
        <v>4</v>
      </c>
      <c r="G47" s="49" t="s">
        <v>4</v>
      </c>
      <c r="H47" s="49" t="s">
        <v>4</v>
      </c>
      <c r="I47" s="39">
        <f>SUM(I48:I56)</f>
        <v>0</v>
      </c>
      <c r="J47" s="39">
        <f>SUM(J48:J56)</f>
        <v>0</v>
      </c>
      <c r="K47" s="39">
        <f>SUM(K48:K56)</f>
        <v>0</v>
      </c>
      <c r="L47" s="50"/>
      <c r="M47" s="7"/>
      <c r="AI47" s="24"/>
      <c r="AS47" s="39">
        <f>SUM(AJ48:AJ56)</f>
        <v>0</v>
      </c>
      <c r="AT47" s="39">
        <f>SUM(AK48:AK56)</f>
        <v>0</v>
      </c>
      <c r="AU47" s="39">
        <f>SUM(AL48:AL56)</f>
        <v>0</v>
      </c>
    </row>
    <row r="48" spans="1:64" ht="12.75">
      <c r="A48" s="40" t="s">
        <v>136</v>
      </c>
      <c r="B48" s="10" t="s">
        <v>137</v>
      </c>
      <c r="C48" s="10" t="s">
        <v>138</v>
      </c>
      <c r="D48" s="10"/>
      <c r="E48" s="10"/>
      <c r="F48" s="10" t="s">
        <v>55</v>
      </c>
      <c r="G48" s="41">
        <v>301.04</v>
      </c>
      <c r="H48" s="41">
        <v>0</v>
      </c>
      <c r="I48" s="41">
        <f>G48*AO48</f>
        <v>0</v>
      </c>
      <c r="J48" s="41">
        <f>G48*AP48</f>
        <v>0</v>
      </c>
      <c r="K48" s="41">
        <f>G48*H48</f>
        <v>0</v>
      </c>
      <c r="L48" s="42" t="s">
        <v>56</v>
      </c>
      <c r="M48" s="7"/>
      <c r="Z48" s="41">
        <f>IF(AQ48="5",BJ48,0)</f>
        <v>0</v>
      </c>
      <c r="AB48" s="41">
        <f>IF(AQ48="1",BH48,0)</f>
        <v>0</v>
      </c>
      <c r="AC48" s="41">
        <f>IF(AQ48="1",BI48,0)</f>
        <v>0</v>
      </c>
      <c r="AD48" s="41">
        <f>IF(AQ48="7",BH48,0)</f>
        <v>0</v>
      </c>
      <c r="AE48" s="41">
        <f>IF(AQ48="7",BI48,0)</f>
        <v>0</v>
      </c>
      <c r="AF48" s="41">
        <f>IF(AQ48="2",BH48,0)</f>
        <v>0</v>
      </c>
      <c r="AG48" s="41">
        <f>IF(AQ48="2",BI48,0)</f>
        <v>0</v>
      </c>
      <c r="AH48" s="41">
        <f>IF(AQ48="0",BJ48,0)</f>
        <v>0</v>
      </c>
      <c r="AI48" s="24"/>
      <c r="AJ48" s="41">
        <f>IF(AN48=0,K48,0)</f>
        <v>0</v>
      </c>
      <c r="AK48" s="41">
        <f>IF(AN48=15,K48,0)</f>
        <v>0</v>
      </c>
      <c r="AL48" s="41">
        <f>IF(AN48=21,K48,0)</f>
        <v>0</v>
      </c>
      <c r="AN48" s="41">
        <v>21</v>
      </c>
      <c r="AO48" s="41">
        <f>H48*0.803793103448276</f>
        <v>0</v>
      </c>
      <c r="AP48" s="41">
        <f>H48*(1-0.803793103448276)</f>
        <v>0</v>
      </c>
      <c r="AQ48" s="43" t="s">
        <v>83</v>
      </c>
      <c r="AV48" s="41">
        <f>AW48+AX48</f>
        <v>0</v>
      </c>
      <c r="AW48" s="41">
        <f>G48*AO48</f>
        <v>0</v>
      </c>
      <c r="AX48" s="41">
        <f>G48*AP48</f>
        <v>0</v>
      </c>
      <c r="AY48" s="43" t="s">
        <v>139</v>
      </c>
      <c r="AZ48" s="43" t="s">
        <v>85</v>
      </c>
      <c r="BA48" s="24" t="s">
        <v>59</v>
      </c>
      <c r="BC48" s="41">
        <f>AW48+AX48</f>
        <v>0</v>
      </c>
      <c r="BD48" s="41">
        <f>H48/(100-BE48)*100</f>
        <v>0</v>
      </c>
      <c r="BE48" s="41">
        <v>0</v>
      </c>
      <c r="BF48" s="41">
        <f>48</f>
        <v>48</v>
      </c>
      <c r="BH48" s="41">
        <f>G48*AO48</f>
        <v>0</v>
      </c>
      <c r="BI48" s="41">
        <f>G48*AP48</f>
        <v>0</v>
      </c>
      <c r="BJ48" s="41">
        <f>G48*H48</f>
        <v>0</v>
      </c>
      <c r="BK48" s="41" t="s">
        <v>60</v>
      </c>
      <c r="BL48" s="41">
        <v>764</v>
      </c>
    </row>
    <row r="49" spans="1:13" ht="12.75">
      <c r="A49" s="7"/>
      <c r="C49" s="44" t="s">
        <v>96</v>
      </c>
      <c r="D49" s="44"/>
      <c r="E49" s="44"/>
      <c r="G49" s="45">
        <v>301.04</v>
      </c>
      <c r="L49" s="46"/>
      <c r="M49" s="7"/>
    </row>
    <row r="50" spans="1:64" ht="12.75">
      <c r="A50" s="40" t="s">
        <v>140</v>
      </c>
      <c r="B50" s="10" t="s">
        <v>141</v>
      </c>
      <c r="C50" s="10" t="s">
        <v>142</v>
      </c>
      <c r="D50" s="10"/>
      <c r="E50" s="10"/>
      <c r="F50" s="10" t="s">
        <v>82</v>
      </c>
      <c r="G50" s="41">
        <v>21.5</v>
      </c>
      <c r="H50" s="41">
        <v>0</v>
      </c>
      <c r="I50" s="41">
        <f>G50*AO50</f>
        <v>0</v>
      </c>
      <c r="J50" s="41">
        <f>G50*AP50</f>
        <v>0</v>
      </c>
      <c r="K50" s="41">
        <f>G50*H50</f>
        <v>0</v>
      </c>
      <c r="L50" s="42" t="s">
        <v>56</v>
      </c>
      <c r="M50" s="7"/>
      <c r="Z50" s="41">
        <f>IF(AQ50="5",BJ50,0)</f>
        <v>0</v>
      </c>
      <c r="AB50" s="41">
        <f>IF(AQ50="1",BH50,0)</f>
        <v>0</v>
      </c>
      <c r="AC50" s="41">
        <f>IF(AQ50="1",BI50,0)</f>
        <v>0</v>
      </c>
      <c r="AD50" s="41">
        <f>IF(AQ50="7",BH50,0)</f>
        <v>0</v>
      </c>
      <c r="AE50" s="41">
        <f>IF(AQ50="7",BI50,0)</f>
        <v>0</v>
      </c>
      <c r="AF50" s="41">
        <f>IF(AQ50="2",BH50,0)</f>
        <v>0</v>
      </c>
      <c r="AG50" s="41">
        <f>IF(AQ50="2",BI50,0)</f>
        <v>0</v>
      </c>
      <c r="AH50" s="41">
        <f>IF(AQ50="0",BJ50,0)</f>
        <v>0</v>
      </c>
      <c r="AI50" s="24"/>
      <c r="AJ50" s="41">
        <f>IF(AN50=0,K50,0)</f>
        <v>0</v>
      </c>
      <c r="AK50" s="41">
        <f>IF(AN50=15,K50,0)</f>
        <v>0</v>
      </c>
      <c r="AL50" s="41">
        <f>IF(AN50=21,K50,0)</f>
        <v>0</v>
      </c>
      <c r="AN50" s="41">
        <v>21</v>
      </c>
      <c r="AO50" s="41">
        <f>H50*0.848429487179487</f>
        <v>0</v>
      </c>
      <c r="AP50" s="41">
        <f>H50*(1-0.848429487179487)</f>
        <v>0</v>
      </c>
      <c r="AQ50" s="43" t="s">
        <v>83</v>
      </c>
      <c r="AV50" s="41">
        <f>AW50+AX50</f>
        <v>0</v>
      </c>
      <c r="AW50" s="41">
        <f>G50*AO50</f>
        <v>0</v>
      </c>
      <c r="AX50" s="41">
        <f>G50*AP50</f>
        <v>0</v>
      </c>
      <c r="AY50" s="43" t="s">
        <v>139</v>
      </c>
      <c r="AZ50" s="43" t="s">
        <v>85</v>
      </c>
      <c r="BA50" s="24" t="s">
        <v>59</v>
      </c>
      <c r="BC50" s="41">
        <f>AW50+AX50</f>
        <v>0</v>
      </c>
      <c r="BD50" s="41">
        <f>H50/(100-BE50)*100</f>
        <v>0</v>
      </c>
      <c r="BE50" s="41">
        <v>0</v>
      </c>
      <c r="BF50" s="41">
        <f>50</f>
        <v>50</v>
      </c>
      <c r="BH50" s="41">
        <f>G50*AO50</f>
        <v>0</v>
      </c>
      <c r="BI50" s="41">
        <f>G50*AP50</f>
        <v>0</v>
      </c>
      <c r="BJ50" s="41">
        <f>G50*H50</f>
        <v>0</v>
      </c>
      <c r="BK50" s="41" t="s">
        <v>60</v>
      </c>
      <c r="BL50" s="41">
        <v>764</v>
      </c>
    </row>
    <row r="51" spans="1:13" ht="12.75">
      <c r="A51" s="7"/>
      <c r="C51" s="44" t="s">
        <v>143</v>
      </c>
      <c r="D51" s="44"/>
      <c r="E51" s="44"/>
      <c r="G51" s="45">
        <v>21.5</v>
      </c>
      <c r="L51" s="46"/>
      <c r="M51" s="7"/>
    </row>
    <row r="52" spans="1:64" ht="12.75">
      <c r="A52" s="40" t="s">
        <v>144</v>
      </c>
      <c r="B52" s="10" t="s">
        <v>145</v>
      </c>
      <c r="C52" s="10" t="s">
        <v>146</v>
      </c>
      <c r="D52" s="10"/>
      <c r="E52" s="10"/>
      <c r="F52" s="10" t="s">
        <v>82</v>
      </c>
      <c r="G52" s="41">
        <v>43</v>
      </c>
      <c r="H52" s="41">
        <v>0</v>
      </c>
      <c r="I52" s="41">
        <f>G52*AO52</f>
        <v>0</v>
      </c>
      <c r="J52" s="41">
        <f>G52*AP52</f>
        <v>0</v>
      </c>
      <c r="K52" s="41">
        <f>G52*H52</f>
        <v>0</v>
      </c>
      <c r="L52" s="42" t="s">
        <v>56</v>
      </c>
      <c r="M52" s="7"/>
      <c r="Z52" s="41">
        <f>IF(AQ52="5",BJ52,0)</f>
        <v>0</v>
      </c>
      <c r="AB52" s="41">
        <f>IF(AQ52="1",BH52,0)</f>
        <v>0</v>
      </c>
      <c r="AC52" s="41">
        <f>IF(AQ52="1",BI52,0)</f>
        <v>0</v>
      </c>
      <c r="AD52" s="41">
        <f>IF(AQ52="7",BH52,0)</f>
        <v>0</v>
      </c>
      <c r="AE52" s="41">
        <f>IF(AQ52="7",BI52,0)</f>
        <v>0</v>
      </c>
      <c r="AF52" s="41">
        <f>IF(AQ52="2",BH52,0)</f>
        <v>0</v>
      </c>
      <c r="AG52" s="41">
        <f>IF(AQ52="2",BI52,0)</f>
        <v>0</v>
      </c>
      <c r="AH52" s="41">
        <f>IF(AQ52="0",BJ52,0)</f>
        <v>0</v>
      </c>
      <c r="AI52" s="24"/>
      <c r="AJ52" s="41">
        <f>IF(AN52=0,K52,0)</f>
        <v>0</v>
      </c>
      <c r="AK52" s="41">
        <f>IF(AN52=15,K52,0)</f>
        <v>0</v>
      </c>
      <c r="AL52" s="41">
        <f>IF(AN52=21,K52,0)</f>
        <v>0</v>
      </c>
      <c r="AN52" s="41">
        <v>21</v>
      </c>
      <c r="AO52" s="41">
        <f>H52*0.421363040629096</f>
        <v>0</v>
      </c>
      <c r="AP52" s="41">
        <f>H52*(1-0.421363040629096)</f>
        <v>0</v>
      </c>
      <c r="AQ52" s="43" t="s">
        <v>83</v>
      </c>
      <c r="AV52" s="41">
        <f>AW52+AX52</f>
        <v>0</v>
      </c>
      <c r="AW52" s="41">
        <f>G52*AO52</f>
        <v>0</v>
      </c>
      <c r="AX52" s="41">
        <f>G52*AP52</f>
        <v>0</v>
      </c>
      <c r="AY52" s="43" t="s">
        <v>139</v>
      </c>
      <c r="AZ52" s="43" t="s">
        <v>85</v>
      </c>
      <c r="BA52" s="24" t="s">
        <v>59</v>
      </c>
      <c r="BC52" s="41">
        <f>AW52+AX52</f>
        <v>0</v>
      </c>
      <c r="BD52" s="41">
        <f>H52/(100-BE52)*100</f>
        <v>0</v>
      </c>
      <c r="BE52" s="41">
        <v>0</v>
      </c>
      <c r="BF52" s="41">
        <f>52</f>
        <v>52</v>
      </c>
      <c r="BH52" s="41">
        <f>G52*AO52</f>
        <v>0</v>
      </c>
      <c r="BI52" s="41">
        <f>G52*AP52</f>
        <v>0</v>
      </c>
      <c r="BJ52" s="41">
        <f>G52*H52</f>
        <v>0</v>
      </c>
      <c r="BK52" s="41" t="s">
        <v>60</v>
      </c>
      <c r="BL52" s="41">
        <v>764</v>
      </c>
    </row>
    <row r="53" spans="1:13" ht="12.75">
      <c r="A53" s="7"/>
      <c r="C53" s="44" t="s">
        <v>147</v>
      </c>
      <c r="D53" s="44"/>
      <c r="E53" s="44"/>
      <c r="G53" s="45">
        <v>43</v>
      </c>
      <c r="L53" s="46"/>
      <c r="M53" s="7"/>
    </row>
    <row r="54" spans="1:64" ht="12.75">
      <c r="A54" s="40" t="s">
        <v>148</v>
      </c>
      <c r="B54" s="10" t="s">
        <v>149</v>
      </c>
      <c r="C54" s="10" t="s">
        <v>150</v>
      </c>
      <c r="D54" s="10"/>
      <c r="E54" s="10"/>
      <c r="F54" s="10" t="s">
        <v>55</v>
      </c>
      <c r="G54" s="41">
        <v>301.04</v>
      </c>
      <c r="H54" s="41">
        <v>0</v>
      </c>
      <c r="I54" s="41">
        <f>G54*AO54</f>
        <v>0</v>
      </c>
      <c r="J54" s="41">
        <f>G54*AP54</f>
        <v>0</v>
      </c>
      <c r="K54" s="41">
        <f>G54*H54</f>
        <v>0</v>
      </c>
      <c r="L54" s="42" t="s">
        <v>56</v>
      </c>
      <c r="M54" s="7"/>
      <c r="Z54" s="41">
        <f>IF(AQ54="5",BJ54,0)</f>
        <v>0</v>
      </c>
      <c r="AB54" s="41">
        <f>IF(AQ54="1",BH54,0)</f>
        <v>0</v>
      </c>
      <c r="AC54" s="41">
        <f>IF(AQ54="1",BI54,0)</f>
        <v>0</v>
      </c>
      <c r="AD54" s="41">
        <f>IF(AQ54="7",BH54,0)</f>
        <v>0</v>
      </c>
      <c r="AE54" s="41">
        <f>IF(AQ54="7",BI54,0)</f>
        <v>0</v>
      </c>
      <c r="AF54" s="41">
        <f>IF(AQ54="2",BH54,0)</f>
        <v>0</v>
      </c>
      <c r="AG54" s="41">
        <f>IF(AQ54="2",BI54,0)</f>
        <v>0</v>
      </c>
      <c r="AH54" s="41">
        <f>IF(AQ54="0",BJ54,0)</f>
        <v>0</v>
      </c>
      <c r="AI54" s="24"/>
      <c r="AJ54" s="41">
        <f>IF(AN54=0,K54,0)</f>
        <v>0</v>
      </c>
      <c r="AK54" s="41">
        <f>IF(AN54=15,K54,0)</f>
        <v>0</v>
      </c>
      <c r="AL54" s="41">
        <f>IF(AN54=21,K54,0)</f>
        <v>0</v>
      </c>
      <c r="AN54" s="41">
        <v>21</v>
      </c>
      <c r="AO54" s="41">
        <f>H54*0</f>
        <v>0</v>
      </c>
      <c r="AP54" s="41">
        <f>H54*(1-0)</f>
        <v>0</v>
      </c>
      <c r="AQ54" s="43" t="s">
        <v>83</v>
      </c>
      <c r="AV54" s="41">
        <f>AW54+AX54</f>
        <v>0</v>
      </c>
      <c r="AW54" s="41">
        <f>G54*AO54</f>
        <v>0</v>
      </c>
      <c r="AX54" s="41">
        <f>G54*AP54</f>
        <v>0</v>
      </c>
      <c r="AY54" s="43" t="s">
        <v>139</v>
      </c>
      <c r="AZ54" s="43" t="s">
        <v>85</v>
      </c>
      <c r="BA54" s="24" t="s">
        <v>59</v>
      </c>
      <c r="BC54" s="41">
        <f>AW54+AX54</f>
        <v>0</v>
      </c>
      <c r="BD54" s="41">
        <f>H54/(100-BE54)*100</f>
        <v>0</v>
      </c>
      <c r="BE54" s="41">
        <v>0</v>
      </c>
      <c r="BF54" s="41">
        <f>54</f>
        <v>54</v>
      </c>
      <c r="BH54" s="41">
        <f>G54*AO54</f>
        <v>0</v>
      </c>
      <c r="BI54" s="41">
        <f>G54*AP54</f>
        <v>0</v>
      </c>
      <c r="BJ54" s="41">
        <f>G54*H54</f>
        <v>0</v>
      </c>
      <c r="BK54" s="41" t="s">
        <v>60</v>
      </c>
      <c r="BL54" s="41">
        <v>764</v>
      </c>
    </row>
    <row r="55" spans="1:13" ht="12.75">
      <c r="A55" s="7"/>
      <c r="C55" s="44" t="s">
        <v>96</v>
      </c>
      <c r="D55" s="44"/>
      <c r="E55" s="44"/>
      <c r="G55" s="45">
        <v>301.04</v>
      </c>
      <c r="L55" s="46"/>
      <c r="M55" s="7"/>
    </row>
    <row r="56" spans="1:64" ht="12.75">
      <c r="A56" s="40" t="s">
        <v>151</v>
      </c>
      <c r="B56" s="10" t="s">
        <v>152</v>
      </c>
      <c r="C56" s="10" t="s">
        <v>153</v>
      </c>
      <c r="D56" s="10"/>
      <c r="E56" s="10"/>
      <c r="F56" s="10" t="s">
        <v>65</v>
      </c>
      <c r="G56" s="41">
        <v>1.726</v>
      </c>
      <c r="H56" s="41">
        <v>0</v>
      </c>
      <c r="I56" s="41">
        <f>G56*AO56</f>
        <v>0</v>
      </c>
      <c r="J56" s="41">
        <f>G56*AP56</f>
        <v>0</v>
      </c>
      <c r="K56" s="41">
        <f>G56*H56</f>
        <v>0</v>
      </c>
      <c r="L56" s="42" t="s">
        <v>56</v>
      </c>
      <c r="M56" s="7"/>
      <c r="Z56" s="41">
        <f>IF(AQ56="5",BJ56,0)</f>
        <v>0</v>
      </c>
      <c r="AB56" s="41">
        <f>IF(AQ56="1",BH56,0)</f>
        <v>0</v>
      </c>
      <c r="AC56" s="41">
        <f>IF(AQ56="1",BI56,0)</f>
        <v>0</v>
      </c>
      <c r="AD56" s="41">
        <f>IF(AQ56="7",BH56,0)</f>
        <v>0</v>
      </c>
      <c r="AE56" s="41">
        <f>IF(AQ56="7",BI56,0)</f>
        <v>0</v>
      </c>
      <c r="AF56" s="41">
        <f>IF(AQ56="2",BH56,0)</f>
        <v>0</v>
      </c>
      <c r="AG56" s="41">
        <f>IF(AQ56="2",BI56,0)</f>
        <v>0</v>
      </c>
      <c r="AH56" s="41">
        <f>IF(AQ56="0",BJ56,0)</f>
        <v>0</v>
      </c>
      <c r="AI56" s="24"/>
      <c r="AJ56" s="41">
        <f>IF(AN56=0,K56,0)</f>
        <v>0</v>
      </c>
      <c r="AK56" s="41">
        <f>IF(AN56=15,K56,0)</f>
        <v>0</v>
      </c>
      <c r="AL56" s="41">
        <f>IF(AN56=21,K56,0)</f>
        <v>0</v>
      </c>
      <c r="AN56" s="41">
        <v>21</v>
      </c>
      <c r="AO56" s="41">
        <f>H56*0</f>
        <v>0</v>
      </c>
      <c r="AP56" s="41">
        <f>H56*(1-0)</f>
        <v>0</v>
      </c>
      <c r="AQ56" s="43" t="s">
        <v>66</v>
      </c>
      <c r="AV56" s="41">
        <f>AW56+AX56</f>
        <v>0</v>
      </c>
      <c r="AW56" s="41">
        <f>G56*AO56</f>
        <v>0</v>
      </c>
      <c r="AX56" s="41">
        <f>G56*AP56</f>
        <v>0</v>
      </c>
      <c r="AY56" s="43" t="s">
        <v>139</v>
      </c>
      <c r="AZ56" s="43" t="s">
        <v>85</v>
      </c>
      <c r="BA56" s="24" t="s">
        <v>59</v>
      </c>
      <c r="BC56" s="41">
        <f>AW56+AX56</f>
        <v>0</v>
      </c>
      <c r="BD56" s="41">
        <f>H56/(100-BE56)*100</f>
        <v>0</v>
      </c>
      <c r="BE56" s="41">
        <v>0</v>
      </c>
      <c r="BF56" s="41">
        <f>56</f>
        <v>56</v>
      </c>
      <c r="BH56" s="41">
        <f>G56*AO56</f>
        <v>0</v>
      </c>
      <c r="BI56" s="41">
        <f>G56*AP56</f>
        <v>0</v>
      </c>
      <c r="BJ56" s="41">
        <f>G56*H56</f>
        <v>0</v>
      </c>
      <c r="BK56" s="41" t="s">
        <v>60</v>
      </c>
      <c r="BL56" s="41">
        <v>764</v>
      </c>
    </row>
    <row r="57" spans="1:13" ht="12.75">
      <c r="A57" s="7"/>
      <c r="C57" s="44" t="s">
        <v>154</v>
      </c>
      <c r="D57" s="44"/>
      <c r="E57" s="44"/>
      <c r="G57" s="45">
        <v>1.726</v>
      </c>
      <c r="L57" s="46"/>
      <c r="M57" s="7"/>
    </row>
    <row r="58" spans="1:47" ht="12.75">
      <c r="A58" s="47"/>
      <c r="B58" s="48" t="s">
        <v>155</v>
      </c>
      <c r="C58" s="48" t="s">
        <v>156</v>
      </c>
      <c r="D58" s="48"/>
      <c r="E58" s="48"/>
      <c r="F58" s="49" t="s">
        <v>4</v>
      </c>
      <c r="G58" s="49" t="s">
        <v>4</v>
      </c>
      <c r="H58" s="49" t="s">
        <v>4</v>
      </c>
      <c r="I58" s="39">
        <f>SUM(I59:I66)</f>
        <v>0</v>
      </c>
      <c r="J58" s="39">
        <f>SUM(J59:J66)</f>
        <v>0</v>
      </c>
      <c r="K58" s="39">
        <f>SUM(K59:K66)</f>
        <v>0</v>
      </c>
      <c r="L58" s="50"/>
      <c r="M58" s="7"/>
      <c r="AI58" s="24"/>
      <c r="AS58" s="39">
        <f>SUM(AJ59:AJ66)</f>
        <v>0</v>
      </c>
      <c r="AT58" s="39">
        <f>SUM(AK59:AK66)</f>
        <v>0</v>
      </c>
      <c r="AU58" s="39">
        <f>SUM(AL59:AL66)</f>
        <v>0</v>
      </c>
    </row>
    <row r="59" spans="1:64" ht="12.75">
      <c r="A59" s="40" t="s">
        <v>157</v>
      </c>
      <c r="B59" s="10" t="s">
        <v>158</v>
      </c>
      <c r="C59" s="10" t="s">
        <v>159</v>
      </c>
      <c r="D59" s="10"/>
      <c r="E59" s="10"/>
      <c r="F59" s="10" t="s">
        <v>55</v>
      </c>
      <c r="G59" s="41">
        <v>25</v>
      </c>
      <c r="H59" s="41">
        <v>0</v>
      </c>
      <c r="I59" s="41">
        <f>G59*AO59</f>
        <v>0</v>
      </c>
      <c r="J59" s="41">
        <f>G59*AP59</f>
        <v>0</v>
      </c>
      <c r="K59" s="41">
        <f>G59*H59</f>
        <v>0</v>
      </c>
      <c r="L59" s="42" t="s">
        <v>56</v>
      </c>
      <c r="M59" s="7"/>
      <c r="Z59" s="41">
        <f>IF(AQ59="5",BJ59,0)</f>
        <v>0</v>
      </c>
      <c r="AB59" s="41">
        <f>IF(AQ59="1",BH59,0)</f>
        <v>0</v>
      </c>
      <c r="AC59" s="41">
        <f>IF(AQ59="1",BI59,0)</f>
        <v>0</v>
      </c>
      <c r="AD59" s="41">
        <f>IF(AQ59="7",BH59,0)</f>
        <v>0</v>
      </c>
      <c r="AE59" s="41">
        <f>IF(AQ59="7",BI59,0)</f>
        <v>0</v>
      </c>
      <c r="AF59" s="41">
        <f>IF(AQ59="2",BH59,0)</f>
        <v>0</v>
      </c>
      <c r="AG59" s="41">
        <f>IF(AQ59="2",BI59,0)</f>
        <v>0</v>
      </c>
      <c r="AH59" s="41">
        <f>IF(AQ59="0",BJ59,0)</f>
        <v>0</v>
      </c>
      <c r="AI59" s="24"/>
      <c r="AJ59" s="41">
        <f>IF(AN59=0,K59,0)</f>
        <v>0</v>
      </c>
      <c r="AK59" s="41">
        <f>IF(AN59=15,K59,0)</f>
        <v>0</v>
      </c>
      <c r="AL59" s="41">
        <f>IF(AN59=21,K59,0)</f>
        <v>0</v>
      </c>
      <c r="AN59" s="41">
        <v>21</v>
      </c>
      <c r="AO59" s="41">
        <f>H59*0.0297211155378486</f>
        <v>0</v>
      </c>
      <c r="AP59" s="41">
        <f>H59*(1-0.0297211155378486)</f>
        <v>0</v>
      </c>
      <c r="AQ59" s="43" t="s">
        <v>83</v>
      </c>
      <c r="AV59" s="41">
        <f>AW59+AX59</f>
        <v>0</v>
      </c>
      <c r="AW59" s="41">
        <f>G59*AO59</f>
        <v>0</v>
      </c>
      <c r="AX59" s="41">
        <f>G59*AP59</f>
        <v>0</v>
      </c>
      <c r="AY59" s="43" t="s">
        <v>160</v>
      </c>
      <c r="AZ59" s="43" t="s">
        <v>85</v>
      </c>
      <c r="BA59" s="24" t="s">
        <v>59</v>
      </c>
      <c r="BC59" s="41">
        <f>AW59+AX59</f>
        <v>0</v>
      </c>
      <c r="BD59" s="41">
        <f>H59/(100-BE59)*100</f>
        <v>0</v>
      </c>
      <c r="BE59" s="41">
        <v>0</v>
      </c>
      <c r="BF59" s="41">
        <f>59</f>
        <v>59</v>
      </c>
      <c r="BH59" s="41">
        <f>G59*AO59</f>
        <v>0</v>
      </c>
      <c r="BI59" s="41">
        <f>G59*AP59</f>
        <v>0</v>
      </c>
      <c r="BJ59" s="41">
        <f>G59*H59</f>
        <v>0</v>
      </c>
      <c r="BK59" s="41" t="s">
        <v>60</v>
      </c>
      <c r="BL59" s="41">
        <v>766</v>
      </c>
    </row>
    <row r="60" spans="1:13" ht="12.75">
      <c r="A60" s="7"/>
      <c r="C60" s="44" t="s">
        <v>161</v>
      </c>
      <c r="D60" s="44"/>
      <c r="E60" s="44"/>
      <c r="G60" s="45">
        <v>25</v>
      </c>
      <c r="L60" s="46"/>
      <c r="M60" s="7"/>
    </row>
    <row r="61" spans="1:64" ht="12.75">
      <c r="A61" s="40" t="s">
        <v>162</v>
      </c>
      <c r="B61" s="10" t="s">
        <v>163</v>
      </c>
      <c r="C61" s="10" t="s">
        <v>164</v>
      </c>
      <c r="D61" s="10"/>
      <c r="E61" s="10"/>
      <c r="F61" s="10" t="s">
        <v>55</v>
      </c>
      <c r="G61" s="41">
        <v>28.75</v>
      </c>
      <c r="H61" s="41">
        <v>0</v>
      </c>
      <c r="I61" s="41">
        <f>G61*AO61</f>
        <v>0</v>
      </c>
      <c r="J61" s="41">
        <f>G61*AP61</f>
        <v>0</v>
      </c>
      <c r="K61" s="41">
        <f>G61*H61</f>
        <v>0</v>
      </c>
      <c r="L61" s="42" t="s">
        <v>56</v>
      </c>
      <c r="M61" s="7"/>
      <c r="Z61" s="41">
        <f>IF(AQ61="5",BJ61,0)</f>
        <v>0</v>
      </c>
      <c r="AB61" s="41">
        <f>IF(AQ61="1",BH61,0)</f>
        <v>0</v>
      </c>
      <c r="AC61" s="41">
        <f>IF(AQ61="1",BI61,0)</f>
        <v>0</v>
      </c>
      <c r="AD61" s="41">
        <f>IF(AQ61="7",BH61,0)</f>
        <v>0</v>
      </c>
      <c r="AE61" s="41">
        <f>IF(AQ61="7",BI61,0)</f>
        <v>0</v>
      </c>
      <c r="AF61" s="41">
        <f>IF(AQ61="2",BH61,0)</f>
        <v>0</v>
      </c>
      <c r="AG61" s="41">
        <f>IF(AQ61="2",BI61,0)</f>
        <v>0</v>
      </c>
      <c r="AH61" s="41">
        <f>IF(AQ61="0",BJ61,0)</f>
        <v>0</v>
      </c>
      <c r="AI61" s="24"/>
      <c r="AJ61" s="41">
        <f>IF(AN61=0,K61,0)</f>
        <v>0</v>
      </c>
      <c r="AK61" s="41">
        <f>IF(AN61=15,K61,0)</f>
        <v>0</v>
      </c>
      <c r="AL61" s="41">
        <f>IF(AN61=21,K61,0)</f>
        <v>0</v>
      </c>
      <c r="AN61" s="41">
        <v>21</v>
      </c>
      <c r="AO61" s="41">
        <f>H61*1</f>
        <v>0</v>
      </c>
      <c r="AP61" s="41">
        <f>H61*(1-1)</f>
        <v>0</v>
      </c>
      <c r="AQ61" s="43" t="s">
        <v>83</v>
      </c>
      <c r="AV61" s="41">
        <f>AW61+AX61</f>
        <v>0</v>
      </c>
      <c r="AW61" s="41">
        <f>G61*AO61</f>
        <v>0</v>
      </c>
      <c r="AX61" s="41">
        <f>G61*AP61</f>
        <v>0</v>
      </c>
      <c r="AY61" s="43" t="s">
        <v>160</v>
      </c>
      <c r="AZ61" s="43" t="s">
        <v>85</v>
      </c>
      <c r="BA61" s="24" t="s">
        <v>59</v>
      </c>
      <c r="BC61" s="41">
        <f>AW61+AX61</f>
        <v>0</v>
      </c>
      <c r="BD61" s="41">
        <f>H61/(100-BE61)*100</f>
        <v>0</v>
      </c>
      <c r="BE61" s="41">
        <v>0</v>
      </c>
      <c r="BF61" s="41">
        <f>61</f>
        <v>61</v>
      </c>
      <c r="BH61" s="41">
        <f>G61*AO61</f>
        <v>0</v>
      </c>
      <c r="BI61" s="41">
        <f>G61*AP61</f>
        <v>0</v>
      </c>
      <c r="BJ61" s="41">
        <f>G61*H61</f>
        <v>0</v>
      </c>
      <c r="BK61" s="41" t="s">
        <v>108</v>
      </c>
      <c r="BL61" s="41">
        <v>766</v>
      </c>
    </row>
    <row r="62" spans="1:13" ht="12.75">
      <c r="A62" s="7"/>
      <c r="C62" s="44" t="s">
        <v>165</v>
      </c>
      <c r="D62" s="44"/>
      <c r="E62" s="44"/>
      <c r="G62" s="45">
        <v>25</v>
      </c>
      <c r="L62" s="46"/>
      <c r="M62" s="7"/>
    </row>
    <row r="63" spans="1:13" ht="12.75">
      <c r="A63" s="7"/>
      <c r="C63" s="44" t="s">
        <v>166</v>
      </c>
      <c r="D63" s="44"/>
      <c r="E63" s="44"/>
      <c r="G63" s="45">
        <v>3.75</v>
      </c>
      <c r="L63" s="46"/>
      <c r="M63" s="7"/>
    </row>
    <row r="64" spans="1:64" ht="12.75">
      <c r="A64" s="40" t="s">
        <v>167</v>
      </c>
      <c r="B64" s="10" t="s">
        <v>168</v>
      </c>
      <c r="C64" s="10" t="s">
        <v>169</v>
      </c>
      <c r="D64" s="10"/>
      <c r="E64" s="10"/>
      <c r="F64" s="10" t="s">
        <v>82</v>
      </c>
      <c r="G64" s="41">
        <v>57.5</v>
      </c>
      <c r="H64" s="41">
        <v>0</v>
      </c>
      <c r="I64" s="41">
        <f>G64*AO64</f>
        <v>0</v>
      </c>
      <c r="J64" s="41">
        <f>G64*AP64</f>
        <v>0</v>
      </c>
      <c r="K64" s="41">
        <f>G64*H64</f>
        <v>0</v>
      </c>
      <c r="L64" s="42" t="s">
        <v>56</v>
      </c>
      <c r="M64" s="7"/>
      <c r="Z64" s="41">
        <f>IF(AQ64="5",BJ64,0)</f>
        <v>0</v>
      </c>
      <c r="AB64" s="41">
        <f>IF(AQ64="1",BH64,0)</f>
        <v>0</v>
      </c>
      <c r="AC64" s="41">
        <f>IF(AQ64="1",BI64,0)</f>
        <v>0</v>
      </c>
      <c r="AD64" s="41">
        <f>IF(AQ64="7",BH64,0)</f>
        <v>0</v>
      </c>
      <c r="AE64" s="41">
        <f>IF(AQ64="7",BI64,0)</f>
        <v>0</v>
      </c>
      <c r="AF64" s="41">
        <f>IF(AQ64="2",BH64,0)</f>
        <v>0</v>
      </c>
      <c r="AG64" s="41">
        <f>IF(AQ64="2",BI64,0)</f>
        <v>0</v>
      </c>
      <c r="AH64" s="41">
        <f>IF(AQ64="0",BJ64,0)</f>
        <v>0</v>
      </c>
      <c r="AI64" s="24"/>
      <c r="AJ64" s="41">
        <f>IF(AN64=0,K64,0)</f>
        <v>0</v>
      </c>
      <c r="AK64" s="41">
        <f>IF(AN64=15,K64,0)</f>
        <v>0</v>
      </c>
      <c r="AL64" s="41">
        <f>IF(AN64=21,K64,0)</f>
        <v>0</v>
      </c>
      <c r="AN64" s="41">
        <v>21</v>
      </c>
      <c r="AO64" s="41">
        <f>H64*0.144570898564548</f>
        <v>0</v>
      </c>
      <c r="AP64" s="41">
        <f>H64*(1-0.144570898564548)</f>
        <v>0</v>
      </c>
      <c r="AQ64" s="43" t="s">
        <v>83</v>
      </c>
      <c r="AV64" s="41">
        <f>AW64+AX64</f>
        <v>0</v>
      </c>
      <c r="AW64" s="41">
        <f>G64*AO64</f>
        <v>0</v>
      </c>
      <c r="AX64" s="41">
        <f>G64*AP64</f>
        <v>0</v>
      </c>
      <c r="AY64" s="43" t="s">
        <v>160</v>
      </c>
      <c r="AZ64" s="43" t="s">
        <v>85</v>
      </c>
      <c r="BA64" s="24" t="s">
        <v>59</v>
      </c>
      <c r="BC64" s="41">
        <f>AW64+AX64</f>
        <v>0</v>
      </c>
      <c r="BD64" s="41">
        <f>H64/(100-BE64)*100</f>
        <v>0</v>
      </c>
      <c r="BE64" s="41">
        <v>0</v>
      </c>
      <c r="BF64" s="41">
        <f>64</f>
        <v>64</v>
      </c>
      <c r="BH64" s="41">
        <f>G64*AO64</f>
        <v>0</v>
      </c>
      <c r="BI64" s="41">
        <f>G64*AP64</f>
        <v>0</v>
      </c>
      <c r="BJ64" s="41">
        <f>G64*H64</f>
        <v>0</v>
      </c>
      <c r="BK64" s="41" t="s">
        <v>60</v>
      </c>
      <c r="BL64" s="41">
        <v>766</v>
      </c>
    </row>
    <row r="65" spans="1:13" ht="12.75">
      <c r="A65" s="7"/>
      <c r="C65" s="44" t="s">
        <v>170</v>
      </c>
      <c r="D65" s="44"/>
      <c r="E65" s="44"/>
      <c r="G65" s="45">
        <v>57.5</v>
      </c>
      <c r="L65" s="46"/>
      <c r="M65" s="7"/>
    </row>
    <row r="66" spans="1:64" ht="12.75">
      <c r="A66" s="40" t="s">
        <v>171</v>
      </c>
      <c r="B66" s="10" t="s">
        <v>172</v>
      </c>
      <c r="C66" s="10" t="s">
        <v>173</v>
      </c>
      <c r="D66" s="10"/>
      <c r="E66" s="10"/>
      <c r="F66" s="10" t="s">
        <v>65</v>
      </c>
      <c r="G66" s="41">
        <v>0.235</v>
      </c>
      <c r="H66" s="41">
        <v>0</v>
      </c>
      <c r="I66" s="41">
        <f>G66*AO66</f>
        <v>0</v>
      </c>
      <c r="J66" s="41">
        <f>G66*AP66</f>
        <v>0</v>
      </c>
      <c r="K66" s="41">
        <f>G66*H66</f>
        <v>0</v>
      </c>
      <c r="L66" s="42" t="s">
        <v>56</v>
      </c>
      <c r="M66" s="7"/>
      <c r="Z66" s="41">
        <f>IF(AQ66="5",BJ66,0)</f>
        <v>0</v>
      </c>
      <c r="AB66" s="41">
        <f>IF(AQ66="1",BH66,0)</f>
        <v>0</v>
      </c>
      <c r="AC66" s="41">
        <f>IF(AQ66="1",BI66,0)</f>
        <v>0</v>
      </c>
      <c r="AD66" s="41">
        <f>IF(AQ66="7",BH66,0)</f>
        <v>0</v>
      </c>
      <c r="AE66" s="41">
        <f>IF(AQ66="7",BI66,0)</f>
        <v>0</v>
      </c>
      <c r="AF66" s="41">
        <f>IF(AQ66="2",BH66,0)</f>
        <v>0</v>
      </c>
      <c r="AG66" s="41">
        <f>IF(AQ66="2",BI66,0)</f>
        <v>0</v>
      </c>
      <c r="AH66" s="41">
        <f>IF(AQ66="0",BJ66,0)</f>
        <v>0</v>
      </c>
      <c r="AI66" s="24"/>
      <c r="AJ66" s="41">
        <f>IF(AN66=0,K66,0)</f>
        <v>0</v>
      </c>
      <c r="AK66" s="41">
        <f>IF(AN66=15,K66,0)</f>
        <v>0</v>
      </c>
      <c r="AL66" s="41">
        <f>IF(AN66=21,K66,0)</f>
        <v>0</v>
      </c>
      <c r="AN66" s="41">
        <v>21</v>
      </c>
      <c r="AO66" s="41">
        <f>H66*0</f>
        <v>0</v>
      </c>
      <c r="AP66" s="41">
        <f>H66*(1-0)</f>
        <v>0</v>
      </c>
      <c r="AQ66" s="43" t="s">
        <v>66</v>
      </c>
      <c r="AV66" s="41">
        <f>AW66+AX66</f>
        <v>0</v>
      </c>
      <c r="AW66" s="41">
        <f>G66*AO66</f>
        <v>0</v>
      </c>
      <c r="AX66" s="41">
        <f>G66*AP66</f>
        <v>0</v>
      </c>
      <c r="AY66" s="43" t="s">
        <v>160</v>
      </c>
      <c r="AZ66" s="43" t="s">
        <v>85</v>
      </c>
      <c r="BA66" s="24" t="s">
        <v>59</v>
      </c>
      <c r="BC66" s="41">
        <f>AW66+AX66</f>
        <v>0</v>
      </c>
      <c r="BD66" s="41">
        <f>H66/(100-BE66)*100</f>
        <v>0</v>
      </c>
      <c r="BE66" s="41">
        <v>0</v>
      </c>
      <c r="BF66" s="41">
        <f>66</f>
        <v>66</v>
      </c>
      <c r="BH66" s="41">
        <f>G66*AO66</f>
        <v>0</v>
      </c>
      <c r="BI66" s="41">
        <f>G66*AP66</f>
        <v>0</v>
      </c>
      <c r="BJ66" s="41">
        <f>G66*H66</f>
        <v>0</v>
      </c>
      <c r="BK66" s="41" t="s">
        <v>60</v>
      </c>
      <c r="BL66" s="41">
        <v>766</v>
      </c>
    </row>
    <row r="67" spans="1:13" ht="12.75">
      <c r="A67" s="7"/>
      <c r="C67" s="44" t="s">
        <v>174</v>
      </c>
      <c r="D67" s="44"/>
      <c r="E67" s="44"/>
      <c r="G67" s="45">
        <v>0.235</v>
      </c>
      <c r="L67" s="46"/>
      <c r="M67" s="7"/>
    </row>
    <row r="68" spans="1:47" ht="12.75">
      <c r="A68" s="47"/>
      <c r="B68" s="48" t="s">
        <v>175</v>
      </c>
      <c r="C68" s="48" t="s">
        <v>176</v>
      </c>
      <c r="D68" s="48"/>
      <c r="E68" s="48"/>
      <c r="F68" s="49" t="s">
        <v>4</v>
      </c>
      <c r="G68" s="49" t="s">
        <v>4</v>
      </c>
      <c r="H68" s="49" t="s">
        <v>4</v>
      </c>
      <c r="I68" s="39">
        <f>SUM(I69:I106)</f>
        <v>0</v>
      </c>
      <c r="J68" s="39">
        <f>SUM(J69:J106)</f>
        <v>0</v>
      </c>
      <c r="K68" s="39">
        <f>SUM(K69:K106)</f>
        <v>0</v>
      </c>
      <c r="L68" s="50"/>
      <c r="M68" s="7"/>
      <c r="AI68" s="24"/>
      <c r="AS68" s="39">
        <f>SUM(AJ69:AJ106)</f>
        <v>0</v>
      </c>
      <c r="AT68" s="39">
        <f>SUM(AK69:AK106)</f>
        <v>0</v>
      </c>
      <c r="AU68" s="39">
        <f>SUM(AL69:AL106)</f>
        <v>0</v>
      </c>
    </row>
    <row r="69" spans="1:64" ht="12.75">
      <c r="A69" s="40" t="s">
        <v>177</v>
      </c>
      <c r="B69" s="10" t="s">
        <v>178</v>
      </c>
      <c r="C69" s="10" t="s">
        <v>179</v>
      </c>
      <c r="D69" s="10"/>
      <c r="E69" s="10"/>
      <c r="F69" s="10" t="s">
        <v>180</v>
      </c>
      <c r="G69" s="41">
        <v>276</v>
      </c>
      <c r="H69" s="41">
        <v>0</v>
      </c>
      <c r="I69" s="41">
        <f>G69*AO69</f>
        <v>0</v>
      </c>
      <c r="J69" s="41">
        <f>G69*AP69</f>
        <v>0</v>
      </c>
      <c r="K69" s="41">
        <f>G69*H69</f>
        <v>0</v>
      </c>
      <c r="L69" s="42" t="s">
        <v>56</v>
      </c>
      <c r="M69" s="7"/>
      <c r="Z69" s="41">
        <f>IF(AQ69="5",BJ69,0)</f>
        <v>0</v>
      </c>
      <c r="AB69" s="41">
        <f>IF(AQ69="1",BH69,0)</f>
        <v>0</v>
      </c>
      <c r="AC69" s="41">
        <f>IF(AQ69="1",BI69,0)</f>
        <v>0</v>
      </c>
      <c r="AD69" s="41">
        <f>IF(AQ69="7",BH69,0)</f>
        <v>0</v>
      </c>
      <c r="AE69" s="41">
        <f>IF(AQ69="7",BI69,0)</f>
        <v>0</v>
      </c>
      <c r="AF69" s="41">
        <f>IF(AQ69="2",BH69,0)</f>
        <v>0</v>
      </c>
      <c r="AG69" s="41">
        <f>IF(AQ69="2",BI69,0)</f>
        <v>0</v>
      </c>
      <c r="AH69" s="41">
        <f>IF(AQ69="0",BJ69,0)</f>
        <v>0</v>
      </c>
      <c r="AI69" s="24"/>
      <c r="AJ69" s="41">
        <f>IF(AN69=0,K69,0)</f>
        <v>0</v>
      </c>
      <c r="AK69" s="41">
        <f>IF(AN69=15,K69,0)</f>
        <v>0</v>
      </c>
      <c r="AL69" s="41">
        <f>IF(AN69=21,K69,0)</f>
        <v>0</v>
      </c>
      <c r="AN69" s="41">
        <v>21</v>
      </c>
      <c r="AO69" s="41">
        <f>H69*0.107070170781347</f>
        <v>0</v>
      </c>
      <c r="AP69" s="41">
        <f>H69*(1-0.107070170781347)</f>
        <v>0</v>
      </c>
      <c r="AQ69" s="43" t="s">
        <v>83</v>
      </c>
      <c r="AV69" s="41">
        <f>AW69+AX69</f>
        <v>0</v>
      </c>
      <c r="AW69" s="41">
        <f>G69*AO69</f>
        <v>0</v>
      </c>
      <c r="AX69" s="41">
        <f>G69*AP69</f>
        <v>0</v>
      </c>
      <c r="AY69" s="43" t="s">
        <v>181</v>
      </c>
      <c r="AZ69" s="43" t="s">
        <v>85</v>
      </c>
      <c r="BA69" s="24" t="s">
        <v>59</v>
      </c>
      <c r="BC69" s="41">
        <f>AW69+AX69</f>
        <v>0</v>
      </c>
      <c r="BD69" s="41">
        <f>H69/(100-BE69)*100</f>
        <v>0</v>
      </c>
      <c r="BE69" s="41">
        <v>0</v>
      </c>
      <c r="BF69" s="41">
        <f>69</f>
        <v>69</v>
      </c>
      <c r="BH69" s="41">
        <f>G69*AO69</f>
        <v>0</v>
      </c>
      <c r="BI69" s="41">
        <f>G69*AP69</f>
        <v>0</v>
      </c>
      <c r="BJ69" s="41">
        <f>G69*H69</f>
        <v>0</v>
      </c>
      <c r="BK69" s="41" t="s">
        <v>60</v>
      </c>
      <c r="BL69" s="41">
        <v>767</v>
      </c>
    </row>
    <row r="70" spans="1:13" ht="12.75">
      <c r="A70" s="7"/>
      <c r="C70" s="44" t="s">
        <v>182</v>
      </c>
      <c r="D70" s="44"/>
      <c r="E70" s="44"/>
      <c r="G70" s="45">
        <v>150.8</v>
      </c>
      <c r="L70" s="46"/>
      <c r="M70" s="7"/>
    </row>
    <row r="71" spans="1:13" ht="12.75">
      <c r="A71" s="7"/>
      <c r="C71" s="44" t="s">
        <v>183</v>
      </c>
      <c r="D71" s="44"/>
      <c r="E71" s="44"/>
      <c r="G71" s="45">
        <v>62.4</v>
      </c>
      <c r="L71" s="46"/>
      <c r="M71" s="7"/>
    </row>
    <row r="72" spans="1:13" ht="12.75">
      <c r="A72" s="7"/>
      <c r="C72" s="44" t="s">
        <v>184</v>
      </c>
      <c r="D72" s="44"/>
      <c r="E72" s="44"/>
      <c r="G72" s="45">
        <v>62.8</v>
      </c>
      <c r="L72" s="46"/>
      <c r="M72" s="7"/>
    </row>
    <row r="73" spans="1:64" ht="12.75">
      <c r="A73" s="40" t="s">
        <v>185</v>
      </c>
      <c r="B73" s="10" t="s">
        <v>186</v>
      </c>
      <c r="C73" s="10" t="s">
        <v>187</v>
      </c>
      <c r="D73" s="10"/>
      <c r="E73" s="10"/>
      <c r="F73" s="10" t="s">
        <v>180</v>
      </c>
      <c r="G73" s="41">
        <v>1963.92</v>
      </c>
      <c r="H73" s="41">
        <v>0</v>
      </c>
      <c r="I73" s="41">
        <f>G73*AO73</f>
        <v>0</v>
      </c>
      <c r="J73" s="41">
        <f>G73*AP73</f>
        <v>0</v>
      </c>
      <c r="K73" s="41">
        <f>G73*H73</f>
        <v>0</v>
      </c>
      <c r="L73" s="42" t="s">
        <v>56</v>
      </c>
      <c r="M73" s="7"/>
      <c r="Z73" s="41">
        <f>IF(AQ73="5",BJ73,0)</f>
        <v>0</v>
      </c>
      <c r="AB73" s="41">
        <f>IF(AQ73="1",BH73,0)</f>
        <v>0</v>
      </c>
      <c r="AC73" s="41">
        <f>IF(AQ73="1",BI73,0)</f>
        <v>0</v>
      </c>
      <c r="AD73" s="41">
        <f>IF(AQ73="7",BH73,0)</f>
        <v>0</v>
      </c>
      <c r="AE73" s="41">
        <f>IF(AQ73="7",BI73,0)</f>
        <v>0</v>
      </c>
      <c r="AF73" s="41">
        <f>IF(AQ73="2",BH73,0)</f>
        <v>0</v>
      </c>
      <c r="AG73" s="41">
        <f>IF(AQ73="2",BI73,0)</f>
        <v>0</v>
      </c>
      <c r="AH73" s="41">
        <f>IF(AQ73="0",BJ73,0)</f>
        <v>0</v>
      </c>
      <c r="AI73" s="24"/>
      <c r="AJ73" s="41">
        <f>IF(AN73=0,K73,0)</f>
        <v>0</v>
      </c>
      <c r="AK73" s="41">
        <f>IF(AN73=15,K73,0)</f>
        <v>0</v>
      </c>
      <c r="AL73" s="41">
        <f>IF(AN73=21,K73,0)</f>
        <v>0</v>
      </c>
      <c r="AN73" s="41">
        <v>21</v>
      </c>
      <c r="AO73" s="41">
        <f>H73*0.260142358182261</f>
        <v>0</v>
      </c>
      <c r="AP73" s="41">
        <f>H73*(1-0.260142358182261)</f>
        <v>0</v>
      </c>
      <c r="AQ73" s="43" t="s">
        <v>83</v>
      </c>
      <c r="AV73" s="41">
        <f>AW73+AX73</f>
        <v>0</v>
      </c>
      <c r="AW73" s="41">
        <f>G73*AO73</f>
        <v>0</v>
      </c>
      <c r="AX73" s="41">
        <f>G73*AP73</f>
        <v>0</v>
      </c>
      <c r="AY73" s="43" t="s">
        <v>181</v>
      </c>
      <c r="AZ73" s="43" t="s">
        <v>85</v>
      </c>
      <c r="BA73" s="24" t="s">
        <v>59</v>
      </c>
      <c r="BC73" s="41">
        <f>AW73+AX73</f>
        <v>0</v>
      </c>
      <c r="BD73" s="41">
        <f>H73/(100-BE73)*100</f>
        <v>0</v>
      </c>
      <c r="BE73" s="41">
        <v>0</v>
      </c>
      <c r="BF73" s="41">
        <f>73</f>
        <v>73</v>
      </c>
      <c r="BH73" s="41">
        <f>G73*AO73</f>
        <v>0</v>
      </c>
      <c r="BI73" s="41">
        <f>G73*AP73</f>
        <v>0</v>
      </c>
      <c r="BJ73" s="41">
        <f>G73*H73</f>
        <v>0</v>
      </c>
      <c r="BK73" s="41" t="s">
        <v>60</v>
      </c>
      <c r="BL73" s="41">
        <v>767</v>
      </c>
    </row>
    <row r="74" spans="1:13" ht="12.75">
      <c r="A74" s="7"/>
      <c r="C74" s="44" t="s">
        <v>188</v>
      </c>
      <c r="D74" s="44"/>
      <c r="E74" s="44"/>
      <c r="G74" s="45">
        <v>1128</v>
      </c>
      <c r="L74" s="46"/>
      <c r="M74" s="7"/>
    </row>
    <row r="75" spans="1:13" ht="12.75">
      <c r="A75" s="7"/>
      <c r="C75" s="44" t="s">
        <v>189</v>
      </c>
      <c r="D75" s="44"/>
      <c r="E75" s="44"/>
      <c r="G75" s="45">
        <v>835.92</v>
      </c>
      <c r="L75" s="46"/>
      <c r="M75" s="7"/>
    </row>
    <row r="76" spans="1:64" ht="12.75">
      <c r="A76" s="40" t="s">
        <v>190</v>
      </c>
      <c r="B76" s="10" t="s">
        <v>191</v>
      </c>
      <c r="C76" s="10" t="s">
        <v>192</v>
      </c>
      <c r="D76" s="10"/>
      <c r="E76" s="10"/>
      <c r="F76" s="10" t="s">
        <v>65</v>
      </c>
      <c r="G76" s="41">
        <v>0.20779</v>
      </c>
      <c r="H76" s="41">
        <v>0</v>
      </c>
      <c r="I76" s="41">
        <f>G76*AO76</f>
        <v>0</v>
      </c>
      <c r="J76" s="41">
        <f>G76*AP76</f>
        <v>0</v>
      </c>
      <c r="K76" s="41">
        <f>G76*H76</f>
        <v>0</v>
      </c>
      <c r="L76" s="42" t="s">
        <v>56</v>
      </c>
      <c r="M76" s="7"/>
      <c r="Z76" s="41">
        <f>IF(AQ76="5",BJ76,0)</f>
        <v>0</v>
      </c>
      <c r="AB76" s="41">
        <f>IF(AQ76="1",BH76,0)</f>
        <v>0</v>
      </c>
      <c r="AC76" s="41">
        <f>IF(AQ76="1",BI76,0)</f>
        <v>0</v>
      </c>
      <c r="AD76" s="41">
        <f>IF(AQ76="7",BH76,0)</f>
        <v>0</v>
      </c>
      <c r="AE76" s="41">
        <f>IF(AQ76="7",BI76,0)</f>
        <v>0</v>
      </c>
      <c r="AF76" s="41">
        <f>IF(AQ76="2",BH76,0)</f>
        <v>0</v>
      </c>
      <c r="AG76" s="41">
        <f>IF(AQ76="2",BI76,0)</f>
        <v>0</v>
      </c>
      <c r="AH76" s="41">
        <f>IF(AQ76="0",BJ76,0)</f>
        <v>0</v>
      </c>
      <c r="AI76" s="24"/>
      <c r="AJ76" s="41">
        <f>IF(AN76=0,K76,0)</f>
        <v>0</v>
      </c>
      <c r="AK76" s="41">
        <f>IF(AN76=15,K76,0)</f>
        <v>0</v>
      </c>
      <c r="AL76" s="41">
        <f>IF(AN76=21,K76,0)</f>
        <v>0</v>
      </c>
      <c r="AN76" s="41">
        <v>21</v>
      </c>
      <c r="AO76" s="41">
        <f>H76*1</f>
        <v>0</v>
      </c>
      <c r="AP76" s="41">
        <f>H76*(1-1)</f>
        <v>0</v>
      </c>
      <c r="AQ76" s="43" t="s">
        <v>83</v>
      </c>
      <c r="AV76" s="41">
        <f>AW76+AX76</f>
        <v>0</v>
      </c>
      <c r="AW76" s="41">
        <f>G76*AO76</f>
        <v>0</v>
      </c>
      <c r="AX76" s="41">
        <f>G76*AP76</f>
        <v>0</v>
      </c>
      <c r="AY76" s="43" t="s">
        <v>181</v>
      </c>
      <c r="AZ76" s="43" t="s">
        <v>85</v>
      </c>
      <c r="BA76" s="24" t="s">
        <v>59</v>
      </c>
      <c r="BC76" s="41">
        <f>AW76+AX76</f>
        <v>0</v>
      </c>
      <c r="BD76" s="41">
        <f>H76/(100-BE76)*100</f>
        <v>0</v>
      </c>
      <c r="BE76" s="41">
        <v>0</v>
      </c>
      <c r="BF76" s="41">
        <f>76</f>
        <v>76</v>
      </c>
      <c r="BH76" s="41">
        <f>G76*AO76</f>
        <v>0</v>
      </c>
      <c r="BI76" s="41">
        <f>G76*AP76</f>
        <v>0</v>
      </c>
      <c r="BJ76" s="41">
        <f>G76*H76</f>
        <v>0</v>
      </c>
      <c r="BK76" s="41" t="s">
        <v>108</v>
      </c>
      <c r="BL76" s="41">
        <v>767</v>
      </c>
    </row>
    <row r="77" spans="1:13" ht="12.75">
      <c r="A77" s="7"/>
      <c r="C77" s="44" t="s">
        <v>193</v>
      </c>
      <c r="D77" s="44"/>
      <c r="E77" s="44"/>
      <c r="G77" s="45">
        <v>0.1924</v>
      </c>
      <c r="L77" s="46"/>
      <c r="M77" s="7"/>
    </row>
    <row r="78" spans="1:13" ht="12.75">
      <c r="A78" s="7"/>
      <c r="C78" s="44" t="s">
        <v>194</v>
      </c>
      <c r="D78" s="44"/>
      <c r="E78" s="44"/>
      <c r="G78" s="45">
        <v>0.01539</v>
      </c>
      <c r="L78" s="46"/>
      <c r="M78" s="7"/>
    </row>
    <row r="79" spans="1:64" ht="12.75">
      <c r="A79" s="40" t="s">
        <v>195</v>
      </c>
      <c r="B79" s="10" t="s">
        <v>196</v>
      </c>
      <c r="C79" s="10" t="s">
        <v>197</v>
      </c>
      <c r="D79" s="10"/>
      <c r="E79" s="10"/>
      <c r="F79" s="10" t="s">
        <v>65</v>
      </c>
      <c r="G79" s="41">
        <v>0.09029</v>
      </c>
      <c r="H79" s="41">
        <v>0</v>
      </c>
      <c r="I79" s="41">
        <f>G79*AO79</f>
        <v>0</v>
      </c>
      <c r="J79" s="41">
        <f>G79*AP79</f>
        <v>0</v>
      </c>
      <c r="K79" s="41">
        <f>G79*H79</f>
        <v>0</v>
      </c>
      <c r="L79" s="42" t="s">
        <v>56</v>
      </c>
      <c r="M79" s="7"/>
      <c r="Z79" s="41">
        <f>IF(AQ79="5",BJ79,0)</f>
        <v>0</v>
      </c>
      <c r="AB79" s="41">
        <f>IF(AQ79="1",BH79,0)</f>
        <v>0</v>
      </c>
      <c r="AC79" s="41">
        <f>IF(AQ79="1",BI79,0)</f>
        <v>0</v>
      </c>
      <c r="AD79" s="41">
        <f>IF(AQ79="7",BH79,0)</f>
        <v>0</v>
      </c>
      <c r="AE79" s="41">
        <f>IF(AQ79="7",BI79,0)</f>
        <v>0</v>
      </c>
      <c r="AF79" s="41">
        <f>IF(AQ79="2",BH79,0)</f>
        <v>0</v>
      </c>
      <c r="AG79" s="41">
        <f>IF(AQ79="2",BI79,0)</f>
        <v>0</v>
      </c>
      <c r="AH79" s="41">
        <f>IF(AQ79="0",BJ79,0)</f>
        <v>0</v>
      </c>
      <c r="AI79" s="24"/>
      <c r="AJ79" s="41">
        <f>IF(AN79=0,K79,0)</f>
        <v>0</v>
      </c>
      <c r="AK79" s="41">
        <f>IF(AN79=15,K79,0)</f>
        <v>0</v>
      </c>
      <c r="AL79" s="41">
        <f>IF(AN79=21,K79,0)</f>
        <v>0</v>
      </c>
      <c r="AN79" s="41">
        <v>21</v>
      </c>
      <c r="AO79" s="41">
        <f>H79*1</f>
        <v>0</v>
      </c>
      <c r="AP79" s="41">
        <f>H79*(1-1)</f>
        <v>0</v>
      </c>
      <c r="AQ79" s="43" t="s">
        <v>83</v>
      </c>
      <c r="AV79" s="41">
        <f>AW79+AX79</f>
        <v>0</v>
      </c>
      <c r="AW79" s="41">
        <f>G79*AO79</f>
        <v>0</v>
      </c>
      <c r="AX79" s="41">
        <f>G79*AP79</f>
        <v>0</v>
      </c>
      <c r="AY79" s="43" t="s">
        <v>181</v>
      </c>
      <c r="AZ79" s="43" t="s">
        <v>85</v>
      </c>
      <c r="BA79" s="24" t="s">
        <v>59</v>
      </c>
      <c r="BC79" s="41">
        <f>AW79+AX79</f>
        <v>0</v>
      </c>
      <c r="BD79" s="41">
        <f>H79/(100-BE79)*100</f>
        <v>0</v>
      </c>
      <c r="BE79" s="41">
        <v>0</v>
      </c>
      <c r="BF79" s="41">
        <f>79</f>
        <v>79</v>
      </c>
      <c r="BH79" s="41">
        <f>G79*AO79</f>
        <v>0</v>
      </c>
      <c r="BI79" s="41">
        <f>G79*AP79</f>
        <v>0</v>
      </c>
      <c r="BJ79" s="41">
        <f>G79*H79</f>
        <v>0</v>
      </c>
      <c r="BK79" s="41" t="s">
        <v>108</v>
      </c>
      <c r="BL79" s="41">
        <v>767</v>
      </c>
    </row>
    <row r="80" spans="1:13" ht="12.75">
      <c r="A80" s="7"/>
      <c r="C80" s="44" t="s">
        <v>198</v>
      </c>
      <c r="D80" s="44"/>
      <c r="E80" s="44"/>
      <c r="G80" s="45">
        <v>0.0836</v>
      </c>
      <c r="L80" s="46"/>
      <c r="M80" s="7"/>
    </row>
    <row r="81" spans="1:13" ht="12.75">
      <c r="A81" s="7"/>
      <c r="C81" s="44" t="s">
        <v>199</v>
      </c>
      <c r="D81" s="44"/>
      <c r="E81" s="44"/>
      <c r="G81" s="45">
        <v>0.00669</v>
      </c>
      <c r="L81" s="46"/>
      <c r="M81" s="7"/>
    </row>
    <row r="82" spans="1:64" ht="12.75">
      <c r="A82" s="40" t="s">
        <v>200</v>
      </c>
      <c r="B82" s="10" t="s">
        <v>201</v>
      </c>
      <c r="C82" s="10" t="s">
        <v>202</v>
      </c>
      <c r="D82" s="10"/>
      <c r="E82" s="10"/>
      <c r="F82" s="10" t="s">
        <v>180</v>
      </c>
      <c r="G82" s="41">
        <v>25.8552</v>
      </c>
      <c r="H82" s="41">
        <v>0</v>
      </c>
      <c r="I82" s="41">
        <f>G82*AO82</f>
        <v>0</v>
      </c>
      <c r="J82" s="41">
        <f>G82*AP82</f>
        <v>0</v>
      </c>
      <c r="K82" s="41">
        <f>G82*H82</f>
        <v>0</v>
      </c>
      <c r="L82" s="42" t="s">
        <v>56</v>
      </c>
      <c r="M82" s="7"/>
      <c r="Z82" s="41">
        <f>IF(AQ82="5",BJ82,0)</f>
        <v>0</v>
      </c>
      <c r="AB82" s="41">
        <f>IF(AQ82="1",BH82,0)</f>
        <v>0</v>
      </c>
      <c r="AC82" s="41">
        <f>IF(AQ82="1",BI82,0)</f>
        <v>0</v>
      </c>
      <c r="AD82" s="41">
        <f>IF(AQ82="7",BH82,0)</f>
        <v>0</v>
      </c>
      <c r="AE82" s="41">
        <f>IF(AQ82="7",BI82,0)</f>
        <v>0</v>
      </c>
      <c r="AF82" s="41">
        <f>IF(AQ82="2",BH82,0)</f>
        <v>0</v>
      </c>
      <c r="AG82" s="41">
        <f>IF(AQ82="2",BI82,0)</f>
        <v>0</v>
      </c>
      <c r="AH82" s="41">
        <f>IF(AQ82="0",BJ82,0)</f>
        <v>0</v>
      </c>
      <c r="AI82" s="24"/>
      <c r="AJ82" s="41">
        <f>IF(AN82=0,K82,0)</f>
        <v>0</v>
      </c>
      <c r="AK82" s="41">
        <f>IF(AN82=15,K82,0)</f>
        <v>0</v>
      </c>
      <c r="AL82" s="41">
        <f>IF(AN82=21,K82,0)</f>
        <v>0</v>
      </c>
      <c r="AN82" s="41">
        <v>21</v>
      </c>
      <c r="AO82" s="41">
        <f>H82*1</f>
        <v>0</v>
      </c>
      <c r="AP82" s="41">
        <f>H82*(1-1)</f>
        <v>0</v>
      </c>
      <c r="AQ82" s="43" t="s">
        <v>83</v>
      </c>
      <c r="AV82" s="41">
        <f>AW82+AX82</f>
        <v>0</v>
      </c>
      <c r="AW82" s="41">
        <f>G82*AO82</f>
        <v>0</v>
      </c>
      <c r="AX82" s="41">
        <f>G82*AP82</f>
        <v>0</v>
      </c>
      <c r="AY82" s="43" t="s">
        <v>181</v>
      </c>
      <c r="AZ82" s="43" t="s">
        <v>85</v>
      </c>
      <c r="BA82" s="24" t="s">
        <v>59</v>
      </c>
      <c r="BC82" s="41">
        <f>AW82+AX82</f>
        <v>0</v>
      </c>
      <c r="BD82" s="41">
        <f>H82/(100-BE82)*100</f>
        <v>0</v>
      </c>
      <c r="BE82" s="41">
        <v>0</v>
      </c>
      <c r="BF82" s="41">
        <f>82</f>
        <v>82</v>
      </c>
      <c r="BH82" s="41">
        <f>G82*AO82</f>
        <v>0</v>
      </c>
      <c r="BI82" s="41">
        <f>G82*AP82</f>
        <v>0</v>
      </c>
      <c r="BJ82" s="41">
        <f>G82*H82</f>
        <v>0</v>
      </c>
      <c r="BK82" s="41" t="s">
        <v>108</v>
      </c>
      <c r="BL82" s="41">
        <v>767</v>
      </c>
    </row>
    <row r="83" spans="1:13" ht="12.75">
      <c r="A83" s="7"/>
      <c r="C83" s="44" t="s">
        <v>203</v>
      </c>
      <c r="D83" s="44"/>
      <c r="E83" s="44"/>
      <c r="G83" s="45">
        <v>23.94</v>
      </c>
      <c r="L83" s="46"/>
      <c r="M83" s="7"/>
    </row>
    <row r="84" spans="1:13" ht="12.75">
      <c r="A84" s="7"/>
      <c r="C84" s="44" t="s">
        <v>204</v>
      </c>
      <c r="D84" s="44"/>
      <c r="E84" s="44"/>
      <c r="G84" s="45">
        <v>1.9152</v>
      </c>
      <c r="L84" s="46"/>
      <c r="M84" s="7"/>
    </row>
    <row r="85" spans="1:64" ht="12.75">
      <c r="A85" s="40" t="s">
        <v>205</v>
      </c>
      <c r="B85" s="10" t="s">
        <v>206</v>
      </c>
      <c r="C85" s="10" t="s">
        <v>207</v>
      </c>
      <c r="D85" s="10"/>
      <c r="E85" s="10"/>
      <c r="F85" s="10" t="s">
        <v>65</v>
      </c>
      <c r="G85" s="41">
        <v>0.90279</v>
      </c>
      <c r="H85" s="41">
        <v>0</v>
      </c>
      <c r="I85" s="41">
        <f>G85*AO85</f>
        <v>0</v>
      </c>
      <c r="J85" s="41">
        <f>G85*AP85</f>
        <v>0</v>
      </c>
      <c r="K85" s="41">
        <f>G85*H85</f>
        <v>0</v>
      </c>
      <c r="L85" s="42" t="s">
        <v>56</v>
      </c>
      <c r="M85" s="7"/>
      <c r="Z85" s="41">
        <f>IF(AQ85="5",BJ85,0)</f>
        <v>0</v>
      </c>
      <c r="AB85" s="41">
        <f>IF(AQ85="1",BH85,0)</f>
        <v>0</v>
      </c>
      <c r="AC85" s="41">
        <f>IF(AQ85="1",BI85,0)</f>
        <v>0</v>
      </c>
      <c r="AD85" s="41">
        <f>IF(AQ85="7",BH85,0)</f>
        <v>0</v>
      </c>
      <c r="AE85" s="41">
        <f>IF(AQ85="7",BI85,0)</f>
        <v>0</v>
      </c>
      <c r="AF85" s="41">
        <f>IF(AQ85="2",BH85,0)</f>
        <v>0</v>
      </c>
      <c r="AG85" s="41">
        <f>IF(AQ85="2",BI85,0)</f>
        <v>0</v>
      </c>
      <c r="AH85" s="41">
        <f>IF(AQ85="0",BJ85,0)</f>
        <v>0</v>
      </c>
      <c r="AI85" s="24"/>
      <c r="AJ85" s="41">
        <f>IF(AN85=0,K85,0)</f>
        <v>0</v>
      </c>
      <c r="AK85" s="41">
        <f>IF(AN85=15,K85,0)</f>
        <v>0</v>
      </c>
      <c r="AL85" s="41">
        <f>IF(AN85=21,K85,0)</f>
        <v>0</v>
      </c>
      <c r="AN85" s="41">
        <v>21</v>
      </c>
      <c r="AO85" s="41">
        <f>H85*1</f>
        <v>0</v>
      </c>
      <c r="AP85" s="41">
        <f>H85*(1-1)</f>
        <v>0</v>
      </c>
      <c r="AQ85" s="43" t="s">
        <v>83</v>
      </c>
      <c r="AV85" s="41">
        <f>AW85+AX85</f>
        <v>0</v>
      </c>
      <c r="AW85" s="41">
        <f>G85*AO85</f>
        <v>0</v>
      </c>
      <c r="AX85" s="41">
        <f>G85*AP85</f>
        <v>0</v>
      </c>
      <c r="AY85" s="43" t="s">
        <v>181</v>
      </c>
      <c r="AZ85" s="43" t="s">
        <v>85</v>
      </c>
      <c r="BA85" s="24" t="s">
        <v>59</v>
      </c>
      <c r="BC85" s="41">
        <f>AW85+AX85</f>
        <v>0</v>
      </c>
      <c r="BD85" s="41">
        <f>H85/(100-BE85)*100</f>
        <v>0</v>
      </c>
      <c r="BE85" s="41">
        <v>0</v>
      </c>
      <c r="BF85" s="41">
        <f>85</f>
        <v>85</v>
      </c>
      <c r="BH85" s="41">
        <f>G85*AO85</f>
        <v>0</v>
      </c>
      <c r="BI85" s="41">
        <f>G85*AP85</f>
        <v>0</v>
      </c>
      <c r="BJ85" s="41">
        <f>G85*H85</f>
        <v>0</v>
      </c>
      <c r="BK85" s="41" t="s">
        <v>108</v>
      </c>
      <c r="BL85" s="41">
        <v>767</v>
      </c>
    </row>
    <row r="86" spans="1:13" ht="12.75">
      <c r="A86" s="7"/>
      <c r="C86" s="44" t="s">
        <v>208</v>
      </c>
      <c r="D86" s="44"/>
      <c r="E86" s="44"/>
      <c r="G86" s="45">
        <v>0.83592</v>
      </c>
      <c r="L86" s="46"/>
      <c r="M86" s="7"/>
    </row>
    <row r="87" spans="1:13" ht="12.75">
      <c r="A87" s="7"/>
      <c r="C87" s="44" t="s">
        <v>209</v>
      </c>
      <c r="D87" s="44"/>
      <c r="E87" s="44"/>
      <c r="G87" s="45">
        <v>0.06687</v>
      </c>
      <c r="L87" s="46"/>
      <c r="M87" s="7"/>
    </row>
    <row r="88" spans="1:64" ht="12.75">
      <c r="A88" s="40" t="s">
        <v>210</v>
      </c>
      <c r="B88" s="10" t="s">
        <v>211</v>
      </c>
      <c r="C88" s="10" t="s">
        <v>212</v>
      </c>
      <c r="D88" s="10"/>
      <c r="E88" s="10"/>
      <c r="F88" s="10" t="s">
        <v>65</v>
      </c>
      <c r="G88" s="41">
        <v>1.21824</v>
      </c>
      <c r="H88" s="41">
        <v>0</v>
      </c>
      <c r="I88" s="41">
        <f>G88*AO88</f>
        <v>0</v>
      </c>
      <c r="J88" s="41">
        <f>G88*AP88</f>
        <v>0</v>
      </c>
      <c r="K88" s="41">
        <f>G88*H88</f>
        <v>0</v>
      </c>
      <c r="L88" s="42" t="s">
        <v>56</v>
      </c>
      <c r="M88" s="7"/>
      <c r="Z88" s="41">
        <f>IF(AQ88="5",BJ88,0)</f>
        <v>0</v>
      </c>
      <c r="AB88" s="41">
        <f>IF(AQ88="1",BH88,0)</f>
        <v>0</v>
      </c>
      <c r="AC88" s="41">
        <f>IF(AQ88="1",BI88,0)</f>
        <v>0</v>
      </c>
      <c r="AD88" s="41">
        <f>IF(AQ88="7",BH88,0)</f>
        <v>0</v>
      </c>
      <c r="AE88" s="41">
        <f>IF(AQ88="7",BI88,0)</f>
        <v>0</v>
      </c>
      <c r="AF88" s="41">
        <f>IF(AQ88="2",BH88,0)</f>
        <v>0</v>
      </c>
      <c r="AG88" s="41">
        <f>IF(AQ88="2",BI88,0)</f>
        <v>0</v>
      </c>
      <c r="AH88" s="41">
        <f>IF(AQ88="0",BJ88,0)</f>
        <v>0</v>
      </c>
      <c r="AI88" s="24"/>
      <c r="AJ88" s="41">
        <f>IF(AN88=0,K88,0)</f>
        <v>0</v>
      </c>
      <c r="AK88" s="41">
        <f>IF(AN88=15,K88,0)</f>
        <v>0</v>
      </c>
      <c r="AL88" s="41">
        <f>IF(AN88=21,K88,0)</f>
        <v>0</v>
      </c>
      <c r="AN88" s="41">
        <v>21</v>
      </c>
      <c r="AO88" s="41">
        <f>H88*1</f>
        <v>0</v>
      </c>
      <c r="AP88" s="41">
        <f>H88*(1-1)</f>
        <v>0</v>
      </c>
      <c r="AQ88" s="43" t="s">
        <v>83</v>
      </c>
      <c r="AV88" s="41">
        <f>AW88+AX88</f>
        <v>0</v>
      </c>
      <c r="AW88" s="41">
        <f>G88*AO88</f>
        <v>0</v>
      </c>
      <c r="AX88" s="41">
        <f>G88*AP88</f>
        <v>0</v>
      </c>
      <c r="AY88" s="43" t="s">
        <v>181</v>
      </c>
      <c r="AZ88" s="43" t="s">
        <v>85</v>
      </c>
      <c r="BA88" s="24" t="s">
        <v>59</v>
      </c>
      <c r="BC88" s="41">
        <f>AW88+AX88</f>
        <v>0</v>
      </c>
      <c r="BD88" s="41">
        <f>H88/(100-BE88)*100</f>
        <v>0</v>
      </c>
      <c r="BE88" s="41">
        <v>0</v>
      </c>
      <c r="BF88" s="41">
        <f>88</f>
        <v>88</v>
      </c>
      <c r="BH88" s="41">
        <f>G88*AO88</f>
        <v>0</v>
      </c>
      <c r="BI88" s="41">
        <f>G88*AP88</f>
        <v>0</v>
      </c>
      <c r="BJ88" s="41">
        <f>G88*H88</f>
        <v>0</v>
      </c>
      <c r="BK88" s="41" t="s">
        <v>108</v>
      </c>
      <c r="BL88" s="41">
        <v>767</v>
      </c>
    </row>
    <row r="89" spans="1:13" ht="12.75">
      <c r="A89" s="7"/>
      <c r="C89" s="44" t="s">
        <v>213</v>
      </c>
      <c r="D89" s="44"/>
      <c r="E89" s="44"/>
      <c r="G89" s="45">
        <v>1.128</v>
      </c>
      <c r="L89" s="46"/>
      <c r="M89" s="7"/>
    </row>
    <row r="90" spans="1:13" ht="12.75">
      <c r="A90" s="7"/>
      <c r="C90" s="44" t="s">
        <v>214</v>
      </c>
      <c r="D90" s="44"/>
      <c r="E90" s="44"/>
      <c r="G90" s="45">
        <v>0.09024</v>
      </c>
      <c r="L90" s="46"/>
      <c r="M90" s="7"/>
    </row>
    <row r="91" spans="1:64" ht="12.75">
      <c r="A91" s="40" t="s">
        <v>215</v>
      </c>
      <c r="B91" s="10" t="s">
        <v>216</v>
      </c>
      <c r="C91" s="10" t="s">
        <v>217</v>
      </c>
      <c r="D91" s="10"/>
      <c r="E91" s="10"/>
      <c r="F91" s="10" t="s">
        <v>73</v>
      </c>
      <c r="G91" s="41">
        <v>73.44</v>
      </c>
      <c r="H91" s="41">
        <v>0</v>
      </c>
      <c r="I91" s="41">
        <f>G91*AO91</f>
        <v>0</v>
      </c>
      <c r="J91" s="41">
        <f>G91*AP91</f>
        <v>0</v>
      </c>
      <c r="K91" s="41">
        <f>G91*H91</f>
        <v>0</v>
      </c>
      <c r="L91" s="42" t="s">
        <v>56</v>
      </c>
      <c r="M91" s="7"/>
      <c r="Z91" s="41">
        <f>IF(AQ91="5",BJ91,0)</f>
        <v>0</v>
      </c>
      <c r="AB91" s="41">
        <f>IF(AQ91="1",BH91,0)</f>
        <v>0</v>
      </c>
      <c r="AC91" s="41">
        <f>IF(AQ91="1",BI91,0)</f>
        <v>0</v>
      </c>
      <c r="AD91" s="41">
        <f>IF(AQ91="7",BH91,0)</f>
        <v>0</v>
      </c>
      <c r="AE91" s="41">
        <f>IF(AQ91="7",BI91,0)</f>
        <v>0</v>
      </c>
      <c r="AF91" s="41">
        <f>IF(AQ91="2",BH91,0)</f>
        <v>0</v>
      </c>
      <c r="AG91" s="41">
        <f>IF(AQ91="2",BI91,0)</f>
        <v>0</v>
      </c>
      <c r="AH91" s="41">
        <f>IF(AQ91="0",BJ91,0)</f>
        <v>0</v>
      </c>
      <c r="AI91" s="24"/>
      <c r="AJ91" s="41">
        <f>IF(AN91=0,K91,0)</f>
        <v>0</v>
      </c>
      <c r="AK91" s="41">
        <f>IF(AN91=15,K91,0)</f>
        <v>0</v>
      </c>
      <c r="AL91" s="41">
        <f>IF(AN91=21,K91,0)</f>
        <v>0</v>
      </c>
      <c r="AN91" s="41">
        <v>21</v>
      </c>
      <c r="AO91" s="41">
        <f>H91*1</f>
        <v>0</v>
      </c>
      <c r="AP91" s="41">
        <f>H91*(1-1)</f>
        <v>0</v>
      </c>
      <c r="AQ91" s="43" t="s">
        <v>83</v>
      </c>
      <c r="AV91" s="41">
        <f>AW91+AX91</f>
        <v>0</v>
      </c>
      <c r="AW91" s="41">
        <f>G91*AO91</f>
        <v>0</v>
      </c>
      <c r="AX91" s="41">
        <f>G91*AP91</f>
        <v>0</v>
      </c>
      <c r="AY91" s="43" t="s">
        <v>181</v>
      </c>
      <c r="AZ91" s="43" t="s">
        <v>85</v>
      </c>
      <c r="BA91" s="24" t="s">
        <v>59</v>
      </c>
      <c r="BC91" s="41">
        <f>AW91+AX91</f>
        <v>0</v>
      </c>
      <c r="BD91" s="41">
        <f>H91/(100-BE91)*100</f>
        <v>0</v>
      </c>
      <c r="BE91" s="41">
        <v>0</v>
      </c>
      <c r="BF91" s="41">
        <f>91</f>
        <v>91</v>
      </c>
      <c r="BH91" s="41">
        <f>G91*AO91</f>
        <v>0</v>
      </c>
      <c r="BI91" s="41">
        <f>G91*AP91</f>
        <v>0</v>
      </c>
      <c r="BJ91" s="41">
        <f>G91*H91</f>
        <v>0</v>
      </c>
      <c r="BK91" s="41" t="s">
        <v>108</v>
      </c>
      <c r="BL91" s="41">
        <v>767</v>
      </c>
    </row>
    <row r="92" spans="1:13" ht="12.75">
      <c r="A92" s="7"/>
      <c r="C92" s="44" t="s">
        <v>218</v>
      </c>
      <c r="D92" s="44"/>
      <c r="E92" s="44"/>
      <c r="G92" s="45">
        <v>72</v>
      </c>
      <c r="L92" s="46"/>
      <c r="M92" s="7"/>
    </row>
    <row r="93" spans="1:13" ht="12.75">
      <c r="A93" s="7"/>
      <c r="C93" s="44" t="s">
        <v>219</v>
      </c>
      <c r="D93" s="44"/>
      <c r="E93" s="44"/>
      <c r="G93" s="45">
        <v>1.44</v>
      </c>
      <c r="L93" s="46"/>
      <c r="M93" s="7"/>
    </row>
    <row r="94" spans="1:64" ht="12.75">
      <c r="A94" s="40" t="s">
        <v>220</v>
      </c>
      <c r="B94" s="10" t="s">
        <v>221</v>
      </c>
      <c r="C94" s="10" t="s">
        <v>222</v>
      </c>
      <c r="D94" s="10"/>
      <c r="E94" s="10"/>
      <c r="F94" s="10" t="s">
        <v>73</v>
      </c>
      <c r="G94" s="41">
        <v>73.44</v>
      </c>
      <c r="H94" s="41">
        <v>0</v>
      </c>
      <c r="I94" s="41">
        <f>G94*AO94</f>
        <v>0</v>
      </c>
      <c r="J94" s="41">
        <f>G94*AP94</f>
        <v>0</v>
      </c>
      <c r="K94" s="41">
        <f>G94*H94</f>
        <v>0</v>
      </c>
      <c r="L94" s="42" t="s">
        <v>56</v>
      </c>
      <c r="M94" s="7"/>
      <c r="Z94" s="41">
        <f>IF(AQ94="5",BJ94,0)</f>
        <v>0</v>
      </c>
      <c r="AB94" s="41">
        <f>IF(AQ94="1",BH94,0)</f>
        <v>0</v>
      </c>
      <c r="AC94" s="41">
        <f>IF(AQ94="1",BI94,0)</f>
        <v>0</v>
      </c>
      <c r="AD94" s="41">
        <f>IF(AQ94="7",BH94,0)</f>
        <v>0</v>
      </c>
      <c r="AE94" s="41">
        <f>IF(AQ94="7",BI94,0)</f>
        <v>0</v>
      </c>
      <c r="AF94" s="41">
        <f>IF(AQ94="2",BH94,0)</f>
        <v>0</v>
      </c>
      <c r="AG94" s="41">
        <f>IF(AQ94="2",BI94,0)</f>
        <v>0</v>
      </c>
      <c r="AH94" s="41">
        <f>IF(AQ94="0",BJ94,0)</f>
        <v>0</v>
      </c>
      <c r="AI94" s="24"/>
      <c r="AJ94" s="41">
        <f>IF(AN94=0,K94,0)</f>
        <v>0</v>
      </c>
      <c r="AK94" s="41">
        <f>IF(AN94=15,K94,0)</f>
        <v>0</v>
      </c>
      <c r="AL94" s="41">
        <f>IF(AN94=21,K94,0)</f>
        <v>0</v>
      </c>
      <c r="AN94" s="41">
        <v>21</v>
      </c>
      <c r="AO94" s="41">
        <f>H94*1</f>
        <v>0</v>
      </c>
      <c r="AP94" s="41">
        <f>H94*(1-1)</f>
        <v>0</v>
      </c>
      <c r="AQ94" s="43" t="s">
        <v>83</v>
      </c>
      <c r="AV94" s="41">
        <f>AW94+AX94</f>
        <v>0</v>
      </c>
      <c r="AW94" s="41">
        <f>G94*AO94</f>
        <v>0</v>
      </c>
      <c r="AX94" s="41">
        <f>G94*AP94</f>
        <v>0</v>
      </c>
      <c r="AY94" s="43" t="s">
        <v>181</v>
      </c>
      <c r="AZ94" s="43" t="s">
        <v>85</v>
      </c>
      <c r="BA94" s="24" t="s">
        <v>59</v>
      </c>
      <c r="BC94" s="41">
        <f>AW94+AX94</f>
        <v>0</v>
      </c>
      <c r="BD94" s="41">
        <f>H94/(100-BE94)*100</f>
        <v>0</v>
      </c>
      <c r="BE94" s="41">
        <v>0</v>
      </c>
      <c r="BF94" s="41">
        <f>94</f>
        <v>94</v>
      </c>
      <c r="BH94" s="41">
        <f>G94*AO94</f>
        <v>0</v>
      </c>
      <c r="BI94" s="41">
        <f>G94*AP94</f>
        <v>0</v>
      </c>
      <c r="BJ94" s="41">
        <f>G94*H94</f>
        <v>0</v>
      </c>
      <c r="BK94" s="41" t="s">
        <v>108</v>
      </c>
      <c r="BL94" s="41">
        <v>767</v>
      </c>
    </row>
    <row r="95" spans="1:13" ht="12.75">
      <c r="A95" s="7"/>
      <c r="C95" s="44" t="s">
        <v>218</v>
      </c>
      <c r="D95" s="44"/>
      <c r="E95" s="44"/>
      <c r="G95" s="45">
        <v>72</v>
      </c>
      <c r="L95" s="46"/>
      <c r="M95" s="7"/>
    </row>
    <row r="96" spans="1:13" ht="12.75">
      <c r="A96" s="7"/>
      <c r="C96" s="44" t="s">
        <v>219</v>
      </c>
      <c r="D96" s="44"/>
      <c r="E96" s="44"/>
      <c r="G96" s="45">
        <v>1.44</v>
      </c>
      <c r="L96" s="46"/>
      <c r="M96" s="7"/>
    </row>
    <row r="97" spans="1:64" ht="12.75">
      <c r="A97" s="40" t="s">
        <v>50</v>
      </c>
      <c r="B97" s="10" t="s">
        <v>223</v>
      </c>
      <c r="C97" s="10" t="s">
        <v>224</v>
      </c>
      <c r="D97" s="10"/>
      <c r="E97" s="10"/>
      <c r="F97" s="10" t="s">
        <v>73</v>
      </c>
      <c r="G97" s="41">
        <v>163.2</v>
      </c>
      <c r="H97" s="41">
        <v>0</v>
      </c>
      <c r="I97" s="41">
        <f>G97*AO97</f>
        <v>0</v>
      </c>
      <c r="J97" s="41">
        <f>G97*AP97</f>
        <v>0</v>
      </c>
      <c r="K97" s="41">
        <f>G97*H97</f>
        <v>0</v>
      </c>
      <c r="L97" s="42" t="s">
        <v>56</v>
      </c>
      <c r="M97" s="7"/>
      <c r="Z97" s="41">
        <f>IF(AQ97="5",BJ97,0)</f>
        <v>0</v>
      </c>
      <c r="AB97" s="41">
        <f>IF(AQ97="1",BH97,0)</f>
        <v>0</v>
      </c>
      <c r="AC97" s="41">
        <f>IF(AQ97="1",BI97,0)</f>
        <v>0</v>
      </c>
      <c r="AD97" s="41">
        <f>IF(AQ97="7",BH97,0)</f>
        <v>0</v>
      </c>
      <c r="AE97" s="41">
        <f>IF(AQ97="7",BI97,0)</f>
        <v>0</v>
      </c>
      <c r="AF97" s="41">
        <f>IF(AQ97="2",BH97,0)</f>
        <v>0</v>
      </c>
      <c r="AG97" s="41">
        <f>IF(AQ97="2",BI97,0)</f>
        <v>0</v>
      </c>
      <c r="AH97" s="41">
        <f>IF(AQ97="0",BJ97,0)</f>
        <v>0</v>
      </c>
      <c r="AI97" s="24"/>
      <c r="AJ97" s="41">
        <f>IF(AN97=0,K97,0)</f>
        <v>0</v>
      </c>
      <c r="AK97" s="41">
        <f>IF(AN97=15,K97,0)</f>
        <v>0</v>
      </c>
      <c r="AL97" s="41">
        <f>IF(AN97=21,K97,0)</f>
        <v>0</v>
      </c>
      <c r="AN97" s="41">
        <v>21</v>
      </c>
      <c r="AO97" s="41">
        <f>H97*1</f>
        <v>0</v>
      </c>
      <c r="AP97" s="41">
        <f>H97*(1-1)</f>
        <v>0</v>
      </c>
      <c r="AQ97" s="43" t="s">
        <v>83</v>
      </c>
      <c r="AV97" s="41">
        <f>AW97+AX97</f>
        <v>0</v>
      </c>
      <c r="AW97" s="41">
        <f>G97*AO97</f>
        <v>0</v>
      </c>
      <c r="AX97" s="41">
        <f>G97*AP97</f>
        <v>0</v>
      </c>
      <c r="AY97" s="43" t="s">
        <v>181</v>
      </c>
      <c r="AZ97" s="43" t="s">
        <v>85</v>
      </c>
      <c r="BA97" s="24" t="s">
        <v>59</v>
      </c>
      <c r="BC97" s="41">
        <f>AW97+AX97</f>
        <v>0</v>
      </c>
      <c r="BD97" s="41">
        <f>H97/(100-BE97)*100</f>
        <v>0</v>
      </c>
      <c r="BE97" s="41">
        <v>0</v>
      </c>
      <c r="BF97" s="41">
        <f>97</f>
        <v>97</v>
      </c>
      <c r="BH97" s="41">
        <f>G97*AO97</f>
        <v>0</v>
      </c>
      <c r="BI97" s="41">
        <f>G97*AP97</f>
        <v>0</v>
      </c>
      <c r="BJ97" s="41">
        <f>G97*H97</f>
        <v>0</v>
      </c>
      <c r="BK97" s="41" t="s">
        <v>108</v>
      </c>
      <c r="BL97" s="41">
        <v>767</v>
      </c>
    </row>
    <row r="98" spans="1:13" ht="12.75">
      <c r="A98" s="7"/>
      <c r="C98" s="44" t="s">
        <v>225</v>
      </c>
      <c r="D98" s="44"/>
      <c r="E98" s="44"/>
      <c r="G98" s="45">
        <v>160</v>
      </c>
      <c r="L98" s="46"/>
      <c r="M98" s="7"/>
    </row>
    <row r="99" spans="1:13" ht="12.75">
      <c r="A99" s="7"/>
      <c r="C99" s="44" t="s">
        <v>226</v>
      </c>
      <c r="D99" s="44"/>
      <c r="E99" s="44"/>
      <c r="G99" s="45">
        <v>3.2</v>
      </c>
      <c r="L99" s="46"/>
      <c r="M99" s="7"/>
    </row>
    <row r="100" spans="1:64" ht="12.75">
      <c r="A100" s="40" t="s">
        <v>227</v>
      </c>
      <c r="B100" s="10" t="s">
        <v>228</v>
      </c>
      <c r="C100" s="10" t="s">
        <v>229</v>
      </c>
      <c r="D100" s="10"/>
      <c r="E100" s="10"/>
      <c r="F100" s="10" t="s">
        <v>73</v>
      </c>
      <c r="G100" s="41">
        <v>80</v>
      </c>
      <c r="H100" s="41">
        <v>0</v>
      </c>
      <c r="I100" s="41">
        <f>G100*AO100</f>
        <v>0</v>
      </c>
      <c r="J100" s="41">
        <f>G100*AP100</f>
        <v>0</v>
      </c>
      <c r="K100" s="41">
        <f>G100*H100</f>
        <v>0</v>
      </c>
      <c r="L100" s="42" t="s">
        <v>56</v>
      </c>
      <c r="M100" s="7"/>
      <c r="Z100" s="41">
        <f>IF(AQ100="5",BJ100,0)</f>
        <v>0</v>
      </c>
      <c r="AB100" s="41">
        <f>IF(AQ100="1",BH100,0)</f>
        <v>0</v>
      </c>
      <c r="AC100" s="41">
        <f>IF(AQ100="1",BI100,0)</f>
        <v>0</v>
      </c>
      <c r="AD100" s="41">
        <f>IF(AQ100="7",BH100,0)</f>
        <v>0</v>
      </c>
      <c r="AE100" s="41">
        <f>IF(AQ100="7",BI100,0)</f>
        <v>0</v>
      </c>
      <c r="AF100" s="41">
        <f>IF(AQ100="2",BH100,0)</f>
        <v>0</v>
      </c>
      <c r="AG100" s="41">
        <f>IF(AQ100="2",BI100,0)</f>
        <v>0</v>
      </c>
      <c r="AH100" s="41">
        <f>IF(AQ100="0",BJ100,0)</f>
        <v>0</v>
      </c>
      <c r="AI100" s="24"/>
      <c r="AJ100" s="41">
        <f>IF(AN100=0,K100,0)</f>
        <v>0</v>
      </c>
      <c r="AK100" s="41">
        <f>IF(AN100=15,K100,0)</f>
        <v>0</v>
      </c>
      <c r="AL100" s="41">
        <f>IF(AN100=21,K100,0)</f>
        <v>0</v>
      </c>
      <c r="AN100" s="41">
        <v>21</v>
      </c>
      <c r="AO100" s="41">
        <f>H100*1</f>
        <v>0</v>
      </c>
      <c r="AP100" s="41">
        <f>H100*(1-1)</f>
        <v>0</v>
      </c>
      <c r="AQ100" s="43" t="s">
        <v>83</v>
      </c>
      <c r="AV100" s="41">
        <f>AW100+AX100</f>
        <v>0</v>
      </c>
      <c r="AW100" s="41">
        <f>G100*AO100</f>
        <v>0</v>
      </c>
      <c r="AX100" s="41">
        <f>G100*AP100</f>
        <v>0</v>
      </c>
      <c r="AY100" s="43" t="s">
        <v>181</v>
      </c>
      <c r="AZ100" s="43" t="s">
        <v>85</v>
      </c>
      <c r="BA100" s="24" t="s">
        <v>59</v>
      </c>
      <c r="BC100" s="41">
        <f>AW100+AX100</f>
        <v>0</v>
      </c>
      <c r="BD100" s="41">
        <f>H100/(100-BE100)*100</f>
        <v>0</v>
      </c>
      <c r="BE100" s="41">
        <v>0</v>
      </c>
      <c r="BF100" s="41">
        <f>100</f>
        <v>100</v>
      </c>
      <c r="BH100" s="41">
        <f>G100*AO100</f>
        <v>0</v>
      </c>
      <c r="BI100" s="41">
        <f>G100*AP100</f>
        <v>0</v>
      </c>
      <c r="BJ100" s="41">
        <f>G100*H100</f>
        <v>0</v>
      </c>
      <c r="BK100" s="41" t="s">
        <v>108</v>
      </c>
      <c r="BL100" s="41">
        <v>767</v>
      </c>
    </row>
    <row r="101" spans="1:13" ht="12.75">
      <c r="A101" s="7"/>
      <c r="C101" s="44" t="s">
        <v>230</v>
      </c>
      <c r="D101" s="44"/>
      <c r="E101" s="44"/>
      <c r="G101" s="45">
        <v>80</v>
      </c>
      <c r="L101" s="46"/>
      <c r="M101" s="7"/>
    </row>
    <row r="102" spans="1:64" ht="12.75">
      <c r="A102" s="40" t="s">
        <v>231</v>
      </c>
      <c r="B102" s="10" t="s">
        <v>232</v>
      </c>
      <c r="C102" s="10" t="s">
        <v>233</v>
      </c>
      <c r="D102" s="10"/>
      <c r="E102" s="10"/>
      <c r="F102" s="10" t="s">
        <v>234</v>
      </c>
      <c r="G102" s="41">
        <v>0.08</v>
      </c>
      <c r="H102" s="41">
        <v>0</v>
      </c>
      <c r="I102" s="41">
        <f>G102*AO102</f>
        <v>0</v>
      </c>
      <c r="J102" s="41">
        <f>G102*AP102</f>
        <v>0</v>
      </c>
      <c r="K102" s="41">
        <f>G102*H102</f>
        <v>0</v>
      </c>
      <c r="L102" s="42" t="s">
        <v>56</v>
      </c>
      <c r="M102" s="7"/>
      <c r="Z102" s="41">
        <f>IF(AQ102="5",BJ102,0)</f>
        <v>0</v>
      </c>
      <c r="AB102" s="41">
        <f>IF(AQ102="1",BH102,0)</f>
        <v>0</v>
      </c>
      <c r="AC102" s="41">
        <f>IF(AQ102="1",BI102,0)</f>
        <v>0</v>
      </c>
      <c r="AD102" s="41">
        <f>IF(AQ102="7",BH102,0)</f>
        <v>0</v>
      </c>
      <c r="AE102" s="41">
        <f>IF(AQ102="7",BI102,0)</f>
        <v>0</v>
      </c>
      <c r="AF102" s="41">
        <f>IF(AQ102="2",BH102,0)</f>
        <v>0</v>
      </c>
      <c r="AG102" s="41">
        <f>IF(AQ102="2",BI102,0)</f>
        <v>0</v>
      </c>
      <c r="AH102" s="41">
        <f>IF(AQ102="0",BJ102,0)</f>
        <v>0</v>
      </c>
      <c r="AI102" s="24"/>
      <c r="AJ102" s="41">
        <f>IF(AN102=0,K102,0)</f>
        <v>0</v>
      </c>
      <c r="AK102" s="41">
        <f>IF(AN102=15,K102,0)</f>
        <v>0</v>
      </c>
      <c r="AL102" s="41">
        <f>IF(AN102=21,K102,0)</f>
        <v>0</v>
      </c>
      <c r="AN102" s="41">
        <v>21</v>
      </c>
      <c r="AO102" s="41">
        <f>H102*1</f>
        <v>0</v>
      </c>
      <c r="AP102" s="41">
        <f>H102*(1-1)</f>
        <v>0</v>
      </c>
      <c r="AQ102" s="43" t="s">
        <v>83</v>
      </c>
      <c r="AV102" s="41">
        <f>AW102+AX102</f>
        <v>0</v>
      </c>
      <c r="AW102" s="41">
        <f>G102*AO102</f>
        <v>0</v>
      </c>
      <c r="AX102" s="41">
        <f>G102*AP102</f>
        <v>0</v>
      </c>
      <c r="AY102" s="43" t="s">
        <v>181</v>
      </c>
      <c r="AZ102" s="43" t="s">
        <v>85</v>
      </c>
      <c r="BA102" s="24" t="s">
        <v>59</v>
      </c>
      <c r="BC102" s="41">
        <f>AW102+AX102</f>
        <v>0</v>
      </c>
      <c r="BD102" s="41">
        <f>H102/(100-BE102)*100</f>
        <v>0</v>
      </c>
      <c r="BE102" s="41">
        <v>0</v>
      </c>
      <c r="BF102" s="41">
        <f>102</f>
        <v>102</v>
      </c>
      <c r="BH102" s="41">
        <f>G102*AO102</f>
        <v>0</v>
      </c>
      <c r="BI102" s="41">
        <f>G102*AP102</f>
        <v>0</v>
      </c>
      <c r="BJ102" s="41">
        <f>G102*H102</f>
        <v>0</v>
      </c>
      <c r="BK102" s="41" t="s">
        <v>108</v>
      </c>
      <c r="BL102" s="41">
        <v>767</v>
      </c>
    </row>
    <row r="103" spans="1:13" ht="12.75">
      <c r="A103" s="7"/>
      <c r="C103" s="44" t="s">
        <v>235</v>
      </c>
      <c r="D103" s="44"/>
      <c r="E103" s="44"/>
      <c r="G103" s="45">
        <v>0.08</v>
      </c>
      <c r="L103" s="46"/>
      <c r="M103" s="7"/>
    </row>
    <row r="104" spans="1:64" ht="12.75">
      <c r="A104" s="40" t="s">
        <v>236</v>
      </c>
      <c r="B104" s="10" t="s">
        <v>237</v>
      </c>
      <c r="C104" s="10" t="s">
        <v>238</v>
      </c>
      <c r="D104" s="10"/>
      <c r="E104" s="10"/>
      <c r="F104" s="10" t="s">
        <v>65</v>
      </c>
      <c r="G104" s="41">
        <v>2.555</v>
      </c>
      <c r="H104" s="41">
        <v>0</v>
      </c>
      <c r="I104" s="41">
        <f>G104*AO104</f>
        <v>0</v>
      </c>
      <c r="J104" s="41">
        <f>G104*AP104</f>
        <v>0</v>
      </c>
      <c r="K104" s="41">
        <f>G104*H104</f>
        <v>0</v>
      </c>
      <c r="L104" s="42" t="s">
        <v>56</v>
      </c>
      <c r="M104" s="7"/>
      <c r="Z104" s="41">
        <f>IF(AQ104="5",BJ104,0)</f>
        <v>0</v>
      </c>
      <c r="AB104" s="41">
        <f>IF(AQ104="1",BH104,0)</f>
        <v>0</v>
      </c>
      <c r="AC104" s="41">
        <f>IF(AQ104="1",BI104,0)</f>
        <v>0</v>
      </c>
      <c r="AD104" s="41">
        <f>IF(AQ104="7",BH104,0)</f>
        <v>0</v>
      </c>
      <c r="AE104" s="41">
        <f>IF(AQ104="7",BI104,0)</f>
        <v>0</v>
      </c>
      <c r="AF104" s="41">
        <f>IF(AQ104="2",BH104,0)</f>
        <v>0</v>
      </c>
      <c r="AG104" s="41">
        <f>IF(AQ104="2",BI104,0)</f>
        <v>0</v>
      </c>
      <c r="AH104" s="41">
        <f>IF(AQ104="0",BJ104,0)</f>
        <v>0</v>
      </c>
      <c r="AI104" s="24"/>
      <c r="AJ104" s="41">
        <f>IF(AN104=0,K104,0)</f>
        <v>0</v>
      </c>
      <c r="AK104" s="41">
        <f>IF(AN104=15,K104,0)</f>
        <v>0</v>
      </c>
      <c r="AL104" s="41">
        <f>IF(AN104=21,K104,0)</f>
        <v>0</v>
      </c>
      <c r="AN104" s="41">
        <v>21</v>
      </c>
      <c r="AO104" s="41">
        <f>H104*0</f>
        <v>0</v>
      </c>
      <c r="AP104" s="41">
        <f>H104*(1-0)</f>
        <v>0</v>
      </c>
      <c r="AQ104" s="43" t="s">
        <v>66</v>
      </c>
      <c r="AV104" s="41">
        <f>AW104+AX104</f>
        <v>0</v>
      </c>
      <c r="AW104" s="41">
        <f>G104*AO104</f>
        <v>0</v>
      </c>
      <c r="AX104" s="41">
        <f>G104*AP104</f>
        <v>0</v>
      </c>
      <c r="AY104" s="43" t="s">
        <v>181</v>
      </c>
      <c r="AZ104" s="43" t="s">
        <v>85</v>
      </c>
      <c r="BA104" s="24" t="s">
        <v>59</v>
      </c>
      <c r="BC104" s="41">
        <f>AW104+AX104</f>
        <v>0</v>
      </c>
      <c r="BD104" s="41">
        <f>H104/(100-BE104)*100</f>
        <v>0</v>
      </c>
      <c r="BE104" s="41">
        <v>0</v>
      </c>
      <c r="BF104" s="41">
        <f>104</f>
        <v>104</v>
      </c>
      <c r="BH104" s="41">
        <f>G104*AO104</f>
        <v>0</v>
      </c>
      <c r="BI104" s="41">
        <f>G104*AP104</f>
        <v>0</v>
      </c>
      <c r="BJ104" s="41">
        <f>G104*H104</f>
        <v>0</v>
      </c>
      <c r="BK104" s="41" t="s">
        <v>60</v>
      </c>
      <c r="BL104" s="41">
        <v>767</v>
      </c>
    </row>
    <row r="105" spans="1:13" ht="12.75">
      <c r="A105" s="7"/>
      <c r="C105" s="44" t="s">
        <v>239</v>
      </c>
      <c r="D105" s="44"/>
      <c r="E105" s="44"/>
      <c r="G105" s="45">
        <v>2.555</v>
      </c>
      <c r="L105" s="46"/>
      <c r="M105" s="7"/>
    </row>
    <row r="106" spans="1:64" ht="12.75">
      <c r="A106" s="40" t="s">
        <v>240</v>
      </c>
      <c r="B106" s="10" t="s">
        <v>241</v>
      </c>
      <c r="C106" s="10" t="s">
        <v>242</v>
      </c>
      <c r="D106" s="10"/>
      <c r="E106" s="10"/>
      <c r="F106" s="10" t="s">
        <v>243</v>
      </c>
      <c r="G106" s="41">
        <v>65</v>
      </c>
      <c r="H106" s="41">
        <v>0</v>
      </c>
      <c r="I106" s="41">
        <f>G106*AO106</f>
        <v>0</v>
      </c>
      <c r="J106" s="41">
        <f>G106*AP106</f>
        <v>0</v>
      </c>
      <c r="K106" s="41">
        <f>G106*H106</f>
        <v>0</v>
      </c>
      <c r="L106" s="42" t="s">
        <v>56</v>
      </c>
      <c r="M106" s="7"/>
      <c r="Z106" s="41">
        <f>IF(AQ106="5",BJ106,0)</f>
        <v>0</v>
      </c>
      <c r="AB106" s="41">
        <f>IF(AQ106="1",BH106,0)</f>
        <v>0</v>
      </c>
      <c r="AC106" s="41">
        <f>IF(AQ106="1",BI106,0)</f>
        <v>0</v>
      </c>
      <c r="AD106" s="41">
        <f>IF(AQ106="7",BH106,0)</f>
        <v>0</v>
      </c>
      <c r="AE106" s="41">
        <f>IF(AQ106="7",BI106,0)</f>
        <v>0</v>
      </c>
      <c r="AF106" s="41">
        <f>IF(AQ106="2",BH106,0)</f>
        <v>0</v>
      </c>
      <c r="AG106" s="41">
        <f>IF(AQ106="2",BI106,0)</f>
        <v>0</v>
      </c>
      <c r="AH106" s="41">
        <f>IF(AQ106="0",BJ106,0)</f>
        <v>0</v>
      </c>
      <c r="AI106" s="24"/>
      <c r="AJ106" s="41">
        <f>IF(AN106=0,K106,0)</f>
        <v>0</v>
      </c>
      <c r="AK106" s="41">
        <f>IF(AN106=15,K106,0)</f>
        <v>0</v>
      </c>
      <c r="AL106" s="41">
        <f>IF(AN106=21,K106,0)</f>
        <v>0</v>
      </c>
      <c r="AN106" s="41">
        <v>21</v>
      </c>
      <c r="AO106" s="41">
        <f>H106*0</f>
        <v>0</v>
      </c>
      <c r="AP106" s="41">
        <f>H106*(1-0)</f>
        <v>0</v>
      </c>
      <c r="AQ106" s="43" t="s">
        <v>83</v>
      </c>
      <c r="AV106" s="41">
        <f>AW106+AX106</f>
        <v>0</v>
      </c>
      <c r="AW106" s="41">
        <f>G106*AO106</f>
        <v>0</v>
      </c>
      <c r="AX106" s="41">
        <f>G106*AP106</f>
        <v>0</v>
      </c>
      <c r="AY106" s="43" t="s">
        <v>181</v>
      </c>
      <c r="AZ106" s="43" t="s">
        <v>85</v>
      </c>
      <c r="BA106" s="24" t="s">
        <v>59</v>
      </c>
      <c r="BC106" s="41">
        <f>AW106+AX106</f>
        <v>0</v>
      </c>
      <c r="BD106" s="41">
        <f>H106/(100-BE106)*100</f>
        <v>0</v>
      </c>
      <c r="BE106" s="41">
        <v>0</v>
      </c>
      <c r="BF106" s="41">
        <f>106</f>
        <v>106</v>
      </c>
      <c r="BH106" s="41">
        <f>G106*AO106</f>
        <v>0</v>
      </c>
      <c r="BI106" s="41">
        <f>G106*AP106</f>
        <v>0</v>
      </c>
      <c r="BJ106" s="41">
        <f>G106*H106</f>
        <v>0</v>
      </c>
      <c r="BK106" s="41" t="s">
        <v>60</v>
      </c>
      <c r="BL106" s="41">
        <v>767</v>
      </c>
    </row>
    <row r="107" spans="1:13" ht="12.75">
      <c r="A107" s="7"/>
      <c r="C107" s="44" t="s">
        <v>244</v>
      </c>
      <c r="D107" s="44"/>
      <c r="E107" s="44"/>
      <c r="G107" s="45">
        <v>65</v>
      </c>
      <c r="L107" s="46"/>
      <c r="M107" s="7"/>
    </row>
    <row r="108" spans="1:47" ht="12.75">
      <c r="A108" s="47"/>
      <c r="B108" s="48" t="s">
        <v>245</v>
      </c>
      <c r="C108" s="48" t="s">
        <v>246</v>
      </c>
      <c r="D108" s="48"/>
      <c r="E108" s="48"/>
      <c r="F108" s="49" t="s">
        <v>4</v>
      </c>
      <c r="G108" s="49" t="s">
        <v>4</v>
      </c>
      <c r="H108" s="49" t="s">
        <v>4</v>
      </c>
      <c r="I108" s="39">
        <f>SUM(I109:I111)</f>
        <v>0</v>
      </c>
      <c r="J108" s="39">
        <f>SUM(J109:J111)</f>
        <v>0</v>
      </c>
      <c r="K108" s="39">
        <f>SUM(K109:K111)</f>
        <v>0</v>
      </c>
      <c r="L108" s="50"/>
      <c r="M108" s="7"/>
      <c r="AI108" s="24"/>
      <c r="AS108" s="39">
        <f>SUM(AJ109:AJ111)</f>
        <v>0</v>
      </c>
      <c r="AT108" s="39">
        <f>SUM(AK109:AK111)</f>
        <v>0</v>
      </c>
      <c r="AU108" s="39">
        <f>SUM(AL109:AL111)</f>
        <v>0</v>
      </c>
    </row>
    <row r="109" spans="1:64" ht="12.75">
      <c r="A109" s="40" t="s">
        <v>247</v>
      </c>
      <c r="B109" s="10" t="s">
        <v>248</v>
      </c>
      <c r="C109" s="10" t="s">
        <v>249</v>
      </c>
      <c r="D109" s="10"/>
      <c r="E109" s="10"/>
      <c r="F109" s="10" t="s">
        <v>55</v>
      </c>
      <c r="G109" s="41">
        <v>48.64</v>
      </c>
      <c r="H109" s="41">
        <v>0</v>
      </c>
      <c r="I109" s="41">
        <f>G109*AO109</f>
        <v>0</v>
      </c>
      <c r="J109" s="41">
        <f>G109*AP109</f>
        <v>0</v>
      </c>
      <c r="K109" s="41">
        <f>G109*H109</f>
        <v>0</v>
      </c>
      <c r="L109" s="42" t="s">
        <v>56</v>
      </c>
      <c r="M109" s="7"/>
      <c r="Z109" s="41">
        <f>IF(AQ109="5",BJ109,0)</f>
        <v>0</v>
      </c>
      <c r="AB109" s="41">
        <f>IF(AQ109="1",BH109,0)</f>
        <v>0</v>
      </c>
      <c r="AC109" s="41">
        <f>IF(AQ109="1",BI109,0)</f>
        <v>0</v>
      </c>
      <c r="AD109" s="41">
        <f>IF(AQ109="7",BH109,0)</f>
        <v>0</v>
      </c>
      <c r="AE109" s="41">
        <f>IF(AQ109="7",BI109,0)</f>
        <v>0</v>
      </c>
      <c r="AF109" s="41">
        <f>IF(AQ109="2",BH109,0)</f>
        <v>0</v>
      </c>
      <c r="AG109" s="41">
        <f>IF(AQ109="2",BI109,0)</f>
        <v>0</v>
      </c>
      <c r="AH109" s="41">
        <f>IF(AQ109="0",BJ109,0)</f>
        <v>0</v>
      </c>
      <c r="AI109" s="24"/>
      <c r="AJ109" s="41">
        <f>IF(AN109=0,K109,0)</f>
        <v>0</v>
      </c>
      <c r="AK109" s="41">
        <f>IF(AN109=15,K109,0)</f>
        <v>0</v>
      </c>
      <c r="AL109" s="41">
        <f>IF(AN109=21,K109,0)</f>
        <v>0</v>
      </c>
      <c r="AN109" s="41">
        <v>21</v>
      </c>
      <c r="AO109" s="41">
        <f>H109*0.593816111118961</f>
        <v>0</v>
      </c>
      <c r="AP109" s="41">
        <f>H109*(1-0.593816111118961)</f>
        <v>0</v>
      </c>
      <c r="AQ109" s="43" t="s">
        <v>83</v>
      </c>
      <c r="AV109" s="41">
        <f>AW109+AX109</f>
        <v>0</v>
      </c>
      <c r="AW109" s="41">
        <f>G109*AO109</f>
        <v>0</v>
      </c>
      <c r="AX109" s="41">
        <f>G109*AP109</f>
        <v>0</v>
      </c>
      <c r="AY109" s="43" t="s">
        <v>250</v>
      </c>
      <c r="AZ109" s="43" t="s">
        <v>251</v>
      </c>
      <c r="BA109" s="24" t="s">
        <v>59</v>
      </c>
      <c r="BC109" s="41">
        <f>AW109+AX109</f>
        <v>0</v>
      </c>
      <c r="BD109" s="41">
        <f>H109/(100-BE109)*100</f>
        <v>0</v>
      </c>
      <c r="BE109" s="41">
        <v>0</v>
      </c>
      <c r="BF109" s="41">
        <f>109</f>
        <v>109</v>
      </c>
      <c r="BH109" s="41">
        <f>G109*AO109</f>
        <v>0</v>
      </c>
      <c r="BI109" s="41">
        <f>G109*AP109</f>
        <v>0</v>
      </c>
      <c r="BJ109" s="41">
        <f>G109*H109</f>
        <v>0</v>
      </c>
      <c r="BK109" s="41" t="s">
        <v>60</v>
      </c>
      <c r="BL109" s="41">
        <v>783</v>
      </c>
    </row>
    <row r="110" spans="1:13" ht="12.75">
      <c r="A110" s="7"/>
      <c r="C110" s="44" t="s">
        <v>252</v>
      </c>
      <c r="D110" s="44"/>
      <c r="E110" s="44"/>
      <c r="G110" s="45">
        <v>48.64</v>
      </c>
      <c r="L110" s="46"/>
      <c r="M110" s="7"/>
    </row>
    <row r="111" spans="1:64" ht="12.75">
      <c r="A111" s="40" t="s">
        <v>253</v>
      </c>
      <c r="B111" s="10" t="s">
        <v>254</v>
      </c>
      <c r="C111" s="10" t="s">
        <v>255</v>
      </c>
      <c r="D111" s="10"/>
      <c r="E111" s="10"/>
      <c r="F111" s="10" t="s">
        <v>55</v>
      </c>
      <c r="G111" s="41">
        <v>28.75</v>
      </c>
      <c r="H111" s="41">
        <v>0</v>
      </c>
      <c r="I111" s="41">
        <f>G111*AO111</f>
        <v>0</v>
      </c>
      <c r="J111" s="41">
        <f>G111*AP111</f>
        <v>0</v>
      </c>
      <c r="K111" s="41">
        <f>G111*H111</f>
        <v>0</v>
      </c>
      <c r="L111" s="42" t="s">
        <v>56</v>
      </c>
      <c r="M111" s="7"/>
      <c r="Z111" s="41">
        <f>IF(AQ111="5",BJ111,0)</f>
        <v>0</v>
      </c>
      <c r="AB111" s="41">
        <f>IF(AQ111="1",BH111,0)</f>
        <v>0</v>
      </c>
      <c r="AC111" s="41">
        <f>IF(AQ111="1",BI111,0)</f>
        <v>0</v>
      </c>
      <c r="AD111" s="41">
        <f>IF(AQ111="7",BH111,0)</f>
        <v>0</v>
      </c>
      <c r="AE111" s="41">
        <f>IF(AQ111="7",BI111,0)</f>
        <v>0</v>
      </c>
      <c r="AF111" s="41">
        <f>IF(AQ111="2",BH111,0)</f>
        <v>0</v>
      </c>
      <c r="AG111" s="41">
        <f>IF(AQ111="2",BI111,0)</f>
        <v>0</v>
      </c>
      <c r="AH111" s="41">
        <f>IF(AQ111="0",BJ111,0)</f>
        <v>0</v>
      </c>
      <c r="AI111" s="24"/>
      <c r="AJ111" s="41">
        <f>IF(AN111=0,K111,0)</f>
        <v>0</v>
      </c>
      <c r="AK111" s="41">
        <f>IF(AN111=15,K111,0)</f>
        <v>0</v>
      </c>
      <c r="AL111" s="41">
        <f>IF(AN111=21,K111,0)</f>
        <v>0</v>
      </c>
      <c r="AN111" s="41">
        <v>21</v>
      </c>
      <c r="AO111" s="41">
        <f>H111*0.415004843650454</f>
        <v>0</v>
      </c>
      <c r="AP111" s="41">
        <f>H111*(1-0.415004843650454)</f>
        <v>0</v>
      </c>
      <c r="AQ111" s="43" t="s">
        <v>83</v>
      </c>
      <c r="AV111" s="41">
        <f>AW111+AX111</f>
        <v>0</v>
      </c>
      <c r="AW111" s="41">
        <f>G111*AO111</f>
        <v>0</v>
      </c>
      <c r="AX111" s="41">
        <f>G111*AP111</f>
        <v>0</v>
      </c>
      <c r="AY111" s="43" t="s">
        <v>250</v>
      </c>
      <c r="AZ111" s="43" t="s">
        <v>251</v>
      </c>
      <c r="BA111" s="24" t="s">
        <v>59</v>
      </c>
      <c r="BC111" s="41">
        <f>AW111+AX111</f>
        <v>0</v>
      </c>
      <c r="BD111" s="41">
        <f>H111/(100-BE111)*100</f>
        <v>0</v>
      </c>
      <c r="BE111" s="41">
        <v>0</v>
      </c>
      <c r="BF111" s="41">
        <f>111</f>
        <v>111</v>
      </c>
      <c r="BH111" s="41">
        <f>G111*AO111</f>
        <v>0</v>
      </c>
      <c r="BI111" s="41">
        <f>G111*AP111</f>
        <v>0</v>
      </c>
      <c r="BJ111" s="41">
        <f>G111*H111</f>
        <v>0</v>
      </c>
      <c r="BK111" s="41" t="s">
        <v>60</v>
      </c>
      <c r="BL111" s="41">
        <v>783</v>
      </c>
    </row>
    <row r="112" spans="1:13" ht="12.75">
      <c r="A112" s="7"/>
      <c r="C112" s="44" t="s">
        <v>256</v>
      </c>
      <c r="D112" s="44"/>
      <c r="E112" s="44"/>
      <c r="G112" s="45">
        <v>28.75</v>
      </c>
      <c r="L112" s="46"/>
      <c r="M112" s="7"/>
    </row>
    <row r="113" spans="1:47" ht="12.75">
      <c r="A113" s="47"/>
      <c r="B113" s="48" t="s">
        <v>257</v>
      </c>
      <c r="C113" s="48" t="s">
        <v>258</v>
      </c>
      <c r="D113" s="48"/>
      <c r="E113" s="48"/>
      <c r="F113" s="49" t="s">
        <v>4</v>
      </c>
      <c r="G113" s="49" t="s">
        <v>4</v>
      </c>
      <c r="H113" s="49" t="s">
        <v>4</v>
      </c>
      <c r="I113" s="39">
        <f>SUM(I114:I126)</f>
        <v>0</v>
      </c>
      <c r="J113" s="39">
        <f>SUM(J114:J126)</f>
        <v>0</v>
      </c>
      <c r="K113" s="39">
        <f>SUM(K114:K126)</f>
        <v>0</v>
      </c>
      <c r="L113" s="50"/>
      <c r="M113" s="7"/>
      <c r="AI113" s="24"/>
      <c r="AS113" s="39">
        <f>SUM(AJ114:AJ126)</f>
        <v>0</v>
      </c>
      <c r="AT113" s="39">
        <f>SUM(AK114:AK126)</f>
        <v>0</v>
      </c>
      <c r="AU113" s="39">
        <f>SUM(AL114:AL126)</f>
        <v>0</v>
      </c>
    </row>
    <row r="114" spans="1:64" ht="12.75">
      <c r="A114" s="40" t="s">
        <v>68</v>
      </c>
      <c r="B114" s="10" t="s">
        <v>259</v>
      </c>
      <c r="C114" s="10" t="s">
        <v>260</v>
      </c>
      <c r="D114" s="10"/>
      <c r="E114" s="10"/>
      <c r="F114" s="10" t="s">
        <v>243</v>
      </c>
      <c r="G114" s="41">
        <v>16</v>
      </c>
      <c r="H114" s="41">
        <v>0</v>
      </c>
      <c r="I114" s="41">
        <f>G114*AO114</f>
        <v>0</v>
      </c>
      <c r="J114" s="41">
        <f>G114*AP114</f>
        <v>0</v>
      </c>
      <c r="K114" s="41">
        <f>G114*H114</f>
        <v>0</v>
      </c>
      <c r="L114" s="42" t="s">
        <v>56</v>
      </c>
      <c r="M114" s="7"/>
      <c r="Z114" s="41">
        <f>IF(AQ114="5",BJ114,0)</f>
        <v>0</v>
      </c>
      <c r="AB114" s="41">
        <f>IF(AQ114="1",BH114,0)</f>
        <v>0</v>
      </c>
      <c r="AC114" s="41">
        <f>IF(AQ114="1",BI114,0)</f>
        <v>0</v>
      </c>
      <c r="AD114" s="41">
        <f>IF(AQ114="7",BH114,0)</f>
        <v>0</v>
      </c>
      <c r="AE114" s="41">
        <f>IF(AQ114="7",BI114,0)</f>
        <v>0</v>
      </c>
      <c r="AF114" s="41">
        <f>IF(AQ114="2",BH114,0)</f>
        <v>0</v>
      </c>
      <c r="AG114" s="41">
        <f>IF(AQ114="2",BI114,0)</f>
        <v>0</v>
      </c>
      <c r="AH114" s="41">
        <f>IF(AQ114="0",BJ114,0)</f>
        <v>0</v>
      </c>
      <c r="AI114" s="24"/>
      <c r="AJ114" s="41">
        <f>IF(AN114=0,K114,0)</f>
        <v>0</v>
      </c>
      <c r="AK114" s="41">
        <f>IF(AN114=15,K114,0)</f>
        <v>0</v>
      </c>
      <c r="AL114" s="41">
        <f>IF(AN114=21,K114,0)</f>
        <v>0</v>
      </c>
      <c r="AN114" s="41">
        <v>21</v>
      </c>
      <c r="AO114" s="41">
        <f>H114*0</f>
        <v>0</v>
      </c>
      <c r="AP114" s="41">
        <f>H114*(1-0)</f>
        <v>0</v>
      </c>
      <c r="AQ114" s="43" t="s">
        <v>52</v>
      </c>
      <c r="AV114" s="41">
        <f>AW114+AX114</f>
        <v>0</v>
      </c>
      <c r="AW114" s="41">
        <f>G114*AO114</f>
        <v>0</v>
      </c>
      <c r="AX114" s="41">
        <f>G114*AP114</f>
        <v>0</v>
      </c>
      <c r="AY114" s="43" t="s">
        <v>261</v>
      </c>
      <c r="AZ114" s="43" t="s">
        <v>262</v>
      </c>
      <c r="BA114" s="24" t="s">
        <v>59</v>
      </c>
      <c r="BC114" s="41">
        <f>AW114+AX114</f>
        <v>0</v>
      </c>
      <c r="BD114" s="41">
        <f>H114/(100-BE114)*100</f>
        <v>0</v>
      </c>
      <c r="BE114" s="41">
        <v>0</v>
      </c>
      <c r="BF114" s="41">
        <f>114</f>
        <v>114</v>
      </c>
      <c r="BH114" s="41">
        <f>G114*AO114</f>
        <v>0</v>
      </c>
      <c r="BI114" s="41">
        <f>G114*AP114</f>
        <v>0</v>
      </c>
      <c r="BJ114" s="41">
        <f>G114*H114</f>
        <v>0</v>
      </c>
      <c r="BK114" s="41" t="s">
        <v>60</v>
      </c>
      <c r="BL114" s="41">
        <v>94</v>
      </c>
    </row>
    <row r="115" spans="1:13" ht="12.75">
      <c r="A115" s="7"/>
      <c r="C115" s="44" t="s">
        <v>263</v>
      </c>
      <c r="D115" s="44"/>
      <c r="E115" s="44"/>
      <c r="G115" s="45">
        <v>16</v>
      </c>
      <c r="L115" s="46"/>
      <c r="M115" s="7"/>
    </row>
    <row r="116" spans="1:64" ht="12.75">
      <c r="A116" s="40" t="s">
        <v>264</v>
      </c>
      <c r="B116" s="10" t="s">
        <v>265</v>
      </c>
      <c r="C116" s="10" t="s">
        <v>266</v>
      </c>
      <c r="D116" s="10"/>
      <c r="E116" s="10"/>
      <c r="F116" s="10" t="s">
        <v>55</v>
      </c>
      <c r="G116" s="41">
        <v>390</v>
      </c>
      <c r="H116" s="41">
        <v>0</v>
      </c>
      <c r="I116" s="41">
        <f>G116*AO116</f>
        <v>0</v>
      </c>
      <c r="J116" s="41">
        <f>G116*AP116</f>
        <v>0</v>
      </c>
      <c r="K116" s="41">
        <f>G116*H116</f>
        <v>0</v>
      </c>
      <c r="L116" s="42" t="s">
        <v>56</v>
      </c>
      <c r="M116" s="7"/>
      <c r="Z116" s="41">
        <f>IF(AQ116="5",BJ116,0)</f>
        <v>0</v>
      </c>
      <c r="AB116" s="41">
        <f>IF(AQ116="1",BH116,0)</f>
        <v>0</v>
      </c>
      <c r="AC116" s="41">
        <f>IF(AQ116="1",BI116,0)</f>
        <v>0</v>
      </c>
      <c r="AD116" s="41">
        <f>IF(AQ116="7",BH116,0)</f>
        <v>0</v>
      </c>
      <c r="AE116" s="41">
        <f>IF(AQ116="7",BI116,0)</f>
        <v>0</v>
      </c>
      <c r="AF116" s="41">
        <f>IF(AQ116="2",BH116,0)</f>
        <v>0</v>
      </c>
      <c r="AG116" s="41">
        <f>IF(AQ116="2",BI116,0)</f>
        <v>0</v>
      </c>
      <c r="AH116" s="41">
        <f>IF(AQ116="0",BJ116,0)</f>
        <v>0</v>
      </c>
      <c r="AI116" s="24"/>
      <c r="AJ116" s="41">
        <f>IF(AN116=0,K116,0)</f>
        <v>0</v>
      </c>
      <c r="AK116" s="41">
        <f>IF(AN116=15,K116,0)</f>
        <v>0</v>
      </c>
      <c r="AL116" s="41">
        <f>IF(AN116=21,K116,0)</f>
        <v>0</v>
      </c>
      <c r="AN116" s="41">
        <v>21</v>
      </c>
      <c r="AO116" s="41">
        <f>H116*0.91021897810219</f>
        <v>0</v>
      </c>
      <c r="AP116" s="41">
        <f>H116*(1-0.91021897810219)</f>
        <v>0</v>
      </c>
      <c r="AQ116" s="43" t="s">
        <v>52</v>
      </c>
      <c r="AV116" s="41">
        <f>AW116+AX116</f>
        <v>0</v>
      </c>
      <c r="AW116" s="41">
        <f>G116*AO116</f>
        <v>0</v>
      </c>
      <c r="AX116" s="41">
        <f>G116*AP116</f>
        <v>0</v>
      </c>
      <c r="AY116" s="43" t="s">
        <v>261</v>
      </c>
      <c r="AZ116" s="43" t="s">
        <v>262</v>
      </c>
      <c r="BA116" s="24" t="s">
        <v>59</v>
      </c>
      <c r="BC116" s="41">
        <f>AW116+AX116</f>
        <v>0</v>
      </c>
      <c r="BD116" s="41">
        <f>H116/(100-BE116)*100</f>
        <v>0</v>
      </c>
      <c r="BE116" s="41">
        <v>0</v>
      </c>
      <c r="BF116" s="41">
        <f>116</f>
        <v>116</v>
      </c>
      <c r="BH116" s="41">
        <f>G116*AO116</f>
        <v>0</v>
      </c>
      <c r="BI116" s="41">
        <f>G116*AP116</f>
        <v>0</v>
      </c>
      <c r="BJ116" s="41">
        <f>G116*H116</f>
        <v>0</v>
      </c>
      <c r="BK116" s="41" t="s">
        <v>60</v>
      </c>
      <c r="BL116" s="41">
        <v>94</v>
      </c>
    </row>
    <row r="117" spans="1:13" ht="12.75">
      <c r="A117" s="7"/>
      <c r="C117" s="44" t="s">
        <v>267</v>
      </c>
      <c r="D117" s="44"/>
      <c r="E117" s="44"/>
      <c r="G117" s="45">
        <v>390</v>
      </c>
      <c r="L117" s="46"/>
      <c r="M117" s="7"/>
    </row>
    <row r="118" spans="1:64" ht="12.75">
      <c r="A118" s="40" t="s">
        <v>268</v>
      </c>
      <c r="B118" s="10" t="s">
        <v>269</v>
      </c>
      <c r="C118" s="10" t="s">
        <v>270</v>
      </c>
      <c r="D118" s="10"/>
      <c r="E118" s="10"/>
      <c r="F118" s="10" t="s">
        <v>55</v>
      </c>
      <c r="G118" s="41">
        <v>47.04</v>
      </c>
      <c r="H118" s="41">
        <v>0</v>
      </c>
      <c r="I118" s="41">
        <f>G118*AO118</f>
        <v>0</v>
      </c>
      <c r="J118" s="41">
        <f>G118*AP118</f>
        <v>0</v>
      </c>
      <c r="K118" s="41">
        <f>G118*H118</f>
        <v>0</v>
      </c>
      <c r="L118" s="42" t="s">
        <v>56</v>
      </c>
      <c r="M118" s="7"/>
      <c r="Z118" s="41">
        <f>IF(AQ118="5",BJ118,0)</f>
        <v>0</v>
      </c>
      <c r="AB118" s="41">
        <f>IF(AQ118="1",BH118,0)</f>
        <v>0</v>
      </c>
      <c r="AC118" s="41">
        <f>IF(AQ118="1",BI118,0)</f>
        <v>0</v>
      </c>
      <c r="AD118" s="41">
        <f>IF(AQ118="7",BH118,0)</f>
        <v>0</v>
      </c>
      <c r="AE118" s="41">
        <f>IF(AQ118="7",BI118,0)</f>
        <v>0</v>
      </c>
      <c r="AF118" s="41">
        <f>IF(AQ118="2",BH118,0)</f>
        <v>0</v>
      </c>
      <c r="AG118" s="41">
        <f>IF(AQ118="2",BI118,0)</f>
        <v>0</v>
      </c>
      <c r="AH118" s="41">
        <f>IF(AQ118="0",BJ118,0)</f>
        <v>0</v>
      </c>
      <c r="AI118" s="24"/>
      <c r="AJ118" s="41">
        <f>IF(AN118=0,K118,0)</f>
        <v>0</v>
      </c>
      <c r="AK118" s="41">
        <f>IF(AN118=15,K118,0)</f>
        <v>0</v>
      </c>
      <c r="AL118" s="41">
        <f>IF(AN118=21,K118,0)</f>
        <v>0</v>
      </c>
      <c r="AN118" s="41">
        <v>21</v>
      </c>
      <c r="AO118" s="41">
        <f>H118*0.424085204076356</f>
        <v>0</v>
      </c>
      <c r="AP118" s="41">
        <f>H118*(1-0.424085204076356)</f>
        <v>0</v>
      </c>
      <c r="AQ118" s="43" t="s">
        <v>52</v>
      </c>
      <c r="AV118" s="41">
        <f>AW118+AX118</f>
        <v>0</v>
      </c>
      <c r="AW118" s="41">
        <f>G118*AO118</f>
        <v>0</v>
      </c>
      <c r="AX118" s="41">
        <f>G118*AP118</f>
        <v>0</v>
      </c>
      <c r="AY118" s="43" t="s">
        <v>261</v>
      </c>
      <c r="AZ118" s="43" t="s">
        <v>262</v>
      </c>
      <c r="BA118" s="24" t="s">
        <v>59</v>
      </c>
      <c r="BC118" s="41">
        <f>AW118+AX118</f>
        <v>0</v>
      </c>
      <c r="BD118" s="41">
        <f>H118/(100-BE118)*100</f>
        <v>0</v>
      </c>
      <c r="BE118" s="41">
        <v>0</v>
      </c>
      <c r="BF118" s="41">
        <f>118</f>
        <v>118</v>
      </c>
      <c r="BH118" s="41">
        <f>G118*AO118</f>
        <v>0</v>
      </c>
      <c r="BI118" s="41">
        <f>G118*AP118</f>
        <v>0</v>
      </c>
      <c r="BJ118" s="41">
        <f>G118*H118</f>
        <v>0</v>
      </c>
      <c r="BK118" s="41" t="s">
        <v>60</v>
      </c>
      <c r="BL118" s="41">
        <v>94</v>
      </c>
    </row>
    <row r="119" spans="1:13" ht="12.75">
      <c r="A119" s="7"/>
      <c r="C119" s="44" t="s">
        <v>271</v>
      </c>
      <c r="D119" s="44"/>
      <c r="E119" s="44"/>
      <c r="G119" s="45">
        <v>47.04</v>
      </c>
      <c r="L119" s="46"/>
      <c r="M119" s="7"/>
    </row>
    <row r="120" spans="1:64" ht="12.75">
      <c r="A120" s="40" t="s">
        <v>272</v>
      </c>
      <c r="B120" s="10" t="s">
        <v>273</v>
      </c>
      <c r="C120" s="10" t="s">
        <v>274</v>
      </c>
      <c r="D120" s="10"/>
      <c r="E120" s="10"/>
      <c r="F120" s="10" t="s">
        <v>55</v>
      </c>
      <c r="G120" s="41">
        <v>75.6</v>
      </c>
      <c r="H120" s="41">
        <v>0</v>
      </c>
      <c r="I120" s="41">
        <f>G120*AO120</f>
        <v>0</v>
      </c>
      <c r="J120" s="41">
        <f>G120*AP120</f>
        <v>0</v>
      </c>
      <c r="K120" s="41">
        <f>G120*H120</f>
        <v>0</v>
      </c>
      <c r="L120" s="42" t="s">
        <v>56</v>
      </c>
      <c r="M120" s="7"/>
      <c r="Z120" s="41">
        <f>IF(AQ120="5",BJ120,0)</f>
        <v>0</v>
      </c>
      <c r="AB120" s="41">
        <f>IF(AQ120="1",BH120,0)</f>
        <v>0</v>
      </c>
      <c r="AC120" s="41">
        <f>IF(AQ120="1",BI120,0)</f>
        <v>0</v>
      </c>
      <c r="AD120" s="41">
        <f>IF(AQ120="7",BH120,0)</f>
        <v>0</v>
      </c>
      <c r="AE120" s="41">
        <f>IF(AQ120="7",BI120,0)</f>
        <v>0</v>
      </c>
      <c r="AF120" s="41">
        <f>IF(AQ120="2",BH120,0)</f>
        <v>0</v>
      </c>
      <c r="AG120" s="41">
        <f>IF(AQ120="2",BI120,0)</f>
        <v>0</v>
      </c>
      <c r="AH120" s="41">
        <f>IF(AQ120="0",BJ120,0)</f>
        <v>0</v>
      </c>
      <c r="AI120" s="24"/>
      <c r="AJ120" s="41">
        <f>IF(AN120=0,K120,0)</f>
        <v>0</v>
      </c>
      <c r="AK120" s="41">
        <f>IF(AN120=15,K120,0)</f>
        <v>0</v>
      </c>
      <c r="AL120" s="41">
        <f>IF(AN120=21,K120,0)</f>
        <v>0</v>
      </c>
      <c r="AN120" s="41">
        <v>21</v>
      </c>
      <c r="AO120" s="41">
        <f>H120*0.000277855368195116</f>
        <v>0</v>
      </c>
      <c r="AP120" s="41">
        <f>H120*(1-0.000277855368195116)</f>
        <v>0</v>
      </c>
      <c r="AQ120" s="43" t="s">
        <v>52</v>
      </c>
      <c r="AV120" s="41">
        <f>AW120+AX120</f>
        <v>0</v>
      </c>
      <c r="AW120" s="41">
        <f>G120*AO120</f>
        <v>0</v>
      </c>
      <c r="AX120" s="41">
        <f>G120*AP120</f>
        <v>0</v>
      </c>
      <c r="AY120" s="43" t="s">
        <v>261</v>
      </c>
      <c r="AZ120" s="43" t="s">
        <v>262</v>
      </c>
      <c r="BA120" s="24" t="s">
        <v>59</v>
      </c>
      <c r="BC120" s="41">
        <f>AW120+AX120</f>
        <v>0</v>
      </c>
      <c r="BD120" s="41">
        <f>H120/(100-BE120)*100</f>
        <v>0</v>
      </c>
      <c r="BE120" s="41">
        <v>0</v>
      </c>
      <c r="BF120" s="41">
        <f>120</f>
        <v>120</v>
      </c>
      <c r="BH120" s="41">
        <f>G120*AO120</f>
        <v>0</v>
      </c>
      <c r="BI120" s="41">
        <f>G120*AP120</f>
        <v>0</v>
      </c>
      <c r="BJ120" s="41">
        <f>G120*H120</f>
        <v>0</v>
      </c>
      <c r="BK120" s="41" t="s">
        <v>60</v>
      </c>
      <c r="BL120" s="41">
        <v>94</v>
      </c>
    </row>
    <row r="121" spans="1:13" ht="12.75">
      <c r="A121" s="7"/>
      <c r="C121" s="44" t="s">
        <v>275</v>
      </c>
      <c r="D121" s="44"/>
      <c r="E121" s="44"/>
      <c r="G121" s="45">
        <v>75.6</v>
      </c>
      <c r="L121" s="46"/>
      <c r="M121" s="7"/>
    </row>
    <row r="122" spans="1:64" ht="12.75">
      <c r="A122" s="40" t="s">
        <v>276</v>
      </c>
      <c r="B122" s="10" t="s">
        <v>277</v>
      </c>
      <c r="C122" s="10" t="s">
        <v>278</v>
      </c>
      <c r="D122" s="10"/>
      <c r="E122" s="10"/>
      <c r="F122" s="10" t="s">
        <v>55</v>
      </c>
      <c r="G122" s="41">
        <v>75.6</v>
      </c>
      <c r="H122" s="41">
        <v>0</v>
      </c>
      <c r="I122" s="41">
        <f>G122*AO122</f>
        <v>0</v>
      </c>
      <c r="J122" s="41">
        <f>G122*AP122</f>
        <v>0</v>
      </c>
      <c r="K122" s="41">
        <f>G122*H122</f>
        <v>0</v>
      </c>
      <c r="L122" s="42" t="s">
        <v>56</v>
      </c>
      <c r="M122" s="7"/>
      <c r="Z122" s="41">
        <f>IF(AQ122="5",BJ122,0)</f>
        <v>0</v>
      </c>
      <c r="AB122" s="41">
        <f>IF(AQ122="1",BH122,0)</f>
        <v>0</v>
      </c>
      <c r="AC122" s="41">
        <f>IF(AQ122="1",BI122,0)</f>
        <v>0</v>
      </c>
      <c r="AD122" s="41">
        <f>IF(AQ122="7",BH122,0)</f>
        <v>0</v>
      </c>
      <c r="AE122" s="41">
        <f>IF(AQ122="7",BI122,0)</f>
        <v>0</v>
      </c>
      <c r="AF122" s="41">
        <f>IF(AQ122="2",BH122,0)</f>
        <v>0</v>
      </c>
      <c r="AG122" s="41">
        <f>IF(AQ122="2",BI122,0)</f>
        <v>0</v>
      </c>
      <c r="AH122" s="41">
        <f>IF(AQ122="0",BJ122,0)</f>
        <v>0</v>
      </c>
      <c r="AI122" s="24"/>
      <c r="AJ122" s="41">
        <f>IF(AN122=0,K122,0)</f>
        <v>0</v>
      </c>
      <c r="AK122" s="41">
        <f>IF(AN122=15,K122,0)</f>
        <v>0</v>
      </c>
      <c r="AL122" s="41">
        <f>IF(AN122=21,K122,0)</f>
        <v>0</v>
      </c>
      <c r="AN122" s="41">
        <v>21</v>
      </c>
      <c r="AO122" s="41">
        <f>H122*0</f>
        <v>0</v>
      </c>
      <c r="AP122" s="41">
        <f>H122*(1-0)</f>
        <v>0</v>
      </c>
      <c r="AQ122" s="43" t="s">
        <v>52</v>
      </c>
      <c r="AV122" s="41">
        <f>AW122+AX122</f>
        <v>0</v>
      </c>
      <c r="AW122" s="41">
        <f>G122*AO122</f>
        <v>0</v>
      </c>
      <c r="AX122" s="41">
        <f>G122*AP122</f>
        <v>0</v>
      </c>
      <c r="AY122" s="43" t="s">
        <v>261</v>
      </c>
      <c r="AZ122" s="43" t="s">
        <v>262</v>
      </c>
      <c r="BA122" s="24" t="s">
        <v>59</v>
      </c>
      <c r="BC122" s="41">
        <f>AW122+AX122</f>
        <v>0</v>
      </c>
      <c r="BD122" s="41">
        <f>H122/(100-BE122)*100</f>
        <v>0</v>
      </c>
      <c r="BE122" s="41">
        <v>0</v>
      </c>
      <c r="BF122" s="41">
        <f>122</f>
        <v>122</v>
      </c>
      <c r="BH122" s="41">
        <f>G122*AO122</f>
        <v>0</v>
      </c>
      <c r="BI122" s="41">
        <f>G122*AP122</f>
        <v>0</v>
      </c>
      <c r="BJ122" s="41">
        <f>G122*H122</f>
        <v>0</v>
      </c>
      <c r="BK122" s="41" t="s">
        <v>60</v>
      </c>
      <c r="BL122" s="41">
        <v>94</v>
      </c>
    </row>
    <row r="123" spans="1:13" ht="12.75">
      <c r="A123" s="7"/>
      <c r="C123" s="44" t="s">
        <v>279</v>
      </c>
      <c r="D123" s="44"/>
      <c r="E123" s="44"/>
      <c r="G123" s="45">
        <v>75.6</v>
      </c>
      <c r="L123" s="46"/>
      <c r="M123" s="7"/>
    </row>
    <row r="124" spans="1:64" ht="12.75">
      <c r="A124" s="40" t="s">
        <v>280</v>
      </c>
      <c r="B124" s="10" t="s">
        <v>281</v>
      </c>
      <c r="C124" s="10" t="s">
        <v>282</v>
      </c>
      <c r="D124" s="10"/>
      <c r="E124" s="10"/>
      <c r="F124" s="10" t="s">
        <v>55</v>
      </c>
      <c r="G124" s="41">
        <v>75.6</v>
      </c>
      <c r="H124" s="41">
        <v>0</v>
      </c>
      <c r="I124" s="41">
        <f>G124*AO124</f>
        <v>0</v>
      </c>
      <c r="J124" s="41">
        <f>G124*AP124</f>
        <v>0</v>
      </c>
      <c r="K124" s="41">
        <f>G124*H124</f>
        <v>0</v>
      </c>
      <c r="L124" s="42" t="s">
        <v>56</v>
      </c>
      <c r="M124" s="7"/>
      <c r="Z124" s="41">
        <f>IF(AQ124="5",BJ124,0)</f>
        <v>0</v>
      </c>
      <c r="AB124" s="41">
        <f>IF(AQ124="1",BH124,0)</f>
        <v>0</v>
      </c>
      <c r="AC124" s="41">
        <f>IF(AQ124="1",BI124,0)</f>
        <v>0</v>
      </c>
      <c r="AD124" s="41">
        <f>IF(AQ124="7",BH124,0)</f>
        <v>0</v>
      </c>
      <c r="AE124" s="41">
        <f>IF(AQ124="7",BI124,0)</f>
        <v>0</v>
      </c>
      <c r="AF124" s="41">
        <f>IF(AQ124="2",BH124,0)</f>
        <v>0</v>
      </c>
      <c r="AG124" s="41">
        <f>IF(AQ124="2",BI124,0)</f>
        <v>0</v>
      </c>
      <c r="AH124" s="41">
        <f>IF(AQ124="0",BJ124,0)</f>
        <v>0</v>
      </c>
      <c r="AI124" s="24"/>
      <c r="AJ124" s="41">
        <f>IF(AN124=0,K124,0)</f>
        <v>0</v>
      </c>
      <c r="AK124" s="41">
        <f>IF(AN124=15,K124,0)</f>
        <v>0</v>
      </c>
      <c r="AL124" s="41">
        <f>IF(AN124=21,K124,0)</f>
        <v>0</v>
      </c>
      <c r="AN124" s="41">
        <v>21</v>
      </c>
      <c r="AO124" s="41">
        <f>H124*0.931301889332675</f>
        <v>0</v>
      </c>
      <c r="AP124" s="41">
        <f>H124*(1-0.931301889332675)</f>
        <v>0</v>
      </c>
      <c r="AQ124" s="43" t="s">
        <v>52</v>
      </c>
      <c r="AV124" s="41">
        <f>AW124+AX124</f>
        <v>0</v>
      </c>
      <c r="AW124" s="41">
        <f>G124*AO124</f>
        <v>0</v>
      </c>
      <c r="AX124" s="41">
        <f>G124*AP124</f>
        <v>0</v>
      </c>
      <c r="AY124" s="43" t="s">
        <v>261</v>
      </c>
      <c r="AZ124" s="43" t="s">
        <v>262</v>
      </c>
      <c r="BA124" s="24" t="s">
        <v>59</v>
      </c>
      <c r="BC124" s="41">
        <f>AW124+AX124</f>
        <v>0</v>
      </c>
      <c r="BD124" s="41">
        <f>H124/(100-BE124)*100</f>
        <v>0</v>
      </c>
      <c r="BE124" s="41">
        <v>0</v>
      </c>
      <c r="BF124" s="41">
        <f>124</f>
        <v>124</v>
      </c>
      <c r="BH124" s="41">
        <f>G124*AO124</f>
        <v>0</v>
      </c>
      <c r="BI124" s="41">
        <f>G124*AP124</f>
        <v>0</v>
      </c>
      <c r="BJ124" s="41">
        <f>G124*H124</f>
        <v>0</v>
      </c>
      <c r="BK124" s="41" t="s">
        <v>60</v>
      </c>
      <c r="BL124" s="41">
        <v>94</v>
      </c>
    </row>
    <row r="125" spans="1:13" ht="12.75">
      <c r="A125" s="7"/>
      <c r="C125" s="44" t="s">
        <v>279</v>
      </c>
      <c r="D125" s="44"/>
      <c r="E125" s="44"/>
      <c r="G125" s="45">
        <v>75.6</v>
      </c>
      <c r="L125" s="46"/>
      <c r="M125" s="7"/>
    </row>
    <row r="126" spans="1:64" ht="12.75">
      <c r="A126" s="40" t="s">
        <v>283</v>
      </c>
      <c r="B126" s="10" t="s">
        <v>284</v>
      </c>
      <c r="C126" s="10" t="s">
        <v>285</v>
      </c>
      <c r="D126" s="10"/>
      <c r="E126" s="10"/>
      <c r="F126" s="10" t="s">
        <v>65</v>
      </c>
      <c r="G126" s="41">
        <v>1.939</v>
      </c>
      <c r="H126" s="41">
        <v>0</v>
      </c>
      <c r="I126" s="41">
        <f>G126*AO126</f>
        <v>0</v>
      </c>
      <c r="J126" s="41">
        <f>G126*AP126</f>
        <v>0</v>
      </c>
      <c r="K126" s="41">
        <f>G126*H126</f>
        <v>0</v>
      </c>
      <c r="L126" s="42" t="s">
        <v>56</v>
      </c>
      <c r="M126" s="7"/>
      <c r="Z126" s="41">
        <f>IF(AQ126="5",BJ126,0)</f>
        <v>0</v>
      </c>
      <c r="AB126" s="41">
        <f>IF(AQ126="1",BH126,0)</f>
        <v>0</v>
      </c>
      <c r="AC126" s="41">
        <f>IF(AQ126="1",BI126,0)</f>
        <v>0</v>
      </c>
      <c r="AD126" s="41">
        <f>IF(AQ126="7",BH126,0)</f>
        <v>0</v>
      </c>
      <c r="AE126" s="41">
        <f>IF(AQ126="7",BI126,0)</f>
        <v>0</v>
      </c>
      <c r="AF126" s="41">
        <f>IF(AQ126="2",BH126,0)</f>
        <v>0</v>
      </c>
      <c r="AG126" s="41">
        <f>IF(AQ126="2",BI126,0)</f>
        <v>0</v>
      </c>
      <c r="AH126" s="41">
        <f>IF(AQ126="0",BJ126,0)</f>
        <v>0</v>
      </c>
      <c r="AI126" s="24"/>
      <c r="AJ126" s="41">
        <f>IF(AN126=0,K126,0)</f>
        <v>0</v>
      </c>
      <c r="AK126" s="41">
        <f>IF(AN126=15,K126,0)</f>
        <v>0</v>
      </c>
      <c r="AL126" s="41">
        <f>IF(AN126=21,K126,0)</f>
        <v>0</v>
      </c>
      <c r="AN126" s="41">
        <v>21</v>
      </c>
      <c r="AO126" s="41">
        <f>H126*0</f>
        <v>0</v>
      </c>
      <c r="AP126" s="41">
        <f>H126*(1-0)</f>
        <v>0</v>
      </c>
      <c r="AQ126" s="43" t="s">
        <v>66</v>
      </c>
      <c r="AV126" s="41">
        <f>AW126+AX126</f>
        <v>0</v>
      </c>
      <c r="AW126" s="41">
        <f>G126*AO126</f>
        <v>0</v>
      </c>
      <c r="AX126" s="41">
        <f>G126*AP126</f>
        <v>0</v>
      </c>
      <c r="AY126" s="43" t="s">
        <v>261</v>
      </c>
      <c r="AZ126" s="43" t="s">
        <v>262</v>
      </c>
      <c r="BA126" s="24" t="s">
        <v>59</v>
      </c>
      <c r="BC126" s="41">
        <f>AW126+AX126</f>
        <v>0</v>
      </c>
      <c r="BD126" s="41">
        <f>H126/(100-BE126)*100</f>
        <v>0</v>
      </c>
      <c r="BE126" s="41">
        <v>0</v>
      </c>
      <c r="BF126" s="41">
        <f>126</f>
        <v>126</v>
      </c>
      <c r="BH126" s="41">
        <f>G126*AO126</f>
        <v>0</v>
      </c>
      <c r="BI126" s="41">
        <f>G126*AP126</f>
        <v>0</v>
      </c>
      <c r="BJ126" s="41">
        <f>G126*H126</f>
        <v>0</v>
      </c>
      <c r="BK126" s="41" t="s">
        <v>60</v>
      </c>
      <c r="BL126" s="41">
        <v>94</v>
      </c>
    </row>
    <row r="127" spans="1:13" ht="12.75">
      <c r="A127" s="7"/>
      <c r="C127" s="44" t="s">
        <v>286</v>
      </c>
      <c r="D127" s="44"/>
      <c r="E127" s="44"/>
      <c r="G127" s="45">
        <v>1.939</v>
      </c>
      <c r="L127" s="46"/>
      <c r="M127" s="7"/>
    </row>
    <row r="128" spans="1:47" ht="12.75">
      <c r="A128" s="47"/>
      <c r="B128" s="48" t="s">
        <v>287</v>
      </c>
      <c r="C128" s="48" t="s">
        <v>288</v>
      </c>
      <c r="D128" s="48"/>
      <c r="E128" s="48"/>
      <c r="F128" s="49" t="s">
        <v>4</v>
      </c>
      <c r="G128" s="49" t="s">
        <v>4</v>
      </c>
      <c r="H128" s="49" t="s">
        <v>4</v>
      </c>
      <c r="I128" s="39">
        <f>SUM(I129:I131)</f>
        <v>0</v>
      </c>
      <c r="J128" s="39">
        <f>SUM(J129:J131)</f>
        <v>0</v>
      </c>
      <c r="K128" s="39">
        <f>SUM(K129:K131)</f>
        <v>0</v>
      </c>
      <c r="L128" s="50"/>
      <c r="M128" s="7"/>
      <c r="AI128" s="24"/>
      <c r="AS128" s="39">
        <f>SUM(AJ129:AJ131)</f>
        <v>0</v>
      </c>
      <c r="AT128" s="39">
        <f>SUM(AK129:AK131)</f>
        <v>0</v>
      </c>
      <c r="AU128" s="39">
        <f>SUM(AL129:AL131)</f>
        <v>0</v>
      </c>
    </row>
    <row r="129" spans="1:64" ht="12.75">
      <c r="A129" s="40" t="s">
        <v>289</v>
      </c>
      <c r="B129" s="10" t="s">
        <v>290</v>
      </c>
      <c r="C129" s="10" t="s">
        <v>291</v>
      </c>
      <c r="D129" s="10"/>
      <c r="E129" s="10"/>
      <c r="F129" s="10" t="s">
        <v>82</v>
      </c>
      <c r="G129" s="41">
        <v>13.2</v>
      </c>
      <c r="H129" s="41">
        <v>0</v>
      </c>
      <c r="I129" s="41">
        <f>G129*AO129</f>
        <v>0</v>
      </c>
      <c r="J129" s="41">
        <f>G129*AP129</f>
        <v>0</v>
      </c>
      <c r="K129" s="41">
        <f>G129*H129</f>
        <v>0</v>
      </c>
      <c r="L129" s="42" t="s">
        <v>56</v>
      </c>
      <c r="M129" s="7"/>
      <c r="Z129" s="41">
        <f>IF(AQ129="5",BJ129,0)</f>
        <v>0</v>
      </c>
      <c r="AB129" s="41">
        <f>IF(AQ129="1",BH129,0)</f>
        <v>0</v>
      </c>
      <c r="AC129" s="41">
        <f>IF(AQ129="1",BI129,0)</f>
        <v>0</v>
      </c>
      <c r="AD129" s="41">
        <f>IF(AQ129="7",BH129,0)</f>
        <v>0</v>
      </c>
      <c r="AE129" s="41">
        <f>IF(AQ129="7",BI129,0)</f>
        <v>0</v>
      </c>
      <c r="AF129" s="41">
        <f>IF(AQ129="2",BH129,0)</f>
        <v>0</v>
      </c>
      <c r="AG129" s="41">
        <f>IF(AQ129="2",BI129,0)</f>
        <v>0</v>
      </c>
      <c r="AH129" s="41">
        <f>IF(AQ129="0",BJ129,0)</f>
        <v>0</v>
      </c>
      <c r="AI129" s="24"/>
      <c r="AJ129" s="41">
        <f>IF(AN129=0,K129,0)</f>
        <v>0</v>
      </c>
      <c r="AK129" s="41">
        <f>IF(AN129=15,K129,0)</f>
        <v>0</v>
      </c>
      <c r="AL129" s="41">
        <f>IF(AN129=21,K129,0)</f>
        <v>0</v>
      </c>
      <c r="AN129" s="41">
        <v>21</v>
      </c>
      <c r="AO129" s="41">
        <f>H129*0.0311345391797131</f>
        <v>0</v>
      </c>
      <c r="AP129" s="41">
        <f>H129*(1-0.0311345391797131)</f>
        <v>0</v>
      </c>
      <c r="AQ129" s="43" t="s">
        <v>52</v>
      </c>
      <c r="AV129" s="41">
        <f>AW129+AX129</f>
        <v>0</v>
      </c>
      <c r="AW129" s="41">
        <f>G129*AO129</f>
        <v>0</v>
      </c>
      <c r="AX129" s="41">
        <f>G129*AP129</f>
        <v>0</v>
      </c>
      <c r="AY129" s="43" t="s">
        <v>292</v>
      </c>
      <c r="AZ129" s="43" t="s">
        <v>262</v>
      </c>
      <c r="BA129" s="24" t="s">
        <v>59</v>
      </c>
      <c r="BC129" s="41">
        <f>AW129+AX129</f>
        <v>0</v>
      </c>
      <c r="BD129" s="41">
        <f>H129/(100-BE129)*100</f>
        <v>0</v>
      </c>
      <c r="BE129" s="41">
        <v>0</v>
      </c>
      <c r="BF129" s="41">
        <f>129</f>
        <v>129</v>
      </c>
      <c r="BH129" s="41">
        <f>G129*AO129</f>
        <v>0</v>
      </c>
      <c r="BI129" s="41">
        <f>G129*AP129</f>
        <v>0</v>
      </c>
      <c r="BJ129" s="41">
        <f>G129*H129</f>
        <v>0</v>
      </c>
      <c r="BK129" s="41" t="s">
        <v>60</v>
      </c>
      <c r="BL129" s="41">
        <v>97</v>
      </c>
    </row>
    <row r="130" spans="1:13" ht="12.75">
      <c r="A130" s="7"/>
      <c r="C130" s="44" t="s">
        <v>293</v>
      </c>
      <c r="D130" s="44"/>
      <c r="E130" s="44"/>
      <c r="G130" s="45">
        <v>13.2</v>
      </c>
      <c r="L130" s="46"/>
      <c r="M130" s="7"/>
    </row>
    <row r="131" spans="1:64" ht="12.75">
      <c r="A131" s="40" t="s">
        <v>294</v>
      </c>
      <c r="B131" s="10" t="s">
        <v>295</v>
      </c>
      <c r="C131" s="10" t="s">
        <v>296</v>
      </c>
      <c r="D131" s="10"/>
      <c r="E131" s="10"/>
      <c r="F131" s="10" t="s">
        <v>82</v>
      </c>
      <c r="G131" s="41">
        <v>13.2</v>
      </c>
      <c r="H131" s="41">
        <v>0</v>
      </c>
      <c r="I131" s="41">
        <f>G131*AO131</f>
        <v>0</v>
      </c>
      <c r="J131" s="41">
        <f>G131*AP131</f>
        <v>0</v>
      </c>
      <c r="K131" s="41">
        <f>G131*H131</f>
        <v>0</v>
      </c>
      <c r="L131" s="42" t="s">
        <v>56</v>
      </c>
      <c r="M131" s="7"/>
      <c r="Z131" s="41">
        <f>IF(AQ131="5",BJ131,0)</f>
        <v>0</v>
      </c>
      <c r="AB131" s="41">
        <f>IF(AQ131="1",BH131,0)</f>
        <v>0</v>
      </c>
      <c r="AC131" s="41">
        <f>IF(AQ131="1",BI131,0)</f>
        <v>0</v>
      </c>
      <c r="AD131" s="41">
        <f>IF(AQ131="7",BH131,0)</f>
        <v>0</v>
      </c>
      <c r="AE131" s="41">
        <f>IF(AQ131="7",BI131,0)</f>
        <v>0</v>
      </c>
      <c r="AF131" s="41">
        <f>IF(AQ131="2",BH131,0)</f>
        <v>0</v>
      </c>
      <c r="AG131" s="41">
        <f>IF(AQ131="2",BI131,0)</f>
        <v>0</v>
      </c>
      <c r="AH131" s="41">
        <f>IF(AQ131="0",BJ131,0)</f>
        <v>0</v>
      </c>
      <c r="AI131" s="24"/>
      <c r="AJ131" s="41">
        <f>IF(AN131=0,K131,0)</f>
        <v>0</v>
      </c>
      <c r="AK131" s="41">
        <f>IF(AN131=15,K131,0)</f>
        <v>0</v>
      </c>
      <c r="AL131" s="41">
        <f>IF(AN131=21,K131,0)</f>
        <v>0</v>
      </c>
      <c r="AN131" s="41">
        <v>21</v>
      </c>
      <c r="AO131" s="41">
        <f>H131*0</f>
        <v>0</v>
      </c>
      <c r="AP131" s="41">
        <f>H131*(1-0)</f>
        <v>0</v>
      </c>
      <c r="AQ131" s="43" t="s">
        <v>52</v>
      </c>
      <c r="AV131" s="41">
        <f>AW131+AX131</f>
        <v>0</v>
      </c>
      <c r="AW131" s="41">
        <f>G131*AO131</f>
        <v>0</v>
      </c>
      <c r="AX131" s="41">
        <f>G131*AP131</f>
        <v>0</v>
      </c>
      <c r="AY131" s="43" t="s">
        <v>292</v>
      </c>
      <c r="AZ131" s="43" t="s">
        <v>262</v>
      </c>
      <c r="BA131" s="24" t="s">
        <v>59</v>
      </c>
      <c r="BC131" s="41">
        <f>AW131+AX131</f>
        <v>0</v>
      </c>
      <c r="BD131" s="41">
        <f>H131/(100-BE131)*100</f>
        <v>0</v>
      </c>
      <c r="BE131" s="41">
        <v>0</v>
      </c>
      <c r="BF131" s="41">
        <f>131</f>
        <v>131</v>
      </c>
      <c r="BH131" s="41">
        <f>G131*AO131</f>
        <v>0</v>
      </c>
      <c r="BI131" s="41">
        <f>G131*AP131</f>
        <v>0</v>
      </c>
      <c r="BJ131" s="41">
        <f>G131*H131</f>
        <v>0</v>
      </c>
      <c r="BK131" s="41" t="s">
        <v>60</v>
      </c>
      <c r="BL131" s="41">
        <v>97</v>
      </c>
    </row>
    <row r="132" spans="1:13" ht="12.75">
      <c r="A132" s="7"/>
      <c r="C132" s="44" t="s">
        <v>293</v>
      </c>
      <c r="D132" s="44"/>
      <c r="E132" s="44"/>
      <c r="G132" s="45">
        <v>13.2</v>
      </c>
      <c r="L132" s="46"/>
      <c r="M132" s="7"/>
    </row>
    <row r="133" spans="1:47" ht="12.75">
      <c r="A133" s="47"/>
      <c r="B133" s="48" t="s">
        <v>297</v>
      </c>
      <c r="C133" s="48" t="s">
        <v>298</v>
      </c>
      <c r="D133" s="48"/>
      <c r="E133" s="48"/>
      <c r="F133" s="49" t="s">
        <v>4</v>
      </c>
      <c r="G133" s="49" t="s">
        <v>4</v>
      </c>
      <c r="H133" s="49" t="s">
        <v>4</v>
      </c>
      <c r="I133" s="39">
        <f>SUM(I134:I144)</f>
        <v>0</v>
      </c>
      <c r="J133" s="39">
        <f>SUM(J134:J144)</f>
        <v>0</v>
      </c>
      <c r="K133" s="39">
        <f>SUM(K134:K144)</f>
        <v>0</v>
      </c>
      <c r="L133" s="50"/>
      <c r="M133" s="7"/>
      <c r="AI133" s="24"/>
      <c r="AS133" s="39">
        <f>SUM(AJ134:AJ144)</f>
        <v>0</v>
      </c>
      <c r="AT133" s="39">
        <f>SUM(AK134:AK144)</f>
        <v>0</v>
      </c>
      <c r="AU133" s="39">
        <f>SUM(AL134:AL144)</f>
        <v>0</v>
      </c>
    </row>
    <row r="134" spans="1:64" ht="12.75">
      <c r="A134" s="40" t="s">
        <v>299</v>
      </c>
      <c r="B134" s="10" t="s">
        <v>300</v>
      </c>
      <c r="C134" s="10" t="s">
        <v>301</v>
      </c>
      <c r="D134" s="10"/>
      <c r="E134" s="10"/>
      <c r="F134" s="10" t="s">
        <v>65</v>
      </c>
      <c r="G134" s="41">
        <v>18.196</v>
      </c>
      <c r="H134" s="41">
        <v>0</v>
      </c>
      <c r="I134" s="41">
        <f>G134*AO134</f>
        <v>0</v>
      </c>
      <c r="J134" s="41">
        <f>G134*AP134</f>
        <v>0</v>
      </c>
      <c r="K134" s="41">
        <f>G134*H134</f>
        <v>0</v>
      </c>
      <c r="L134" s="42" t="s">
        <v>56</v>
      </c>
      <c r="M134" s="7"/>
      <c r="Z134" s="41">
        <f>IF(AQ134="5",BJ134,0)</f>
        <v>0</v>
      </c>
      <c r="AB134" s="41">
        <f>IF(AQ134="1",BH134,0)</f>
        <v>0</v>
      </c>
      <c r="AC134" s="41">
        <f>IF(AQ134="1",BI134,0)</f>
        <v>0</v>
      </c>
      <c r="AD134" s="41">
        <f>IF(AQ134="7",BH134,0)</f>
        <v>0</v>
      </c>
      <c r="AE134" s="41">
        <f>IF(AQ134="7",BI134,0)</f>
        <v>0</v>
      </c>
      <c r="AF134" s="41">
        <f>IF(AQ134="2",BH134,0)</f>
        <v>0</v>
      </c>
      <c r="AG134" s="41">
        <f>IF(AQ134="2",BI134,0)</f>
        <v>0</v>
      </c>
      <c r="AH134" s="41">
        <f>IF(AQ134="0",BJ134,0)</f>
        <v>0</v>
      </c>
      <c r="AI134" s="24"/>
      <c r="AJ134" s="41">
        <f>IF(AN134=0,K134,0)</f>
        <v>0</v>
      </c>
      <c r="AK134" s="41">
        <f>IF(AN134=15,K134,0)</f>
        <v>0</v>
      </c>
      <c r="AL134" s="41">
        <f>IF(AN134=21,K134,0)</f>
        <v>0</v>
      </c>
      <c r="AN134" s="41">
        <v>21</v>
      </c>
      <c r="AO134" s="41">
        <f>H134*0</f>
        <v>0</v>
      </c>
      <c r="AP134" s="41">
        <f>H134*(1-0)</f>
        <v>0</v>
      </c>
      <c r="AQ134" s="43" t="s">
        <v>66</v>
      </c>
      <c r="AV134" s="41">
        <f>AW134+AX134</f>
        <v>0</v>
      </c>
      <c r="AW134" s="41">
        <f>G134*AO134</f>
        <v>0</v>
      </c>
      <c r="AX134" s="41">
        <f>G134*AP134</f>
        <v>0</v>
      </c>
      <c r="AY134" s="43" t="s">
        <v>302</v>
      </c>
      <c r="AZ134" s="43" t="s">
        <v>262</v>
      </c>
      <c r="BA134" s="24" t="s">
        <v>59</v>
      </c>
      <c r="BC134" s="41">
        <f>AW134+AX134</f>
        <v>0</v>
      </c>
      <c r="BD134" s="41">
        <f>H134/(100-BE134)*100</f>
        <v>0</v>
      </c>
      <c r="BE134" s="41">
        <v>0</v>
      </c>
      <c r="BF134" s="41">
        <f>134</f>
        <v>134</v>
      </c>
      <c r="BH134" s="41">
        <f>G134*AO134</f>
        <v>0</v>
      </c>
      <c r="BI134" s="41">
        <f>G134*AP134</f>
        <v>0</v>
      </c>
      <c r="BJ134" s="41">
        <f>G134*H134</f>
        <v>0</v>
      </c>
      <c r="BK134" s="41" t="s">
        <v>60</v>
      </c>
      <c r="BL134" s="41" t="s">
        <v>297</v>
      </c>
    </row>
    <row r="135" spans="1:13" ht="12.75">
      <c r="A135" s="7"/>
      <c r="C135" s="44" t="s">
        <v>303</v>
      </c>
      <c r="D135" s="44"/>
      <c r="E135" s="44"/>
      <c r="G135" s="45">
        <v>18.196</v>
      </c>
      <c r="L135" s="46"/>
      <c r="M135" s="7"/>
    </row>
    <row r="136" spans="1:64" ht="12.75">
      <c r="A136" s="40" t="s">
        <v>304</v>
      </c>
      <c r="B136" s="10" t="s">
        <v>305</v>
      </c>
      <c r="C136" s="10" t="s">
        <v>306</v>
      </c>
      <c r="D136" s="10"/>
      <c r="E136" s="10"/>
      <c r="F136" s="10" t="s">
        <v>65</v>
      </c>
      <c r="G136" s="41">
        <v>0</v>
      </c>
      <c r="H136" s="41">
        <v>0</v>
      </c>
      <c r="I136" s="41">
        <f>G136*AO136</f>
        <v>0</v>
      </c>
      <c r="J136" s="41">
        <f>G136*AP136</f>
        <v>0</v>
      </c>
      <c r="K136" s="41">
        <f>G136*H136</f>
        <v>0</v>
      </c>
      <c r="L136" s="42" t="s">
        <v>56</v>
      </c>
      <c r="M136" s="7"/>
      <c r="Z136" s="41">
        <f>IF(AQ136="5",BJ136,0)</f>
        <v>0</v>
      </c>
      <c r="AB136" s="41">
        <f>IF(AQ136="1",BH136,0)</f>
        <v>0</v>
      </c>
      <c r="AC136" s="41">
        <f>IF(AQ136="1",BI136,0)</f>
        <v>0</v>
      </c>
      <c r="AD136" s="41">
        <f>IF(AQ136="7",BH136,0)</f>
        <v>0</v>
      </c>
      <c r="AE136" s="41">
        <f>IF(AQ136="7",BI136,0)</f>
        <v>0</v>
      </c>
      <c r="AF136" s="41">
        <f>IF(AQ136="2",BH136,0)</f>
        <v>0</v>
      </c>
      <c r="AG136" s="41">
        <f>IF(AQ136="2",BI136,0)</f>
        <v>0</v>
      </c>
      <c r="AH136" s="41">
        <f>IF(AQ136="0",BJ136,0)</f>
        <v>0</v>
      </c>
      <c r="AI136" s="24"/>
      <c r="AJ136" s="41">
        <f>IF(AN136=0,K136,0)</f>
        <v>0</v>
      </c>
      <c r="AK136" s="41">
        <f>IF(AN136=15,K136,0)</f>
        <v>0</v>
      </c>
      <c r="AL136" s="41">
        <f>IF(AN136=21,K136,0)</f>
        <v>0</v>
      </c>
      <c r="AN136" s="41">
        <v>21</v>
      </c>
      <c r="AO136" s="41">
        <f>H136*0</f>
        <v>0</v>
      </c>
      <c r="AP136" s="41">
        <f>H136*(1-0)</f>
        <v>0</v>
      </c>
      <c r="AQ136" s="43" t="s">
        <v>66</v>
      </c>
      <c r="AV136" s="41">
        <f>AW136+AX136</f>
        <v>0</v>
      </c>
      <c r="AW136" s="41">
        <f>G136*AO136</f>
        <v>0</v>
      </c>
      <c r="AX136" s="41">
        <f>G136*AP136</f>
        <v>0</v>
      </c>
      <c r="AY136" s="43" t="s">
        <v>302</v>
      </c>
      <c r="AZ136" s="43" t="s">
        <v>262</v>
      </c>
      <c r="BA136" s="24" t="s">
        <v>59</v>
      </c>
      <c r="BC136" s="41">
        <f>AW136+AX136</f>
        <v>0</v>
      </c>
      <c r="BD136" s="41">
        <f>H136/(100-BE136)*100</f>
        <v>0</v>
      </c>
      <c r="BE136" s="41">
        <v>0</v>
      </c>
      <c r="BF136" s="41">
        <f>136</f>
        <v>136</v>
      </c>
      <c r="BH136" s="41">
        <f>G136*AO136</f>
        <v>0</v>
      </c>
      <c r="BI136" s="41">
        <f>G136*AP136</f>
        <v>0</v>
      </c>
      <c r="BJ136" s="41">
        <f>G136*H136</f>
        <v>0</v>
      </c>
      <c r="BK136" s="41" t="s">
        <v>60</v>
      </c>
      <c r="BL136" s="41" t="s">
        <v>297</v>
      </c>
    </row>
    <row r="137" spans="1:13" ht="12.75">
      <c r="A137" s="7"/>
      <c r="C137" s="44" t="s">
        <v>307</v>
      </c>
      <c r="D137" s="44"/>
      <c r="E137" s="44"/>
      <c r="G137" s="45">
        <v>0</v>
      </c>
      <c r="L137" s="46"/>
      <c r="M137" s="7"/>
    </row>
    <row r="138" spans="1:64" ht="12.75">
      <c r="A138" s="40" t="s">
        <v>308</v>
      </c>
      <c r="B138" s="10" t="s">
        <v>309</v>
      </c>
      <c r="C138" s="10" t="s">
        <v>310</v>
      </c>
      <c r="D138" s="10"/>
      <c r="E138" s="10"/>
      <c r="F138" s="10" t="s">
        <v>65</v>
      </c>
      <c r="G138" s="41">
        <v>0</v>
      </c>
      <c r="H138" s="41">
        <v>0</v>
      </c>
      <c r="I138" s="41">
        <f>G138*AO138</f>
        <v>0</v>
      </c>
      <c r="J138" s="41">
        <f>G138*AP138</f>
        <v>0</v>
      </c>
      <c r="K138" s="41">
        <f>G138*H138</f>
        <v>0</v>
      </c>
      <c r="L138" s="42" t="s">
        <v>56</v>
      </c>
      <c r="M138" s="7"/>
      <c r="Z138" s="41">
        <f>IF(AQ138="5",BJ138,0)</f>
        <v>0</v>
      </c>
      <c r="AB138" s="41">
        <f>IF(AQ138="1",BH138,0)</f>
        <v>0</v>
      </c>
      <c r="AC138" s="41">
        <f>IF(AQ138="1",BI138,0)</f>
        <v>0</v>
      </c>
      <c r="AD138" s="41">
        <f>IF(AQ138="7",BH138,0)</f>
        <v>0</v>
      </c>
      <c r="AE138" s="41">
        <f>IF(AQ138="7",BI138,0)</f>
        <v>0</v>
      </c>
      <c r="AF138" s="41">
        <f>IF(AQ138="2",BH138,0)</f>
        <v>0</v>
      </c>
      <c r="AG138" s="41">
        <f>IF(AQ138="2",BI138,0)</f>
        <v>0</v>
      </c>
      <c r="AH138" s="41">
        <f>IF(AQ138="0",BJ138,0)</f>
        <v>0</v>
      </c>
      <c r="AI138" s="24"/>
      <c r="AJ138" s="41">
        <f>IF(AN138=0,K138,0)</f>
        <v>0</v>
      </c>
      <c r="AK138" s="41">
        <f>IF(AN138=15,K138,0)</f>
        <v>0</v>
      </c>
      <c r="AL138" s="41">
        <f>IF(AN138=21,K138,0)</f>
        <v>0</v>
      </c>
      <c r="AN138" s="41">
        <v>21</v>
      </c>
      <c r="AO138" s="41">
        <f>H138*0</f>
        <v>0</v>
      </c>
      <c r="AP138" s="41">
        <f>H138*(1-0)</f>
        <v>0</v>
      </c>
      <c r="AQ138" s="43" t="s">
        <v>66</v>
      </c>
      <c r="AV138" s="41">
        <f>AW138+AX138</f>
        <v>0</v>
      </c>
      <c r="AW138" s="41">
        <f>G138*AO138</f>
        <v>0</v>
      </c>
      <c r="AX138" s="41">
        <f>G138*AP138</f>
        <v>0</v>
      </c>
      <c r="AY138" s="43" t="s">
        <v>302</v>
      </c>
      <c r="AZ138" s="43" t="s">
        <v>262</v>
      </c>
      <c r="BA138" s="24" t="s">
        <v>59</v>
      </c>
      <c r="BC138" s="41">
        <f>AW138+AX138</f>
        <v>0</v>
      </c>
      <c r="BD138" s="41">
        <f>H138/(100-BE138)*100</f>
        <v>0</v>
      </c>
      <c r="BE138" s="41">
        <v>0</v>
      </c>
      <c r="BF138" s="41">
        <f>138</f>
        <v>138</v>
      </c>
      <c r="BH138" s="41">
        <f>G138*AO138</f>
        <v>0</v>
      </c>
      <c r="BI138" s="41">
        <f>G138*AP138</f>
        <v>0</v>
      </c>
      <c r="BJ138" s="41">
        <f>G138*H138</f>
        <v>0</v>
      </c>
      <c r="BK138" s="41" t="s">
        <v>60</v>
      </c>
      <c r="BL138" s="41" t="s">
        <v>297</v>
      </c>
    </row>
    <row r="139" spans="1:13" ht="12.75">
      <c r="A139" s="7"/>
      <c r="C139" s="44" t="s">
        <v>311</v>
      </c>
      <c r="D139" s="44"/>
      <c r="E139" s="44"/>
      <c r="G139" s="45">
        <v>0</v>
      </c>
      <c r="L139" s="46"/>
      <c r="M139" s="7"/>
    </row>
    <row r="140" spans="1:64" ht="12.75">
      <c r="A140" s="40" t="s">
        <v>312</v>
      </c>
      <c r="B140" s="10" t="s">
        <v>313</v>
      </c>
      <c r="C140" s="10" t="s">
        <v>314</v>
      </c>
      <c r="D140" s="10"/>
      <c r="E140" s="10"/>
      <c r="F140" s="10" t="s">
        <v>65</v>
      </c>
      <c r="G140" s="41">
        <v>18.196</v>
      </c>
      <c r="H140" s="41">
        <v>0</v>
      </c>
      <c r="I140" s="41">
        <f>G140*AO140</f>
        <v>0</v>
      </c>
      <c r="J140" s="41">
        <f>G140*AP140</f>
        <v>0</v>
      </c>
      <c r="K140" s="41">
        <f>G140*H140</f>
        <v>0</v>
      </c>
      <c r="L140" s="42" t="s">
        <v>56</v>
      </c>
      <c r="M140" s="7"/>
      <c r="Z140" s="41">
        <f>IF(AQ140="5",BJ140,0)</f>
        <v>0</v>
      </c>
      <c r="AB140" s="41">
        <f>IF(AQ140="1",BH140,0)</f>
        <v>0</v>
      </c>
      <c r="AC140" s="41">
        <f>IF(AQ140="1",BI140,0)</f>
        <v>0</v>
      </c>
      <c r="AD140" s="41">
        <f>IF(AQ140="7",BH140,0)</f>
        <v>0</v>
      </c>
      <c r="AE140" s="41">
        <f>IF(AQ140="7",BI140,0)</f>
        <v>0</v>
      </c>
      <c r="AF140" s="41">
        <f>IF(AQ140="2",BH140,0)</f>
        <v>0</v>
      </c>
      <c r="AG140" s="41">
        <f>IF(AQ140="2",BI140,0)</f>
        <v>0</v>
      </c>
      <c r="AH140" s="41">
        <f>IF(AQ140="0",BJ140,0)</f>
        <v>0</v>
      </c>
      <c r="AI140" s="24"/>
      <c r="AJ140" s="41">
        <f>IF(AN140=0,K140,0)</f>
        <v>0</v>
      </c>
      <c r="AK140" s="41">
        <f>IF(AN140=15,K140,0)</f>
        <v>0</v>
      </c>
      <c r="AL140" s="41">
        <f>IF(AN140=21,K140,0)</f>
        <v>0</v>
      </c>
      <c r="AN140" s="41">
        <v>21</v>
      </c>
      <c r="AO140" s="41">
        <f>H140*0</f>
        <v>0</v>
      </c>
      <c r="AP140" s="41">
        <f>H140*(1-0)</f>
        <v>0</v>
      </c>
      <c r="AQ140" s="43" t="s">
        <v>66</v>
      </c>
      <c r="AV140" s="41">
        <f>AW140+AX140</f>
        <v>0</v>
      </c>
      <c r="AW140" s="41">
        <f>G140*AO140</f>
        <v>0</v>
      </c>
      <c r="AX140" s="41">
        <f>G140*AP140</f>
        <v>0</v>
      </c>
      <c r="AY140" s="43" t="s">
        <v>302</v>
      </c>
      <c r="AZ140" s="43" t="s">
        <v>262</v>
      </c>
      <c r="BA140" s="24" t="s">
        <v>59</v>
      </c>
      <c r="BC140" s="41">
        <f>AW140+AX140</f>
        <v>0</v>
      </c>
      <c r="BD140" s="41">
        <f>H140/(100-BE140)*100</f>
        <v>0</v>
      </c>
      <c r="BE140" s="41">
        <v>0</v>
      </c>
      <c r="BF140" s="41">
        <f>140</f>
        <v>140</v>
      </c>
      <c r="BH140" s="41">
        <f>G140*AO140</f>
        <v>0</v>
      </c>
      <c r="BI140" s="41">
        <f>G140*AP140</f>
        <v>0</v>
      </c>
      <c r="BJ140" s="41">
        <f>G140*H140</f>
        <v>0</v>
      </c>
      <c r="BK140" s="41" t="s">
        <v>60</v>
      </c>
      <c r="BL140" s="41" t="s">
        <v>297</v>
      </c>
    </row>
    <row r="141" spans="1:13" ht="12.75">
      <c r="A141" s="7"/>
      <c r="C141" s="44" t="s">
        <v>303</v>
      </c>
      <c r="D141" s="44"/>
      <c r="E141" s="44"/>
      <c r="G141" s="45">
        <v>18.196</v>
      </c>
      <c r="L141" s="46"/>
      <c r="M141" s="7"/>
    </row>
    <row r="142" spans="1:64" ht="12.75">
      <c r="A142" s="40" t="s">
        <v>315</v>
      </c>
      <c r="B142" s="10" t="s">
        <v>316</v>
      </c>
      <c r="C142" s="10" t="s">
        <v>317</v>
      </c>
      <c r="D142" s="10"/>
      <c r="E142" s="10"/>
      <c r="F142" s="10" t="s">
        <v>65</v>
      </c>
      <c r="G142" s="41">
        <v>18.196</v>
      </c>
      <c r="H142" s="41">
        <v>0</v>
      </c>
      <c r="I142" s="41">
        <f>G142*AO142</f>
        <v>0</v>
      </c>
      <c r="J142" s="41">
        <f>G142*AP142</f>
        <v>0</v>
      </c>
      <c r="K142" s="41">
        <f>G142*H142</f>
        <v>0</v>
      </c>
      <c r="L142" s="42" t="s">
        <v>56</v>
      </c>
      <c r="M142" s="7"/>
      <c r="Z142" s="41">
        <f>IF(AQ142="5",BJ142,0)</f>
        <v>0</v>
      </c>
      <c r="AB142" s="41">
        <f>IF(AQ142="1",BH142,0)</f>
        <v>0</v>
      </c>
      <c r="AC142" s="41">
        <f>IF(AQ142="1",BI142,0)</f>
        <v>0</v>
      </c>
      <c r="AD142" s="41">
        <f>IF(AQ142="7",BH142,0)</f>
        <v>0</v>
      </c>
      <c r="AE142" s="41">
        <f>IF(AQ142="7",BI142,0)</f>
        <v>0</v>
      </c>
      <c r="AF142" s="41">
        <f>IF(AQ142="2",BH142,0)</f>
        <v>0</v>
      </c>
      <c r="AG142" s="41">
        <f>IF(AQ142="2",BI142,0)</f>
        <v>0</v>
      </c>
      <c r="AH142" s="41">
        <f>IF(AQ142="0",BJ142,0)</f>
        <v>0</v>
      </c>
      <c r="AI142" s="24"/>
      <c r="AJ142" s="41">
        <f>IF(AN142=0,K142,0)</f>
        <v>0</v>
      </c>
      <c r="AK142" s="41">
        <f>IF(AN142=15,K142,0)</f>
        <v>0</v>
      </c>
      <c r="AL142" s="41">
        <f>IF(AN142=21,K142,0)</f>
        <v>0</v>
      </c>
      <c r="AN142" s="41">
        <v>21</v>
      </c>
      <c r="AO142" s="41">
        <f>H142*0</f>
        <v>0</v>
      </c>
      <c r="AP142" s="41">
        <f>H142*(1-0)</f>
        <v>0</v>
      </c>
      <c r="AQ142" s="43" t="s">
        <v>66</v>
      </c>
      <c r="AV142" s="41">
        <f>AW142+AX142</f>
        <v>0</v>
      </c>
      <c r="AW142" s="41">
        <f>G142*AO142</f>
        <v>0</v>
      </c>
      <c r="AX142" s="41">
        <f>G142*AP142</f>
        <v>0</v>
      </c>
      <c r="AY142" s="43" t="s">
        <v>302</v>
      </c>
      <c r="AZ142" s="43" t="s">
        <v>262</v>
      </c>
      <c r="BA142" s="24" t="s">
        <v>59</v>
      </c>
      <c r="BC142" s="41">
        <f>AW142+AX142</f>
        <v>0</v>
      </c>
      <c r="BD142" s="41">
        <f>H142/(100-BE142)*100</f>
        <v>0</v>
      </c>
      <c r="BE142" s="41">
        <v>0</v>
      </c>
      <c r="BF142" s="41">
        <f>142</f>
        <v>142</v>
      </c>
      <c r="BH142" s="41">
        <f>G142*AO142</f>
        <v>0</v>
      </c>
      <c r="BI142" s="41">
        <f>G142*AP142</f>
        <v>0</v>
      </c>
      <c r="BJ142" s="41">
        <f>G142*H142</f>
        <v>0</v>
      </c>
      <c r="BK142" s="41" t="s">
        <v>60</v>
      </c>
      <c r="BL142" s="41" t="s">
        <v>297</v>
      </c>
    </row>
    <row r="143" spans="1:13" ht="12.75">
      <c r="A143" s="7"/>
      <c r="C143" s="44" t="s">
        <v>303</v>
      </c>
      <c r="D143" s="44"/>
      <c r="E143" s="44"/>
      <c r="G143" s="45">
        <v>18.196</v>
      </c>
      <c r="L143" s="46"/>
      <c r="M143" s="7"/>
    </row>
    <row r="144" spans="1:64" ht="12.75">
      <c r="A144" s="40" t="s">
        <v>318</v>
      </c>
      <c r="B144" s="10" t="s">
        <v>319</v>
      </c>
      <c r="C144" s="10" t="s">
        <v>320</v>
      </c>
      <c r="D144" s="10"/>
      <c r="E144" s="10"/>
      <c r="F144" s="10" t="s">
        <v>65</v>
      </c>
      <c r="G144" s="41">
        <v>2.261</v>
      </c>
      <c r="H144" s="41">
        <v>0</v>
      </c>
      <c r="I144" s="41">
        <f>G144*AO144</f>
        <v>0</v>
      </c>
      <c r="J144" s="41">
        <f>G144*AP144</f>
        <v>0</v>
      </c>
      <c r="K144" s="41">
        <f>G144*H144</f>
        <v>0</v>
      </c>
      <c r="L144" s="42" t="s">
        <v>56</v>
      </c>
      <c r="M144" s="7"/>
      <c r="Z144" s="41">
        <f>IF(AQ144="5",BJ144,0)</f>
        <v>0</v>
      </c>
      <c r="AB144" s="41">
        <f>IF(AQ144="1",BH144,0)</f>
        <v>0</v>
      </c>
      <c r="AC144" s="41">
        <f>IF(AQ144="1",BI144,0)</f>
        <v>0</v>
      </c>
      <c r="AD144" s="41">
        <f>IF(AQ144="7",BH144,0)</f>
        <v>0</v>
      </c>
      <c r="AE144" s="41">
        <f>IF(AQ144="7",BI144,0)</f>
        <v>0</v>
      </c>
      <c r="AF144" s="41">
        <f>IF(AQ144="2",BH144,0)</f>
        <v>0</v>
      </c>
      <c r="AG144" s="41">
        <f>IF(AQ144="2",BI144,0)</f>
        <v>0</v>
      </c>
      <c r="AH144" s="41">
        <f>IF(AQ144="0",BJ144,0)</f>
        <v>0</v>
      </c>
      <c r="AI144" s="24"/>
      <c r="AJ144" s="41">
        <f>IF(AN144=0,K144,0)</f>
        <v>0</v>
      </c>
      <c r="AK144" s="41">
        <f>IF(AN144=15,K144,0)</f>
        <v>0</v>
      </c>
      <c r="AL144" s="41">
        <f>IF(AN144=21,K144,0)</f>
        <v>0</v>
      </c>
      <c r="AN144" s="41">
        <v>21</v>
      </c>
      <c r="AO144" s="41">
        <f>H144*0</f>
        <v>0</v>
      </c>
      <c r="AP144" s="41">
        <f>H144*(1-0)</f>
        <v>0</v>
      </c>
      <c r="AQ144" s="43" t="s">
        <v>66</v>
      </c>
      <c r="AV144" s="41">
        <f>AW144+AX144</f>
        <v>0</v>
      </c>
      <c r="AW144" s="41">
        <f>G144*AO144</f>
        <v>0</v>
      </c>
      <c r="AX144" s="41">
        <f>G144*AP144</f>
        <v>0</v>
      </c>
      <c r="AY144" s="43" t="s">
        <v>302</v>
      </c>
      <c r="AZ144" s="43" t="s">
        <v>262</v>
      </c>
      <c r="BA144" s="24" t="s">
        <v>59</v>
      </c>
      <c r="BC144" s="41">
        <f>AW144+AX144</f>
        <v>0</v>
      </c>
      <c r="BD144" s="41">
        <f>H144/(100-BE144)*100</f>
        <v>0</v>
      </c>
      <c r="BE144" s="41">
        <v>0</v>
      </c>
      <c r="BF144" s="41">
        <f>144</f>
        <v>144</v>
      </c>
      <c r="BH144" s="41">
        <f>G144*AO144</f>
        <v>0</v>
      </c>
      <c r="BI144" s="41">
        <f>G144*AP144</f>
        <v>0</v>
      </c>
      <c r="BJ144" s="41">
        <f>G144*H144</f>
        <v>0</v>
      </c>
      <c r="BK144" s="41" t="s">
        <v>60</v>
      </c>
      <c r="BL144" s="41" t="s">
        <v>297</v>
      </c>
    </row>
    <row r="145" spans="1:13" ht="12.75">
      <c r="A145" s="51"/>
      <c r="B145" s="52"/>
      <c r="C145" s="53" t="s">
        <v>321</v>
      </c>
      <c r="D145" s="53"/>
      <c r="E145" s="53"/>
      <c r="F145" s="52"/>
      <c r="G145" s="54">
        <v>2.261</v>
      </c>
      <c r="H145" s="52"/>
      <c r="I145" s="52"/>
      <c r="J145" s="52"/>
      <c r="K145" s="52"/>
      <c r="L145" s="55"/>
      <c r="M145" s="7"/>
    </row>
    <row r="146" spans="1:12" ht="12.75">
      <c r="A146" s="56"/>
      <c r="B146" s="56"/>
      <c r="C146" s="56"/>
      <c r="D146" s="56"/>
      <c r="E146" s="56"/>
      <c r="F146" s="56"/>
      <c r="G146" s="56"/>
      <c r="H146" s="56"/>
      <c r="I146" s="57" t="s">
        <v>322</v>
      </c>
      <c r="J146" s="57"/>
      <c r="K146" s="58">
        <f>K12+K17+K20+K42+K47+K58+K68+K108+K113+K128+K133</f>
        <v>0</v>
      </c>
      <c r="L146" s="56"/>
    </row>
    <row r="147" ht="11.25" customHeight="1">
      <c r="A147" s="59" t="s">
        <v>323</v>
      </c>
    </row>
    <row r="148" spans="1:12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</sheetData>
  <sheetProtection selectLockedCells="1" selectUnlockedCells="1"/>
  <mergeCells count="164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I146:J146"/>
    <mergeCell ref="A148:L148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11.57421875" style="0" hidden="1" customWidth="1"/>
    <col min="10" max="16384" width="11.57421875" style="0" customWidth="1"/>
  </cols>
  <sheetData>
    <row r="1" spans="1:7" ht="72.75" customHeight="1">
      <c r="A1" s="1" t="s">
        <v>324</v>
      </c>
      <c r="B1" s="1"/>
      <c r="C1" s="1"/>
      <c r="D1" s="1"/>
      <c r="E1" s="1"/>
      <c r="F1" s="1"/>
      <c r="G1" s="1"/>
    </row>
    <row r="2" spans="1:8" ht="12.75" customHeight="1">
      <c r="A2" s="2" t="s">
        <v>1</v>
      </c>
      <c r="B2" s="3">
        <f>'Stavební rozpočet'!C2</f>
        <v>0</v>
      </c>
      <c r="C2" s="3"/>
      <c r="D2" s="5" t="s">
        <v>5</v>
      </c>
      <c r="E2" s="6">
        <f>'Stavební rozpočet'!I2</f>
        <v>0</v>
      </c>
      <c r="F2" s="6"/>
      <c r="G2" s="6"/>
      <c r="H2" s="7"/>
    </row>
    <row r="3" spans="1:8" ht="12.75">
      <c r="A3" s="2"/>
      <c r="B3" s="3"/>
      <c r="C3" s="3"/>
      <c r="D3" s="5"/>
      <c r="E3" s="5"/>
      <c r="F3" s="6"/>
      <c r="G3" s="6"/>
      <c r="H3" s="7"/>
    </row>
    <row r="4" spans="1:8" ht="12.75" customHeight="1">
      <c r="A4" s="8" t="s">
        <v>7</v>
      </c>
      <c r="B4" s="9">
        <f>'Stavební rozpočet'!C4</f>
        <v>0</v>
      </c>
      <c r="C4" s="9"/>
      <c r="D4" s="9" t="s">
        <v>10</v>
      </c>
      <c r="E4" s="11">
        <f>'Stavební rozpočet'!I4</f>
        <v>0</v>
      </c>
      <c r="F4" s="11"/>
      <c r="G4" s="11"/>
      <c r="H4" s="7"/>
    </row>
    <row r="5" spans="1:8" ht="12.75">
      <c r="A5" s="8"/>
      <c r="B5" s="9"/>
      <c r="C5" s="9"/>
      <c r="D5" s="9"/>
      <c r="E5" s="9"/>
      <c r="F5" s="11"/>
      <c r="G5" s="11"/>
      <c r="H5" s="7"/>
    </row>
    <row r="6" spans="1:8" ht="12.75" customHeight="1">
      <c r="A6" s="8" t="s">
        <v>12</v>
      </c>
      <c r="B6" s="9">
        <f>'Stavební rozpočet'!C6</f>
        <v>0</v>
      </c>
      <c r="C6" s="9"/>
      <c r="D6" s="9" t="s">
        <v>15</v>
      </c>
      <c r="E6" s="11">
        <f>'Stavební rozpočet'!I6</f>
        <v>0</v>
      </c>
      <c r="F6" s="11"/>
      <c r="G6" s="11"/>
      <c r="H6" s="7"/>
    </row>
    <row r="7" spans="1:8" ht="12.75">
      <c r="A7" s="8"/>
      <c r="B7" s="9"/>
      <c r="C7" s="9"/>
      <c r="D7" s="9"/>
      <c r="E7" s="9"/>
      <c r="F7" s="11"/>
      <c r="G7" s="11"/>
      <c r="H7" s="7"/>
    </row>
    <row r="8" spans="1:8" ht="12.75" customHeight="1">
      <c r="A8" s="13" t="s">
        <v>20</v>
      </c>
      <c r="B8" s="14">
        <f>'Stavební rozpočet'!I8</f>
        <v>0</v>
      </c>
      <c r="C8" s="14"/>
      <c r="D8" s="15" t="s">
        <v>18</v>
      </c>
      <c r="E8" s="16">
        <f>'Stavební rozpočet'!F8</f>
        <v>0</v>
      </c>
      <c r="F8" s="16"/>
      <c r="G8" s="16"/>
      <c r="H8" s="7"/>
    </row>
    <row r="9" spans="1:8" ht="12.75">
      <c r="A9" s="13"/>
      <c r="B9" s="14"/>
      <c r="C9" s="14"/>
      <c r="D9" s="15"/>
      <c r="E9" s="15"/>
      <c r="F9" s="16"/>
      <c r="G9" s="16"/>
      <c r="H9" s="7"/>
    </row>
    <row r="10" spans="1:8" ht="12.75">
      <c r="A10" s="60" t="s">
        <v>325</v>
      </c>
      <c r="B10" s="61" t="s">
        <v>23</v>
      </c>
      <c r="C10" s="62" t="s">
        <v>24</v>
      </c>
      <c r="D10" s="62"/>
      <c r="E10" s="63" t="s">
        <v>326</v>
      </c>
      <c r="F10" s="63" t="s">
        <v>327</v>
      </c>
      <c r="G10" s="63" t="s">
        <v>328</v>
      </c>
      <c r="H10" s="7"/>
    </row>
    <row r="11" spans="1:9" ht="12.75">
      <c r="A11" s="64"/>
      <c r="B11" s="65" t="s">
        <v>50</v>
      </c>
      <c r="C11" s="65" t="s">
        <v>51</v>
      </c>
      <c r="D11" s="65"/>
      <c r="E11" s="66">
        <f>'Stavební rozpočet'!I12</f>
        <v>0</v>
      </c>
      <c r="F11" s="66">
        <f>'Stavební rozpočet'!J12</f>
        <v>0</v>
      </c>
      <c r="G11" s="66">
        <f>'Stavební rozpočet'!K12</f>
        <v>0</v>
      </c>
      <c r="H11" s="41" t="s">
        <v>329</v>
      </c>
      <c r="I11" s="41">
        <f aca="true" t="shared" si="0" ref="I11:I21">IF(H11="F",0,G11)</f>
        <v>0</v>
      </c>
    </row>
    <row r="12" spans="1:9" ht="12.75">
      <c r="A12" s="40"/>
      <c r="B12" s="10" t="s">
        <v>68</v>
      </c>
      <c r="C12" s="10" t="s">
        <v>69</v>
      </c>
      <c r="D12" s="10"/>
      <c r="E12" s="41">
        <f>'Stavební rozpočet'!I17</f>
        <v>0</v>
      </c>
      <c r="F12" s="41">
        <f>'Stavební rozpočet'!J17</f>
        <v>0</v>
      </c>
      <c r="G12" s="41">
        <f>'Stavební rozpočet'!K17</f>
        <v>0</v>
      </c>
      <c r="H12" s="41" t="s">
        <v>329</v>
      </c>
      <c r="I12" s="41">
        <f t="shared" si="0"/>
        <v>0</v>
      </c>
    </row>
    <row r="13" spans="1:9" ht="12.75">
      <c r="A13" s="40"/>
      <c r="B13" s="10" t="s">
        <v>77</v>
      </c>
      <c r="C13" s="10" t="s">
        <v>78</v>
      </c>
      <c r="D13" s="10"/>
      <c r="E13" s="41">
        <f>'Stavební rozpočet'!I20</f>
        <v>0</v>
      </c>
      <c r="F13" s="41">
        <f>'Stavební rozpočet'!J20</f>
        <v>0</v>
      </c>
      <c r="G13" s="41">
        <f>'Stavební rozpočet'!K20</f>
        <v>0</v>
      </c>
      <c r="H13" s="41" t="s">
        <v>329</v>
      </c>
      <c r="I13" s="41">
        <f t="shared" si="0"/>
        <v>0</v>
      </c>
    </row>
    <row r="14" spans="1:9" ht="12.75">
      <c r="A14" s="40"/>
      <c r="B14" s="10" t="s">
        <v>123</v>
      </c>
      <c r="C14" s="10" t="s">
        <v>124</v>
      </c>
      <c r="D14" s="10"/>
      <c r="E14" s="41">
        <f>'Stavební rozpočet'!I42</f>
        <v>0</v>
      </c>
      <c r="F14" s="41">
        <f>'Stavební rozpočet'!J42</f>
        <v>0</v>
      </c>
      <c r="G14" s="41">
        <f>'Stavební rozpočet'!K42</f>
        <v>0</v>
      </c>
      <c r="H14" s="41" t="s">
        <v>329</v>
      </c>
      <c r="I14" s="41">
        <f t="shared" si="0"/>
        <v>0</v>
      </c>
    </row>
    <row r="15" spans="1:9" ht="12.75">
      <c r="A15" s="40"/>
      <c r="B15" s="10" t="s">
        <v>134</v>
      </c>
      <c r="C15" s="10" t="s">
        <v>135</v>
      </c>
      <c r="D15" s="10"/>
      <c r="E15" s="41">
        <f>'Stavební rozpočet'!I47</f>
        <v>0</v>
      </c>
      <c r="F15" s="41">
        <f>'Stavební rozpočet'!J47</f>
        <v>0</v>
      </c>
      <c r="G15" s="41">
        <f>'Stavební rozpočet'!K47</f>
        <v>0</v>
      </c>
      <c r="H15" s="41" t="s">
        <v>329</v>
      </c>
      <c r="I15" s="41">
        <f t="shared" si="0"/>
        <v>0</v>
      </c>
    </row>
    <row r="16" spans="1:9" ht="12.75">
      <c r="A16" s="40"/>
      <c r="B16" s="10" t="s">
        <v>155</v>
      </c>
      <c r="C16" s="10" t="s">
        <v>156</v>
      </c>
      <c r="D16" s="10"/>
      <c r="E16" s="41">
        <f>'Stavební rozpočet'!I58</f>
        <v>0</v>
      </c>
      <c r="F16" s="41">
        <f>'Stavební rozpočet'!J58</f>
        <v>0</v>
      </c>
      <c r="G16" s="41">
        <f>'Stavební rozpočet'!K58</f>
        <v>0</v>
      </c>
      <c r="H16" s="41" t="s">
        <v>329</v>
      </c>
      <c r="I16" s="41">
        <f t="shared" si="0"/>
        <v>0</v>
      </c>
    </row>
    <row r="17" spans="1:9" ht="12.75">
      <c r="A17" s="40"/>
      <c r="B17" s="10" t="s">
        <v>175</v>
      </c>
      <c r="C17" s="10" t="s">
        <v>176</v>
      </c>
      <c r="D17" s="10"/>
      <c r="E17" s="41">
        <f>'Stavební rozpočet'!I68</f>
        <v>0</v>
      </c>
      <c r="F17" s="41">
        <f>'Stavební rozpočet'!J68</f>
        <v>0</v>
      </c>
      <c r="G17" s="41">
        <f>'Stavební rozpočet'!K68</f>
        <v>0</v>
      </c>
      <c r="H17" s="41" t="s">
        <v>329</v>
      </c>
      <c r="I17" s="41">
        <f t="shared" si="0"/>
        <v>0</v>
      </c>
    </row>
    <row r="18" spans="1:9" ht="12.75">
      <c r="A18" s="40"/>
      <c r="B18" s="10" t="s">
        <v>245</v>
      </c>
      <c r="C18" s="10" t="s">
        <v>246</v>
      </c>
      <c r="D18" s="10"/>
      <c r="E18" s="41">
        <f>'Stavební rozpočet'!I108</f>
        <v>0</v>
      </c>
      <c r="F18" s="41">
        <f>'Stavební rozpočet'!J108</f>
        <v>0</v>
      </c>
      <c r="G18" s="41">
        <f>'Stavební rozpočet'!K108</f>
        <v>0</v>
      </c>
      <c r="H18" s="41" t="s">
        <v>329</v>
      </c>
      <c r="I18" s="41">
        <f t="shared" si="0"/>
        <v>0</v>
      </c>
    </row>
    <row r="19" spans="1:9" ht="12.75">
      <c r="A19" s="40"/>
      <c r="B19" s="10" t="s">
        <v>257</v>
      </c>
      <c r="C19" s="10" t="s">
        <v>258</v>
      </c>
      <c r="D19" s="10"/>
      <c r="E19" s="41">
        <f>'Stavební rozpočet'!I113</f>
        <v>0</v>
      </c>
      <c r="F19" s="41">
        <f>'Stavební rozpočet'!J113</f>
        <v>0</v>
      </c>
      <c r="G19" s="41">
        <f>'Stavební rozpočet'!K113</f>
        <v>0</v>
      </c>
      <c r="H19" s="41" t="s">
        <v>329</v>
      </c>
      <c r="I19" s="41">
        <f t="shared" si="0"/>
        <v>0</v>
      </c>
    </row>
    <row r="20" spans="1:9" ht="12.75">
      <c r="A20" s="40"/>
      <c r="B20" s="10" t="s">
        <v>287</v>
      </c>
      <c r="C20" s="10" t="s">
        <v>288</v>
      </c>
      <c r="D20" s="10"/>
      <c r="E20" s="41">
        <f>'Stavební rozpočet'!I128</f>
        <v>0</v>
      </c>
      <c r="F20" s="41">
        <f>'Stavební rozpočet'!J128</f>
        <v>0</v>
      </c>
      <c r="G20" s="41">
        <f>'Stavební rozpočet'!K128</f>
        <v>0</v>
      </c>
      <c r="H20" s="41" t="s">
        <v>329</v>
      </c>
      <c r="I20" s="41">
        <f t="shared" si="0"/>
        <v>0</v>
      </c>
    </row>
    <row r="21" spans="1:9" ht="12.75">
      <c r="A21" s="40"/>
      <c r="B21" s="10" t="s">
        <v>297</v>
      </c>
      <c r="C21" s="10" t="s">
        <v>298</v>
      </c>
      <c r="D21" s="10"/>
      <c r="E21" s="41">
        <f>'Stavební rozpočet'!I133</f>
        <v>0</v>
      </c>
      <c r="F21" s="41">
        <f>'Stavební rozpočet'!J133</f>
        <v>0</v>
      </c>
      <c r="G21" s="41">
        <f>'Stavební rozpočet'!K133</f>
        <v>0</v>
      </c>
      <c r="H21" s="41" t="s">
        <v>329</v>
      </c>
      <c r="I21" s="41">
        <f t="shared" si="0"/>
        <v>0</v>
      </c>
    </row>
    <row r="22" spans="6:7" ht="12.75">
      <c r="F22" s="67" t="s">
        <v>322</v>
      </c>
      <c r="G22" s="68">
        <f>SUM(I11:I21)</f>
        <v>0</v>
      </c>
    </row>
  </sheetData>
  <sheetProtection selectLockedCells="1" selectUnlockedCells="1"/>
  <mergeCells count="29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  <col min="9" max="16384" width="11.57421875" style="0" customWidth="1"/>
  </cols>
  <sheetData>
    <row r="1" spans="1:8" ht="72.75" customHeight="1">
      <c r="A1" s="1" t="s">
        <v>330</v>
      </c>
      <c r="B1" s="1"/>
      <c r="C1" s="1"/>
      <c r="D1" s="1"/>
      <c r="E1" s="1"/>
      <c r="F1" s="1"/>
      <c r="G1" s="1"/>
      <c r="H1" s="1"/>
    </row>
    <row r="2" spans="1:9" ht="12.75" customHeight="1">
      <c r="A2" s="2" t="s">
        <v>1</v>
      </c>
      <c r="B2" s="2"/>
      <c r="C2" s="3">
        <f>'Stavební rozpočet'!C2</f>
        <v>0</v>
      </c>
      <c r="D2" s="3"/>
      <c r="E2" s="5" t="s">
        <v>5</v>
      </c>
      <c r="F2" s="6">
        <f>'Stavební rozpočet'!I2</f>
        <v>0</v>
      </c>
      <c r="G2" s="6"/>
      <c r="H2" s="6"/>
      <c r="I2" s="7"/>
    </row>
    <row r="3" spans="1:9" ht="12.75">
      <c r="A3" s="2"/>
      <c r="B3" s="2"/>
      <c r="C3" s="3"/>
      <c r="D3" s="3"/>
      <c r="E3" s="5"/>
      <c r="F3" s="5"/>
      <c r="G3" s="6"/>
      <c r="H3" s="6"/>
      <c r="I3" s="7"/>
    </row>
    <row r="4" spans="1:9" ht="12.75" customHeight="1">
      <c r="A4" s="8" t="s">
        <v>7</v>
      </c>
      <c r="B4" s="8"/>
      <c r="C4" s="9">
        <f>'Stavební rozpočet'!C4</f>
        <v>0</v>
      </c>
      <c r="D4" s="9"/>
      <c r="E4" s="9" t="s">
        <v>10</v>
      </c>
      <c r="F4" s="11">
        <f>'Stavební rozpočet'!I4</f>
        <v>0</v>
      </c>
      <c r="G4" s="11"/>
      <c r="H4" s="11"/>
      <c r="I4" s="7"/>
    </row>
    <row r="5" spans="1:9" ht="12.75">
      <c r="A5" s="8"/>
      <c r="B5" s="8"/>
      <c r="C5" s="9"/>
      <c r="D5" s="9"/>
      <c r="E5" s="9"/>
      <c r="F5" s="9"/>
      <c r="G5" s="11"/>
      <c r="H5" s="11"/>
      <c r="I5" s="7"/>
    </row>
    <row r="6" spans="1:9" ht="12.75" customHeight="1">
      <c r="A6" s="8" t="s">
        <v>12</v>
      </c>
      <c r="B6" s="8"/>
      <c r="C6" s="9">
        <f>'Stavební rozpočet'!C6</f>
        <v>0</v>
      </c>
      <c r="D6" s="9"/>
      <c r="E6" s="9" t="s">
        <v>15</v>
      </c>
      <c r="F6" s="11">
        <f>'Stavební rozpočet'!I6</f>
        <v>0</v>
      </c>
      <c r="G6" s="11"/>
      <c r="H6" s="11"/>
      <c r="I6" s="7"/>
    </row>
    <row r="7" spans="1:9" ht="12.75">
      <c r="A7" s="8"/>
      <c r="B7" s="8"/>
      <c r="C7" s="9"/>
      <c r="D7" s="9"/>
      <c r="E7" s="9"/>
      <c r="F7" s="9"/>
      <c r="G7" s="11"/>
      <c r="H7" s="11"/>
      <c r="I7" s="7"/>
    </row>
    <row r="8" spans="1:9" ht="12.75" customHeight="1">
      <c r="A8" s="13" t="s">
        <v>20</v>
      </c>
      <c r="B8" s="13"/>
      <c r="C8" s="14">
        <f>'Stavební rozpočet'!I8</f>
        <v>0</v>
      </c>
      <c r="D8" s="14"/>
      <c r="E8" s="14" t="s">
        <v>18</v>
      </c>
      <c r="F8" s="16">
        <f>'Stavební rozpočet'!F8</f>
        <v>0</v>
      </c>
      <c r="G8" s="16"/>
      <c r="H8" s="16"/>
      <c r="I8" s="7"/>
    </row>
    <row r="9" spans="1:9" ht="12.75">
      <c r="A9" s="13"/>
      <c r="B9" s="13"/>
      <c r="C9" s="14"/>
      <c r="D9" s="14"/>
      <c r="E9" s="14"/>
      <c r="F9" s="14"/>
      <c r="G9" s="16"/>
      <c r="H9" s="16"/>
      <c r="I9" s="7"/>
    </row>
    <row r="10" spans="1:9" ht="12.75">
      <c r="A10" s="69" t="s">
        <v>22</v>
      </c>
      <c r="B10" s="70" t="s">
        <v>325</v>
      </c>
      <c r="C10" s="70" t="s">
        <v>23</v>
      </c>
      <c r="D10" s="70" t="s">
        <v>24</v>
      </c>
      <c r="E10" s="70"/>
      <c r="F10" s="70" t="s">
        <v>25</v>
      </c>
      <c r="G10" s="71" t="s">
        <v>26</v>
      </c>
      <c r="H10" s="72" t="s">
        <v>331</v>
      </c>
      <c r="I10" s="23"/>
    </row>
    <row r="11" spans="1:8" ht="12.75">
      <c r="A11" s="56"/>
      <c r="B11" s="56"/>
      <c r="C11" s="56"/>
      <c r="D11" s="56"/>
      <c r="E11" s="56"/>
      <c r="F11" s="56"/>
      <c r="G11" s="56"/>
      <c r="H11" s="56"/>
    </row>
    <row r="12" ht="11.25" customHeight="1">
      <c r="A12" s="59" t="s">
        <v>323</v>
      </c>
    </row>
    <row r="13" spans="1:7" ht="12.75">
      <c r="A13" s="9"/>
      <c r="B13" s="9"/>
      <c r="C13" s="9"/>
      <c r="D13" s="9"/>
      <c r="E13" s="9"/>
      <c r="F13" s="9"/>
      <c r="G13" s="9"/>
    </row>
  </sheetData>
  <sheetProtection selectLockedCells="1" selectUnlockedCells="1"/>
  <mergeCells count="19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A13:G1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0.2812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16384" width="11.57421875" style="0" customWidth="1"/>
  </cols>
  <sheetData>
    <row r="1" spans="1:9" ht="72.75" customHeight="1">
      <c r="A1" s="73"/>
      <c r="B1" s="52"/>
      <c r="C1" s="74" t="s">
        <v>332</v>
      </c>
      <c r="D1" s="74"/>
      <c r="E1" s="74"/>
      <c r="F1" s="74"/>
      <c r="G1" s="74"/>
      <c r="H1" s="74"/>
      <c r="I1" s="74"/>
    </row>
    <row r="2" spans="1:10" ht="12.75" customHeight="1">
      <c r="A2" s="2" t="s">
        <v>1</v>
      </c>
      <c r="B2" s="2"/>
      <c r="C2" s="3">
        <f>'Stavební rozpočet'!C2</f>
        <v>0</v>
      </c>
      <c r="D2" s="3"/>
      <c r="E2" s="5" t="s">
        <v>5</v>
      </c>
      <c r="F2" s="5">
        <f>'Stavební rozpočet'!I2</f>
        <v>0</v>
      </c>
      <c r="G2" s="5"/>
      <c r="H2" s="5" t="s">
        <v>333</v>
      </c>
      <c r="I2" s="75"/>
      <c r="J2" s="7"/>
    </row>
    <row r="3" spans="1:10" ht="12.75">
      <c r="A3" s="2"/>
      <c r="B3" s="2"/>
      <c r="C3" s="3"/>
      <c r="D3" s="3"/>
      <c r="E3" s="5"/>
      <c r="F3" s="5"/>
      <c r="G3" s="5"/>
      <c r="H3" s="5"/>
      <c r="I3" s="75"/>
      <c r="J3" s="7"/>
    </row>
    <row r="4" spans="1:10" ht="12.75" customHeight="1">
      <c r="A4" s="8" t="s">
        <v>7</v>
      </c>
      <c r="B4" s="8"/>
      <c r="C4" s="9">
        <f>'Stavební rozpočet'!C4</f>
        <v>0</v>
      </c>
      <c r="D4" s="9"/>
      <c r="E4" s="9" t="s">
        <v>10</v>
      </c>
      <c r="F4" s="9">
        <f>'Stavební rozpočet'!I4</f>
        <v>0</v>
      </c>
      <c r="G4" s="9"/>
      <c r="H4" s="9" t="s">
        <v>333</v>
      </c>
      <c r="I4" s="12"/>
      <c r="J4" s="7"/>
    </row>
    <row r="5" spans="1:10" ht="12.75">
      <c r="A5" s="8"/>
      <c r="B5" s="8"/>
      <c r="C5" s="9"/>
      <c r="D5" s="9"/>
      <c r="E5" s="9"/>
      <c r="F5" s="9"/>
      <c r="G5" s="9"/>
      <c r="H5" s="9"/>
      <c r="I5" s="12"/>
      <c r="J5" s="7"/>
    </row>
    <row r="6" spans="1:10" ht="12.75" customHeight="1">
      <c r="A6" s="8" t="s">
        <v>12</v>
      </c>
      <c r="B6" s="8"/>
      <c r="C6" s="9">
        <f>'Stavební rozpočet'!C6</f>
        <v>0</v>
      </c>
      <c r="D6" s="9"/>
      <c r="E6" s="9" t="s">
        <v>15</v>
      </c>
      <c r="F6" s="9">
        <f>'Stavební rozpočet'!I6</f>
        <v>0</v>
      </c>
      <c r="G6" s="9"/>
      <c r="H6" s="9" t="s">
        <v>333</v>
      </c>
      <c r="I6" s="12"/>
      <c r="J6" s="7"/>
    </row>
    <row r="7" spans="1:10" ht="12.75">
      <c r="A7" s="8"/>
      <c r="B7" s="8"/>
      <c r="C7" s="9"/>
      <c r="D7" s="9"/>
      <c r="E7" s="9"/>
      <c r="F7" s="9"/>
      <c r="G7" s="9"/>
      <c r="H7" s="9"/>
      <c r="I7" s="12"/>
      <c r="J7" s="7"/>
    </row>
    <row r="8" spans="1:10" ht="12.75" customHeight="1">
      <c r="A8" s="8" t="s">
        <v>9</v>
      </c>
      <c r="B8" s="8"/>
      <c r="C8" s="9">
        <f>'Stavební rozpočet'!F4</f>
        <v>0</v>
      </c>
      <c r="D8" s="9"/>
      <c r="E8" s="9" t="s">
        <v>14</v>
      </c>
      <c r="F8" s="9">
        <f>'Stavební rozpočet'!F6</f>
        <v>0</v>
      </c>
      <c r="G8" s="9"/>
      <c r="H8" s="10" t="s">
        <v>334</v>
      </c>
      <c r="I8" s="12" t="s">
        <v>318</v>
      </c>
      <c r="J8" s="7"/>
    </row>
    <row r="9" spans="1:10" ht="12.75">
      <c r="A9" s="8"/>
      <c r="B9" s="8"/>
      <c r="C9" s="9"/>
      <c r="D9" s="9"/>
      <c r="E9" s="9"/>
      <c r="F9" s="9"/>
      <c r="G9" s="9"/>
      <c r="H9" s="10"/>
      <c r="I9" s="12"/>
      <c r="J9" s="7"/>
    </row>
    <row r="10" spans="1:10" ht="12.75" customHeight="1">
      <c r="A10" s="76" t="s">
        <v>17</v>
      </c>
      <c r="B10" s="76"/>
      <c r="C10" s="77">
        <f>'Stavební rozpočet'!C8</f>
        <v>0</v>
      </c>
      <c r="D10" s="77"/>
      <c r="E10" s="77" t="s">
        <v>20</v>
      </c>
      <c r="F10" s="77">
        <f>'Stavební rozpočet'!I8</f>
        <v>0</v>
      </c>
      <c r="G10" s="77"/>
      <c r="H10" s="78" t="s">
        <v>335</v>
      </c>
      <c r="I10" s="79">
        <f>'Stavební rozpočet'!F8</f>
        <v>0</v>
      </c>
      <c r="J10" s="7"/>
    </row>
    <row r="11" spans="1:10" ht="12.75">
      <c r="A11" s="76"/>
      <c r="B11" s="76"/>
      <c r="C11" s="77"/>
      <c r="D11" s="77"/>
      <c r="E11" s="77"/>
      <c r="F11" s="77"/>
      <c r="G11" s="77"/>
      <c r="H11" s="78"/>
      <c r="I11" s="79"/>
      <c r="J11" s="7"/>
    </row>
    <row r="12" spans="1:9" ht="23.25" customHeight="1">
      <c r="A12" s="80" t="s">
        <v>336</v>
      </c>
      <c r="B12" s="80"/>
      <c r="C12" s="80"/>
      <c r="D12" s="80"/>
      <c r="E12" s="80"/>
      <c r="F12" s="80"/>
      <c r="G12" s="80"/>
      <c r="H12" s="80"/>
      <c r="I12" s="80"/>
    </row>
    <row r="13" spans="1:10" ht="26.25" customHeight="1">
      <c r="A13" s="81" t="s">
        <v>337</v>
      </c>
      <c r="B13" s="82" t="s">
        <v>338</v>
      </c>
      <c r="C13" s="82"/>
      <c r="D13" s="81" t="s">
        <v>339</v>
      </c>
      <c r="E13" s="82" t="s">
        <v>340</v>
      </c>
      <c r="F13" s="82"/>
      <c r="G13" s="81" t="s">
        <v>341</v>
      </c>
      <c r="H13" s="82" t="s">
        <v>342</v>
      </c>
      <c r="I13" s="82"/>
      <c r="J13" s="7"/>
    </row>
    <row r="14" spans="1:10" ht="15" customHeight="1">
      <c r="A14" s="83" t="s">
        <v>343</v>
      </c>
      <c r="B14" s="84" t="s">
        <v>344</v>
      </c>
      <c r="C14" s="85">
        <f>SUM('Stavební rozpočet'!AB12:AB145)</f>
        <v>0</v>
      </c>
      <c r="D14" s="84" t="s">
        <v>345</v>
      </c>
      <c r="E14" s="84"/>
      <c r="F14" s="85">
        <v>0</v>
      </c>
      <c r="G14" s="84" t="s">
        <v>346</v>
      </c>
      <c r="H14" s="84"/>
      <c r="I14" s="85">
        <v>0</v>
      </c>
      <c r="J14" s="7"/>
    </row>
    <row r="15" spans="1:10" ht="15" customHeight="1">
      <c r="A15" s="86"/>
      <c r="B15" s="84" t="s">
        <v>35</v>
      </c>
      <c r="C15" s="85">
        <f>SUM('Stavební rozpočet'!AC12:AC145)</f>
        <v>0</v>
      </c>
      <c r="D15" s="84" t="s">
        <v>347</v>
      </c>
      <c r="E15" s="84"/>
      <c r="F15" s="85">
        <v>0</v>
      </c>
      <c r="G15" s="84" t="s">
        <v>348</v>
      </c>
      <c r="H15" s="84"/>
      <c r="I15" s="85">
        <v>0</v>
      </c>
      <c r="J15" s="7"/>
    </row>
    <row r="16" spans="1:10" ht="15" customHeight="1">
      <c r="A16" s="83" t="s">
        <v>349</v>
      </c>
      <c r="B16" s="84" t="s">
        <v>344</v>
      </c>
      <c r="C16" s="85">
        <f>SUM('Stavební rozpočet'!AD12:AD145)</f>
        <v>0</v>
      </c>
      <c r="D16" s="84" t="s">
        <v>350</v>
      </c>
      <c r="E16" s="84"/>
      <c r="F16" s="85">
        <v>0</v>
      </c>
      <c r="G16" s="84" t="s">
        <v>351</v>
      </c>
      <c r="H16" s="84"/>
      <c r="I16" s="85">
        <v>0</v>
      </c>
      <c r="J16" s="7"/>
    </row>
    <row r="17" spans="1:10" ht="15" customHeight="1">
      <c r="A17" s="86"/>
      <c r="B17" s="84" t="s">
        <v>35</v>
      </c>
      <c r="C17" s="85">
        <f>SUM('Stavební rozpočet'!AE12:AE145)</f>
        <v>0</v>
      </c>
      <c r="D17" s="84"/>
      <c r="E17" s="84"/>
      <c r="F17" s="87"/>
      <c r="G17" s="84" t="s">
        <v>352</v>
      </c>
      <c r="H17" s="84"/>
      <c r="I17" s="85">
        <v>0</v>
      </c>
      <c r="J17" s="7"/>
    </row>
    <row r="18" spans="1:10" ht="15" customHeight="1">
      <c r="A18" s="83" t="s">
        <v>353</v>
      </c>
      <c r="B18" s="84" t="s">
        <v>344</v>
      </c>
      <c r="C18" s="85">
        <f>SUM('Stavební rozpočet'!AF12:AF145)</f>
        <v>0</v>
      </c>
      <c r="D18" s="84"/>
      <c r="E18" s="84"/>
      <c r="F18" s="87"/>
      <c r="G18" s="84" t="s">
        <v>354</v>
      </c>
      <c r="H18" s="84"/>
      <c r="I18" s="85">
        <v>0</v>
      </c>
      <c r="J18" s="7"/>
    </row>
    <row r="19" spans="1:10" ht="15" customHeight="1">
      <c r="A19" s="86"/>
      <c r="B19" s="84" t="s">
        <v>35</v>
      </c>
      <c r="C19" s="85">
        <f>SUM('Stavební rozpočet'!AG12:AG145)</f>
        <v>0</v>
      </c>
      <c r="D19" s="84"/>
      <c r="E19" s="84"/>
      <c r="F19" s="87"/>
      <c r="G19" s="84" t="s">
        <v>355</v>
      </c>
      <c r="H19" s="84"/>
      <c r="I19" s="85">
        <v>0</v>
      </c>
      <c r="J19" s="7"/>
    </row>
    <row r="20" spans="1:10" ht="15" customHeight="1">
      <c r="A20" s="88" t="s">
        <v>356</v>
      </c>
      <c r="B20" s="88"/>
      <c r="C20" s="85">
        <f>SUM('Stavební rozpočet'!AH12:AH145)</f>
        <v>0</v>
      </c>
      <c r="D20" s="84"/>
      <c r="E20" s="84"/>
      <c r="F20" s="87"/>
      <c r="G20" s="84"/>
      <c r="H20" s="84"/>
      <c r="I20" s="87"/>
      <c r="J20" s="7"/>
    </row>
    <row r="21" spans="1:10" ht="15" customHeight="1">
      <c r="A21" s="88" t="s">
        <v>357</v>
      </c>
      <c r="B21" s="88"/>
      <c r="C21" s="85">
        <f>SUM('Stavební rozpočet'!Z12:Z145)</f>
        <v>0</v>
      </c>
      <c r="D21" s="84"/>
      <c r="E21" s="84"/>
      <c r="F21" s="87"/>
      <c r="G21" s="84"/>
      <c r="H21" s="84"/>
      <c r="I21" s="87"/>
      <c r="J21" s="7"/>
    </row>
    <row r="22" spans="1:10" ht="16.5" customHeight="1">
      <c r="A22" s="88" t="s">
        <v>358</v>
      </c>
      <c r="B22" s="88"/>
      <c r="C22" s="85">
        <f>SUM(C14:C21)</f>
        <v>0</v>
      </c>
      <c r="D22" s="88" t="s">
        <v>359</v>
      </c>
      <c r="E22" s="88"/>
      <c r="F22" s="85">
        <f>SUM(F14:F21)</f>
        <v>0</v>
      </c>
      <c r="G22" s="88" t="s">
        <v>360</v>
      </c>
      <c r="H22" s="88"/>
      <c r="I22" s="85">
        <f>SUM(I14:I21)</f>
        <v>0</v>
      </c>
      <c r="J22" s="7"/>
    </row>
    <row r="23" spans="1:10" ht="15" customHeight="1">
      <c r="A23" s="56"/>
      <c r="B23" s="56"/>
      <c r="C23" s="89"/>
      <c r="D23" s="88" t="s">
        <v>361</v>
      </c>
      <c r="E23" s="88"/>
      <c r="F23" s="90">
        <v>0</v>
      </c>
      <c r="G23" s="88" t="s">
        <v>362</v>
      </c>
      <c r="H23" s="88"/>
      <c r="I23" s="85">
        <v>0</v>
      </c>
      <c r="J23" s="7"/>
    </row>
    <row r="24" spans="4:9" ht="15" customHeight="1">
      <c r="D24" s="56"/>
      <c r="E24" s="56"/>
      <c r="F24" s="91"/>
      <c r="G24" s="88" t="s">
        <v>363</v>
      </c>
      <c r="H24" s="88"/>
      <c r="I24" s="92"/>
    </row>
    <row r="25" spans="6:10" ht="15" customHeight="1">
      <c r="F25" s="46"/>
      <c r="G25" s="88" t="s">
        <v>364</v>
      </c>
      <c r="H25" s="88"/>
      <c r="I25" s="85">
        <v>0</v>
      </c>
      <c r="J25" s="7"/>
    </row>
    <row r="26" spans="1:9" ht="12.75">
      <c r="A26" s="52"/>
      <c r="B26" s="52"/>
      <c r="C26" s="52"/>
      <c r="G26" s="56"/>
      <c r="H26" s="56"/>
      <c r="I26" s="56"/>
    </row>
    <row r="27" spans="1:9" ht="15" customHeight="1">
      <c r="A27" s="93" t="s">
        <v>365</v>
      </c>
      <c r="B27" s="93"/>
      <c r="C27" s="94">
        <f>SUM('Stavební rozpočet'!AJ12:AJ145)</f>
        <v>0</v>
      </c>
      <c r="D27" s="51"/>
      <c r="E27" s="52"/>
      <c r="F27" s="52"/>
      <c r="G27" s="52"/>
      <c r="H27" s="52"/>
      <c r="I27" s="52"/>
    </row>
    <row r="28" spans="1:10" ht="15" customHeight="1">
      <c r="A28" s="93" t="s">
        <v>366</v>
      </c>
      <c r="B28" s="93"/>
      <c r="C28" s="94">
        <f>SUM('Stavební rozpočet'!AK12:AK145)</f>
        <v>0</v>
      </c>
      <c r="D28" s="93" t="s">
        <v>367</v>
      </c>
      <c r="E28" s="93"/>
      <c r="F28" s="94">
        <f>ROUND(C28*(15/100),2)</f>
        <v>0</v>
      </c>
      <c r="G28" s="93" t="s">
        <v>368</v>
      </c>
      <c r="H28" s="93"/>
      <c r="I28" s="94">
        <f>SUM(C27:C29)</f>
        <v>0</v>
      </c>
      <c r="J28" s="7"/>
    </row>
    <row r="29" spans="1:10" ht="15" customHeight="1">
      <c r="A29" s="93" t="s">
        <v>369</v>
      </c>
      <c r="B29" s="93"/>
      <c r="C29" s="94">
        <f>SUM('Stavební rozpočet'!AL12:AL145)+(F22+I22+F23+I23+I24+I25)</f>
        <v>0</v>
      </c>
      <c r="D29" s="93" t="s">
        <v>370</v>
      </c>
      <c r="E29" s="93"/>
      <c r="F29" s="94">
        <f>ROUND(C29*(21/100),2)</f>
        <v>0</v>
      </c>
      <c r="G29" s="93" t="s">
        <v>371</v>
      </c>
      <c r="H29" s="93"/>
      <c r="I29" s="94">
        <f>SUM(F28:F29)+I28</f>
        <v>0</v>
      </c>
      <c r="J29" s="7"/>
    </row>
    <row r="30" spans="1:9" ht="12.75">
      <c r="A30" s="95"/>
      <c r="B30" s="95"/>
      <c r="C30" s="95"/>
      <c r="D30" s="95"/>
      <c r="E30" s="95"/>
      <c r="F30" s="95"/>
      <c r="G30" s="95"/>
      <c r="H30" s="95"/>
      <c r="I30" s="95"/>
    </row>
    <row r="31" spans="1:10" ht="14.25" customHeight="1">
      <c r="A31" s="96" t="s">
        <v>372</v>
      </c>
      <c r="B31" s="96"/>
      <c r="C31" s="96"/>
      <c r="D31" s="96" t="s">
        <v>373</v>
      </c>
      <c r="E31" s="96"/>
      <c r="F31" s="96"/>
      <c r="G31" s="96" t="s">
        <v>374</v>
      </c>
      <c r="H31" s="96"/>
      <c r="I31" s="96"/>
      <c r="J31" s="23"/>
    </row>
    <row r="32" spans="1:10" ht="14.25" customHeight="1">
      <c r="A32" s="97"/>
      <c r="B32" s="97"/>
      <c r="C32" s="97"/>
      <c r="D32" s="97"/>
      <c r="E32" s="97"/>
      <c r="F32" s="97"/>
      <c r="G32" s="97"/>
      <c r="H32" s="97"/>
      <c r="I32" s="97"/>
      <c r="J32" s="23"/>
    </row>
    <row r="33" spans="1:10" ht="14.25" customHeight="1">
      <c r="A33" s="97"/>
      <c r="B33" s="97"/>
      <c r="C33" s="97"/>
      <c r="D33" s="97"/>
      <c r="E33" s="97"/>
      <c r="F33" s="97"/>
      <c r="G33" s="97"/>
      <c r="H33" s="97"/>
      <c r="I33" s="97"/>
      <c r="J33" s="23"/>
    </row>
    <row r="34" spans="1:10" ht="14.25" customHeight="1">
      <c r="A34" s="97"/>
      <c r="B34" s="97"/>
      <c r="C34" s="97"/>
      <c r="D34" s="97"/>
      <c r="E34" s="97"/>
      <c r="F34" s="97"/>
      <c r="G34" s="97"/>
      <c r="H34" s="97"/>
      <c r="I34" s="97"/>
      <c r="J34" s="23"/>
    </row>
    <row r="35" spans="1:10" ht="14.25" customHeight="1">
      <c r="A35" s="98" t="s">
        <v>375</v>
      </c>
      <c r="B35" s="98"/>
      <c r="C35" s="98"/>
      <c r="D35" s="98" t="s">
        <v>375</v>
      </c>
      <c r="E35" s="98"/>
      <c r="F35" s="98"/>
      <c r="G35" s="98" t="s">
        <v>375</v>
      </c>
      <c r="H35" s="98"/>
      <c r="I35" s="98"/>
      <c r="J35" s="23"/>
    </row>
    <row r="36" spans="1:9" ht="11.25" customHeight="1">
      <c r="A36" s="99" t="s">
        <v>323</v>
      </c>
      <c r="B36" s="100"/>
      <c r="C36" s="100"/>
      <c r="D36" s="100"/>
      <c r="E36" s="100"/>
      <c r="F36" s="100"/>
      <c r="G36" s="100"/>
      <c r="H36" s="100"/>
      <c r="I36" s="100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2020-11-20T15:51:27Z</dcterms:modified>
  <cp:category/>
  <cp:version/>
  <cp:contentType/>
  <cp:contentStatus/>
  <cp:revision>1</cp:revision>
</cp:coreProperties>
</file>